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/>
  <xr:revisionPtr revIDLastSave="3" documentId="11_1DAD5A52464E580E62355476585DCE3A87CD5D2D" xr6:coauthVersionLast="46" xr6:coauthVersionMax="46" xr10:uidLastSave="{4096C387-58CB-4511-A416-E87F36AE5746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60" i="1" l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<sst xmlns="http://schemas.openxmlformats.org/spreadsheetml/2006/main" count="56073" uniqueCount="23201">
  <si>
    <t>bug_id</t>
  </si>
  <si>
    <t>status_res</t>
  </si>
  <si>
    <t>status</t>
  </si>
  <si>
    <t>resolution</t>
  </si>
  <si>
    <t>priority</t>
  </si>
  <si>
    <t>depends_on</t>
  </si>
  <si>
    <t>blocks</t>
  </si>
  <si>
    <t>UNCONFIRMED</t>
  </si>
  <si>
    <t>CONFIRMED</t>
  </si>
  <si>
    <t>IN_PROGRESS</t>
  </si>
  <si>
    <t>RESOLVED</t>
  </si>
  <si>
    <t>VERIFIED</t>
  </si>
  <si>
    <t>FIXED</t>
  </si>
  <si>
    <t>INVALID</t>
  </si>
  <si>
    <t>WONTFIX</t>
  </si>
  <si>
    <t>DUPLICATE</t>
  </si>
  <si>
    <t>WORKSFORME</t>
  </si>
  <si>
    <t>REOPENED</t>
  </si>
  <si>
    <t>created</t>
  </si>
  <si>
    <t>first_modified</t>
  </si>
  <si>
    <t>last_modified</t>
  </si>
  <si>
    <t>last_modified_author</t>
  </si>
  <si>
    <t>full_change_list</t>
  </si>
  <si>
    <t>time_passed_touch</t>
  </si>
  <si>
    <t>time_passed_last</t>
  </si>
  <si>
    <t>ASSIGNED</t>
  </si>
  <si>
    <t>P3</t>
  </si>
  <si>
    <t>199589 317400 (view as bug list)</t>
  </si>
  <si>
    <t>2004-11-04 11:47:31 EST</t>
  </si>
  <si>
    <t>2011-05-03 11:25:22 EDT</t>
  </si>
  <si>
    <t>2001-10-10 22:44 EDT</t>
  </si>
  <si>
    <t>2002-04-30 14:25:17 EDT</t>
  </si>
  <si>
    <t>2011-09-28 15:53:25 EDT</t>
  </si>
  <si>
    <t>marc</t>
  </si>
  <si>
    <t>[('CREATED', '2001-10-10 22:44 EDT'), ('RESOLVED', '2002-04-30 14:25:17 EDT', 'Kevin_Haaland'), ('LATER', '2002-04-30 14:25:17 EDT', 'Kevin_Haaland'), ('investigate', '2002-08-08 16:03:49 EDT', 'Randy_Giffen'), ('---', '2002-08-08 16:03:49 EDT', 'Randy_Giffen'), ('[Properties dialog] Reference project wrong when renamed (1GJYKPZ)', '2002-08-08 16:03:49 EDT', 'Randy_Giffen'), ('REOPENED', '2002-08-08 16:03:49 EDT', 'Randy_Giffen'), ('Eduardo_Pereira', '2002-08-09 15:28:38 EDT', 'Tod_Creasey'), ('NEW', '2002-08-09 15:28:38 EDT', 'Tod_Creasey'), ('[Workbench] Reference project wrong when renamed (1GJYKPZ)', '2002-08-09 15:28:38 EDT', 'Tod_Creasey'), ('Nick_Edgar', '2002-08-09 18:18:17 EDT', 'eduardo_pereira'), ('Eduardo_Pereira', '2002-09-03 16:13:13 EDT', 'Tod_Creasey'), ('DJ_Houghton', '2002-09-05 14:50:57 EDT', 'eduardo_pereira'), ('Core', '2002-09-05 14:50:57 EDT', 'eduardo_pereira'), ('Eduardo_Pereira', '2002-09-05 14:50:57 EDT', 'dj.houghton'), ('Platform-UI-Inbox', '2002-09-10 13:08:54 EDT', 'dj.houghton'), ('UI', '2002-09-10 13:08:54 EDT', 'dj.houghton'), ('DJ_Houghton', '2002-09-10 13:33:59 EDT', 'eduardo_pereira'), ('Core', '2002-09-10 13:33:59 EDT', 'eduardo_pereira'), ('kevin_haaland', '2002-09-10 13:33:59 EDT', 'dj.houghton'), ('platform-core-inbox', '2002-09-11 17:03:53 EDT', 'dj.houghton'), ('enhancement', '2002-09-12 09:59:20 EDT', 'dj.houghton'), ('ASSIGNED', '2002-09-12 09:59:30 EDT', 'dj.houghton'), ('RESOLVED', '2004-11-04 11:47:31 EST', 'john.arthorne'), ('WONTFIX', '2004-11-04 11:47:31 EST', 'john.arthorne'), ('aokleung', '2007-08-15 16:29:38 EDT', 'john.arthorne'), ('loskutov', '2009-08-25 09:25:11 EDT', 'loskutov'), ('yuri', '2010-06-21 07:03:02 EDT', 'Szymon.Brandys'), ('markus_keller, Szymon.Brandys', '2010-06-21 10:07:08 EDT', 'Szymon.Brandys'), ('UI', '2010-06-29 04:49:32 EDT', 'Szymon.Brandys'), ('3.7', '2010-06-29 04:49:32 EDT', 'Szymon.Brandys'), ('JDT', '2010-06-29 04:49:32 EDT', 'Szymon.Brandys'), ('[ltk] Reference project wrong when renamed (1GJYKPZ)', '2010-06-29 04:49:32 EDT', 'Szymon.Brandys'), ('2.0', '2010-06-29 04:50:16 EDT', 'Szymon.Brandys'), ('heiko.boettger', '2010-09-17 02:59:24 EDT', 'heiko.boettger'), ('REOPENED', '2011-05-03 11:25:22 EDT', 'markus.kell.r'), ('daniel_megert', '2011-05-03 11:25:22 EDT', 'markus.kell.r'), ('---', '2011-05-03 11:25:22 EDT', 'markus.kell.r'), ('jdt-ui-inbox', '2011-05-03 11:25:22 EDT', 'markus.kell.r'), ('[ltk][rename] Referenced project wrong when renamed (1GJYKPZ)', '2011-05-03 11:25:22 EDT', 'markus.kell.r'), ('All', '2011-05-03 11:25:22 EDT', 'markus.kell.r'), (nan, '2011-05-03 11:25:22 EDT', 'markus.kell.r'), ('ASSIGNED', '2011-05-03 11:25:37 EDT', 'markus.kell.r'), ('marc', '2011-09-28 15:53:25 EDT', 'marc')]</t>
  </si>
  <si>
    <t>VERIFIED  FIXED</t>
  </si>
  <si>
    <t>2001-10-12 07:50:30 EDT</t>
  </si>
  <si>
    <t>2002-01-16 07:26:58 EST</t>
  </si>
  <si>
    <t>2001-10-10 22:53 EDT</t>
  </si>
  <si>
    <t>2001-10-11 09:48:20 EDT</t>
  </si>
  <si>
    <t>andre_weinand</t>
  </si>
  <si>
    <t>[('CREATED', '2001-10-10 22:53 EDT'), ('UI', '2001-10-11 09:48:20 EDT', 'philippe_mulet'), ('RESOLVED', '2001-10-12 07:50:30 EDT', 'martinae'), ('FIXED', '2001-10-12 07:50:30 EDT', 'martinae'), ('VERIFIED', '2002-01-16 07:26:58 EST', 'andre_weinand')]</t>
  </si>
  <si>
    <t>2001-10-22 11:19:04 EDT</t>
  </si>
  <si>
    <t>2002-01-16 08:13:28 EST</t>
  </si>
  <si>
    <t>2001-10-10 22:55 EDT</t>
  </si>
  <si>
    <t>2001-10-12 06:04:16 EDT</t>
  </si>
  <si>
    <t>[('CREATED', '2001-10-10 22:55 EDT'), ('Kai-Uwe_Maetzel', '2001-10-12 06:04:16 EDT', 'erich_gamma'), ('RESOLVED', '2001-10-22 11:19:04 EDT', 'kai-uwe_maetzel'), ('FIXED', '2001-10-22 11:19:04 EDT', 'kai-uwe_maetzel'), ('VERIFIED', '2002-01-16 08:13:28 EST', 'andre_weinand')]</t>
  </si>
  <si>
    <t>2002-01-22 08:38:09 EST</t>
  </si>
  <si>
    <t>2002-01-23 09:29:57 EST</t>
  </si>
  <si>
    <t>martinae</t>
  </si>
  <si>
    <t>[('CREATED', '2001-10-10 22:55 EDT'), ('RESOLVED', '2002-01-22 08:38:09 EST', 'dirk_baeumer'), ('FIXED', '2002-01-22 08:38:09 EST', 'dirk_baeumer'), ('VERIFIED', '2002-01-23 09:29:57 EST', 'martinae')]</t>
  </si>
  <si>
    <t>P4</t>
  </si>
  <si>
    <t>2001-11-21 05:25:38 EST</t>
  </si>
  <si>
    <t>2002-01-16 08:16:23 EST</t>
  </si>
  <si>
    <t>2001-10-16 11:16:01 EDT</t>
  </si>
  <si>
    <t>[('CREATED', '2001-10-10 22:55 EDT'), ('ASSIGNED', '2001-10-16 11:16:01 EDT', 'martinae'), ('P4', '2001-10-16 11:16:01 EDT', 'martinae'), ('NEW', '2001-10-16 11:39:31 EDT', 'martinae'), ('Adam_Kiezun', '2001-10-16 11:39:31 EDT', 'martinae'), ('ASSIGNED', '2001-10-16 11:47:41 EDT', 'akiezun'), ('RESOLVED', '2001-11-21 05:25:38 EST', 'akiezun'), ('FIXED', '2001-11-21 05:25:38 EST', 'akiezun'), ('VERIFIED', '2002-01-16 08:16:23 EST', 'andre_weinand')]</t>
  </si>
  <si>
    <t>RESOLVED  WONTFIX</t>
  </si>
  <si>
    <t>2002-02-27 10:34:13 EST</t>
  </si>
  <si>
    <t>2001-10-10 22:56 EDT</t>
  </si>
  <si>
    <t>2001-10-16 11:15:11 EDT</t>
  </si>
  <si>
    <t>akiezun</t>
  </si>
  <si>
    <t>[('CREATED', '2001-10-10 22:56 EDT'), ('ASSIGNED', '2001-10-16 11:15:11 EDT', 'martinae'), ('P4', '2001-10-16 11:15:11 EDT', 'martinae'), ('adam_kiezun', '2001-10-24 07:11:27 EDT', 'erich_gamma'), ('RESOLVED', '2002-02-27 10:34:13 EST', 'akiezun'), ('WONTFIX', '2002-02-27 10:34:13 EST', 'akiezun')]</t>
  </si>
  <si>
    <t>2001-11-12 09:40:56 EST</t>
  </si>
  <si>
    <t>2001-10-16 11:15:58 EDT</t>
  </si>
  <si>
    <t>2020-01-06 17:56:41 EST</t>
  </si>
  <si>
    <t>genie</t>
  </si>
  <si>
    <t>[('CREATED', '2001-10-10 22:56 EDT'), ('ASSIGNED', '2001-10-16 11:15:58 EDT', 'martinae'), ('P4', '2001-10-16 11:15:58 EDT', 'martinae'), ('Dirk_Baeumer', '2001-11-11 14:51:55 EST', 'erich_gamma'), ('NEW', '2001-11-11 14:51:55 EST', 'erich_gamma'), ('RESOLVED', '2001-11-12 09:40:56 EST', 'dirk_baeumer'), ('WONTFIX', '2001-11-12 09:40:56 EST', 'dirk_baeumer'), ('https://git.eclipse.org/r/155343', '2020-01-06 17:43:00 EST', 'genie'), ('https://git.eclipse.org/c/www.eclipse.org/artwork.git/commit/?id=02ab70c5bb57c8536864684afd345c7e91855fa0', '2020-01-06 17:56:41 EST', 'genie')]</t>
  </si>
  <si>
    <t>2001-11-10 12:23:37 EST</t>
  </si>
  <si>
    <t>2002-01-17 04:23:23 EST</t>
  </si>
  <si>
    <t>2001-10-10 22:57 EDT</t>
  </si>
  <si>
    <t>2001-10-16 11:12:41 EDT</t>
  </si>
  <si>
    <t>[('CREATED', '2001-10-10 22:57 EDT'), ('ASSIGNED', '2001-10-16 11:12:41 EDT', 'martinae'), ('P4', '2001-10-16 11:12:41 EDT', 'martinae'), ('RESOLVED', '2001-11-10 12:23:37 EST', 'erich_gamma'), ('FIXED', '2001-11-10 12:23:37 EST', 'erich_gamma'), ('VERIFIED', '2002-01-17 04:23:23 EST', 'andre_weinand')]</t>
  </si>
  <si>
    <t>2003-04-28 06:03:34 EDT</t>
  </si>
  <si>
    <t>2009-08-30 02:16:50 EDT</t>
  </si>
  <si>
    <t>2001-10-16 11:12:42 EDT</t>
  </si>
  <si>
    <t>denis.roy</t>
  </si>
  <si>
    <t>[('CREATED', '2001-10-10 22:57 EDT'), ('ASSIGNED', '2001-10-16 11:12:42 EDT', 'martinae'), ('P4', '2001-10-16 11:12:42 EDT', 'martinae'), ('RESOLVED', '2002-02-27 08:36:49 EST', 'andre_weinand'), ('LATER', '2002-02-27 08:36:49 EST', 'andre_weinand'), ('investigate', '2002-07-25 08:47:19 EDT', 'dirk_baeumer'), ('Revisit use of run(false,*,*) (1GCC4EV) [misc]', '2002-09-02 06:41:47 EDT', 'dirk_baeumer'), ('jdt-ui-inbox', '2002-09-12 09:39:34 EDT', 'dirk_baeumer'), ('NEW', '2002-09-12 09:39:34 EDT', 'dirk_baeumer'), ('ASSIGNED', '2002-09-12 10:04:44 EDT', 'dirk_baeumer'), ('RESOLVED', '2003-04-28 06:03:34 EDT', 'dirk_baeumer'), ('WONTFIX', '2009-08-30 02:16:50 EDT', 'denis.roy')]</t>
  </si>
  <si>
    <t>2003-04-28 06:03:24 EDT</t>
  </si>
  <si>
    <t>2009-08-30 02:42:55 EDT</t>
  </si>
  <si>
    <t>2001-10-16 11:15:52 EDT</t>
  </si>
  <si>
    <t>webmaster</t>
  </si>
  <si>
    <t>[('CREATED', '2001-10-10 22:57 EDT'), ('ASSIGNED', '2001-10-16 11:15:52 EDT', 'martinae'), ('P4', '2001-10-16 11:15:52 EDT', 'martinae'), ('RESOLVED', '2001-11-10 18:13:35 EST', 'erich_gamma'), ('LATER', '2001-11-10 18:13:35 EST', 'erich_gamma'), ('helpwanted', '2002-07-25 09:00:36 EDT', 'dirk_baeumer'), ('DCR: java naming conventions checker (lint-like) (1GCSD20) [refactoring]', '2002-07-25 09:01:21 EDT', 'dirk_baeumer'), ('jdt-ui-inbox', '2002-09-12 09:42:22 EDT', 'dirk_baeumer'), ('NEW', '2002-09-12 09:42:22 EDT', 'dirk_baeumer'), ('ASSIGNED', '2002-09-12 10:11:04 EDT', 'dirk_baeumer'), ('enhancement', '2002-09-18 04:26:34 EDT', 'akiezun'), ('N.Metchev', '2003-02-11 06:33:41 EST', 'nikolaymetchev'), ('RESOLVED', '2003-04-28 06:03:24 EDT', 'dirk_baeumer'), ('gunnar', '2005-10-02 09:20:48 EDT', 'gunnar'), ('WONTFIX', '2009-08-30 02:42:55 EDT', 'webmaster')]</t>
  </si>
  <si>
    <t>2002-07-25 10:02:18 EDT</t>
  </si>
  <si>
    <t>2002-07-25 10:02:04 EDT</t>
  </si>
  <si>
    <t>2001-10-10 22:58 EDT</t>
  </si>
  <si>
    <t>2001-10-16 11:15:53 EDT</t>
  </si>
  <si>
    <t>dirk_baeumer</t>
  </si>
  <si>
    <t>[('CREATED', '2001-10-10 22:58 EDT'), ('ASSIGNED', '2001-10-16 11:15:53 EDT', 'martinae'), ('P4', '2001-10-16 11:15:53 EDT', 'martinae'), ('RESOLVED', '2001-11-10 15:09:54 EST', 'erich_gamma'), ('LATER', '2001-11-10 15:09:54 EST', 'erich_gamma'), ('REOPENED', '2002-07-25 10:02:04 EDT', 'dirk_baeumer'), ('---', '2002-07-25 10:02:04 EDT', 'dirk_baeumer'), ('RESOLVED', '2002-07-25 10:02:18 EDT', 'dirk_baeumer'), ('WONTFIX', '2002-07-25 10:02:18 EDT', 'dirk_baeumer')]</t>
  </si>
  <si>
    <t>RESOLVED  INVALID</t>
  </si>
  <si>
    <t>4210 6052 6054 6055 6058</t>
  </si>
  <si>
    <t>2002-09-18 04:08:07 EDT</t>
  </si>
  <si>
    <t>2009-08-30 02:04:58 EDT</t>
  </si>
  <si>
    <t>2001-10-16 11:16:08 EDT</t>
  </si>
  <si>
    <t>[('CREATED', '2001-10-10 22:58 EDT'), ('ASSIGNED', '2001-10-16 11:16:08 EDT', 'martinae'), ('P4', '2001-10-16 11:16:08 EDT', 'martinae'), ('Adam_Kiezun', '2001-11-10 12:24:51 EST', 'erich_gamma'), ('NEW', '2001-11-10 12:24:51 EST', 'erich_gamma'), ('ASSIGNED', '2001-11-14 13:28:24 EST', 'akiezun'), ('4120', '2001-11-14 13:28:24 EST', 'akiezun'), ('4210', '2001-11-15 05:15:13 EST', 'akiezun'), ('6052, 6053, 6054, 6055', '2001-11-15 05:16:25 EST', 'akiezun'), ('6058', '2001-11-19 06:36:27 EST', 'akiezun'), ('rename, delete operations should check read only state of resource (1GD2B0V) [ccp]', '2002-08-26 08:42:42 EDT', 'akiezun'), ('normal', '2002-09-18 04:08:07 EDT', 'akiezun'), ('RESOLVED', '2002-09-18 04:08:07 EDT', 'akiezun'), ('REMIND', '2002-09-18 04:08:07 EDT', 'akiezun'), ('needinfo', '2009-08-30 02:04:58 EDT', 'denis.roy'), ('INVALID', '2009-08-30 02:04:58 EDT', 'denis.roy'), ('jdt-ui-inbox', '2009-08-30 02:04:58 EDT', 'denis.roy')]</t>
  </si>
  <si>
    <t>2001-11-10 18:23:31 EST</t>
  </si>
  <si>
    <t>2001-10-16 11:16:40 EDT</t>
  </si>
  <si>
    <t>2020-11-25 06:26:44 EST</t>
  </si>
  <si>
    <t>b00067838</t>
  </si>
  <si>
    <t>[('CREATED', '2001-10-10 22:58 EDT'), ('ASSIGNED', '2001-10-16 11:16:40 EDT', 'martinae'), ('P4', '2001-10-16 11:16:40 EDT', 'martinae'), ('RESOLVED', '2001-11-10 18:23:31 EST', 'erich_gamma'), ('WONTFIX', '2001-11-10 18:23:31 EST', 'erich_gamma'), ('b00067838', '2020-11-25 06:26:44 EST', 'b00067838')]</t>
  </si>
  <si>
    <t>4271</t>
  </si>
  <si>
    <t>2001-12-17 10:30:55 EST</t>
  </si>
  <si>
    <t>2002-01-17 07:50:00 EST</t>
  </si>
  <si>
    <t>2001-10-16 11:12:26 EDT</t>
  </si>
  <si>
    <t>[('CREATED', '2001-10-10 22:58 EDT'), ('ASSIGNED', '2001-10-16 11:12:26 EDT', 'martinae'), ('P4', '2001-10-16 11:12:26 EDT', 'martinae'), ('NEW', '2001-11-10 15:19:42 EST', 'erich_gamma'), ('4271', '2001-11-10 15:19:42 EST', 'akiezun'), ('Adam_Kiezun', '2001-11-10 15:19:42 EST', 'erich_gamma'), ('RESOLVED', '2001-12-17 10:30:55 EST', 'akiezun'), ('FIXED', '2001-12-17 10:30:55 EST', 'akiezun'), ('VERIFIED', '2002-01-17 07:50:00 EST', 'andre_weinand')]</t>
  </si>
  <si>
    <t>2001-11-10 18:24:05 EST</t>
  </si>
  <si>
    <t>2002-01-17 08:04:27 EST</t>
  </si>
  <si>
    <t>2001-10-16 11:12:27 EDT</t>
  </si>
  <si>
    <t>[('CREATED', '2001-10-10 22:58 EDT'), ('ASSIGNED', '2001-10-16 11:12:27 EDT', 'martinae'), ('P4', '2001-10-16 11:12:27 EDT', 'martinae'), ('RESOLVED', '2001-11-10 18:24:05 EST', 'erich_gamma'), ('FIXED', '2001-11-10 18:24:05 EST', 'erich_gamma'), ('VERIFIED', '2002-01-17 08:04:27 EST', 'andre_weinand')]</t>
  </si>
  <si>
    <t>2001-10-17 09:09:32 EDT</t>
  </si>
  <si>
    <t>[('CREATED', '2001-10-10 22:58 EDT'), ('RESOLVED', '2001-10-17 09:09:32 EDT', 'akiezun'), ('WONTFIX', '2001-10-17 09:09:32 EDT', 'akiezun')]</t>
  </si>
  <si>
    <t>2002-08-14 04:50:25 EDT</t>
  </si>
  <si>
    <t>2002-08-14 04:49:11 EDT</t>
  </si>
  <si>
    <t>2001-10-10 22:59 EDT</t>
  </si>
  <si>
    <t>2001-10-16 11:13:16 EDT</t>
  </si>
  <si>
    <t>[('CREATED', '2001-10-10 22:59 EDT'), ('ASSIGNED', '2001-10-16 11:13:16 EDT', 'martinae'), ('P4', '2001-10-16 11:13:16 EDT', 'martinae'), ('Dirk_Baeumer', '2001-11-11 14:42:23 EST', 'erich_gamma'), ('NEW', '2001-11-11 14:42:23 EST', 'erich_gamma'), ('RESOLVED', '2001-11-12 08:33:03 EST', 'dirk_baeumer'), ('LATER', '2001-11-12 08:33:03 EST', 'dirk_baeumer'), ('REOPENED', '2002-08-14 04:49:11 EDT', 'dirk_baeumer'), ('---', '2002-08-14 04:49:11 EDT', 'dirk_baeumer'), ('RESOLVED', '2002-08-14 04:50:25 EDT', 'dirk_baeumer'), ('WONTFIX', '2002-08-14 04:50:25 EDT', 'dirk_baeumer')]</t>
  </si>
  <si>
    <t>2002-02-27 11:01:26 EST</t>
  </si>
  <si>
    <t>2002-02-27 11:01:43 EST</t>
  </si>
  <si>
    <t>2002-01-18 02:40:54 EST</t>
  </si>
  <si>
    <t>2001-10-16 11:13:31 EDT</t>
  </si>
  <si>
    <t>[('CREATED', '2001-10-10 22:59 EDT'), ('ASSIGNED', '2001-10-16 11:13:31 EDT', 'martinae'), ('P4', '2001-10-16 11:13:31 EDT', 'martinae'), ('RESOLVED', '2001-11-10 15:49:10 EST', 'erich_gamma'), ('FIXED', '2001-11-10 15:49:10 EST', 'erich_gamma'), ('REOPENED', '2002-01-18 02:40:54 EST', 'andre_weinand'), ('---', '2002-01-18 02:40:54 EST', 'andre_weinand'), ('RESOLVED', '2002-02-27 11:01:26 EST', 'andre_weinand'), ('FIXED', '2002-02-27 11:01:26 EST', 'andre_weinand'), ('VERIFIED', '2002-02-27 11:01:43 EST', 'andre_weinand')]</t>
  </si>
  <si>
    <t>2001-11-12 05:41:27 EST</t>
  </si>
  <si>
    <t>2001-10-16 11:13:42 EDT</t>
  </si>
  <si>
    <t>[('CREATED', '2001-10-10 22:59 EDT'), ('ASSIGNED', '2001-10-16 11:13:42 EDT', 'martinae'), ('P4', '2001-10-16 11:13:42 EDT', 'martinae'), ('Dirk_Baeumer', '2001-11-10 18:36:27 EST', 'erich_gamma'), ('NEW', '2001-11-10 18:36:27 EST', 'erich_gamma'), ('RESOLVED', '2001-11-12 05:41:27 EST', 'dirk_baeumer'), ('WONTFIX', '2001-11-12 05:41:27 EST', 'dirk_baeumer')]</t>
  </si>
  <si>
    <t>2001-11-10 16:00:44 EST</t>
  </si>
  <si>
    <t>2002-01-17 09:16:13 EST</t>
  </si>
  <si>
    <t>2001-10-16 11:16:32 EDT</t>
  </si>
  <si>
    <t>[('CREATED', '2001-10-10 22:59 EDT'), ('ASSIGNED', '2001-10-16 11:16:32 EDT', 'martinae'), ('P4', '2001-10-16 11:16:32 EDT', 'martinae'), ('RESOLVED', '2001-11-10 16:00:44 EST', 'erich_gamma'), ('FIXED', '2001-11-10 16:00:44 EST', 'erich_gamma'), ('VERIFIED', '2002-01-17 09:16:13 EST', 'andre_weinand')]</t>
  </si>
  <si>
    <t>2001-11-10 16:06:19 EST</t>
  </si>
  <si>
    <t>2002-01-17 09:33:50 EST</t>
  </si>
  <si>
    <t>2001-10-16 11:12:52 EDT</t>
  </si>
  <si>
    <t>[('CREATED', '2001-10-10 22:59 EDT'), ('ASSIGNED', '2001-10-16 11:12:52 EDT', 'martinae'), ('P4', '2001-10-16 11:12:52 EDT', 'martinae'), ('RESOLVED', '2001-11-10 16:06:19 EST', 'erich_gamma'), ('FIXED', '2001-11-10 16:06:19 EST', 'erich_gamma'), ('VERIFIED', '2002-01-17 09:33:50 EST', 'andre_weinand')]</t>
  </si>
  <si>
    <t>2001-11-10 19:10:36 EST</t>
  </si>
  <si>
    <t>2001-10-10 23:00 EDT</t>
  </si>
  <si>
    <t>2001-10-16 11:13:12 EDT</t>
  </si>
  <si>
    <t>erich_gamma</t>
  </si>
  <si>
    <t>[('CREATED', '2001-10-10 23:00 EDT'), ('ASSIGNED', '2001-10-16 11:13:12 EDT', 'martinae'), ('P4', '2001-10-16 11:13:12 EDT', 'martinae'), ('RESOLVED', '2001-11-10 19:10:36 EST', 'erich_gamma'), ('WONTFIX', '2001-11-10 19:10:36 EST', 'erich_gamma')]</t>
  </si>
  <si>
    <t>2001-11-20 09:09:56 EST</t>
  </si>
  <si>
    <t>2002-01-17 09:52:16 EST</t>
  </si>
  <si>
    <t>2001-10-16 11:13:15 EDT</t>
  </si>
  <si>
    <t>[('CREATED', '2001-10-10 23:00 EDT'), ('ASSIGNED', '2001-10-16 11:13:15 EDT', 'martinae'), ('P4', '2001-10-16 11:13:15 EDT', 'martinae'), ('Martin_Aeschlimann', '2001-11-11 05:27:32 EST', 'erich_gamma'), ('NEW', '2001-11-11 05:27:32 EST', 'erich_gamma'), ('RESOLVED', '2001-11-20 09:09:56 EST', 'martinae'), ('FIXED', '2001-11-20 09:09:56 EST', 'martinae'), ('VERIFIED', '2002-01-17 09:52:16 EST', 'andre_weinand')]</t>
  </si>
  <si>
    <t>RESOLVED  WORKSFORME</t>
  </si>
  <si>
    <t>2002-02-27 05:55:45 EST</t>
  </si>
  <si>
    <t>2001-10-16 11:13:22 EDT</t>
  </si>
  <si>
    <t>daniel_megert</t>
  </si>
  <si>
    <t>[('CREATED', '2001-10-10 23:00 EDT'), ('ASSIGNED', '2001-10-16 11:13:22 EDT', 'martinae'), ('P4', '2001-10-16 11:13:22 EDT', 'martinae'), ('RESOLVED', '2002-02-27 05:55:45 EST', 'daniel_megert'), ('WORKSFORME', '2002-02-27 05:55:45 EST', 'daniel_megert')]</t>
  </si>
  <si>
    <t>P1</t>
  </si>
  <si>
    <t>2001-10-11 08:24:40 EDT</t>
  </si>
  <si>
    <t>kai-uwe_maetzel</t>
  </si>
  <si>
    <t>[('CREATED', '2001-10-10 23:00 EDT'), ('RESOLVED', '2001-10-11 08:24:40 EDT', 'kai-uwe_maetzel'), ('INVALID', '2001-10-11 08:24:40 EDT', 'kai-uwe_maetzel')]</t>
  </si>
  <si>
    <t>RESOLVED  FIXED</t>
  </si>
  <si>
    <t>P2</t>
  </si>
  <si>
    <t>2002-03-08 05:18:05 EST</t>
  </si>
  <si>
    <t>2001-10-16 11:13:29 EDT</t>
  </si>
  <si>
    <t>[('CREATED', '2001-10-10 23:00 EDT'), ('ASSIGNED', '2001-10-16 11:13:29 EDT', 'martinae'), ('P4', '2001-10-16 11:13:29 EDT', 'martinae'), ('Adam_Kiezun', '2001-10-20 11:45:56 EDT', 'erich_gamma'), ('NEW', '2001-10-20 11:45:56 EDT', 'erich_gamma'), ('P2', '2001-10-20 11:45:56 EDT', 'erich_gamma'), ('Philippe_Mulet', '2001-10-31 11:49:06 EST', 'akiezun'), ('Core', '2001-10-31 11:49:06 EST', 'akiezun'), ('ASSIGNED', '2001-11-09 12:44:27 EST', 'philippe_mulet'), ('Erich_Gamma', '2002-02-12 08:01:01 EST', 'philippe_mulet'), ('NEW', '2002-02-12 08:01:01 EST', 'philippe_mulet'), ('UI', '2002-02-12 08:01:01 EST', 'philippe_mulet'), ('Adam_Kiezun', '2002-02-12 08:21:56 EST', 'erich_gamma'), ('Erich_Gamma', '2002-02-15 09:13:58 EST', 'akiezun'), ('Adam_Kiezun', '2002-02-27 06:17:54 EST', 'daniel_megert'), ('Adam_Kiezun', '2002-03-07 08:54:46 EST', 'akiezun'), ('Erich_Gamma', '2002-03-07 08:54:46 EST', 'akiezun'), ('RESOLVED', '2002-03-08 05:18:05 EST', 'erich_gamma'), ('FIXED', '2002-03-08 05:18:05 EST', 'erich_gamma')]</t>
  </si>
  <si>
    <t>2001-10-11 08:25:17 EDT</t>
  </si>
  <si>
    <t>2002-01-17 10:36:01 EST</t>
  </si>
  <si>
    <t>[('CREATED', '2001-10-10 23:00 EDT'), ('RESOLVED', '2001-10-11 08:25:17 EDT', 'akiezun'), ('FIXED', '2001-10-11 08:25:17 EDT', 'akiezun'), ('VERIFIED', '2002-01-17 10:36:01 EST', 'andre_weinand')]</t>
  </si>
  <si>
    <t>2002-07-25 10:58:53 EDT</t>
  </si>
  <si>
    <t>2002-07-25 10:58:37 EDT</t>
  </si>
  <si>
    <t>2001-10-16 11:14:06 EDT</t>
  </si>
  <si>
    <t>[('CREATED', '2001-10-10 23:00 EDT'), ('ASSIGNED', '2001-10-16 11:14:06 EDT', 'martinae'), ('P4', '2001-10-16 11:14:06 EDT', 'martinae'), ('RESOLVED', '2002-02-27 07:14:44 EST', 'daniel_megert'), ('LATER', '2002-02-27 07:14:44 EST', 'daniel_megert'), ('REOPENED', '2002-07-25 10:58:37 EDT', 'dirk_baeumer'), ('---', '2002-07-25 10:58:37 EDT', 'dirk_baeumer'), ('RESOLVED', '2002-07-25 10:58:53 EDT', 'dirk_baeumer'), ('WONTFIX', '2002-07-25 10:58:53 EDT', 'dirk_baeumer')]</t>
  </si>
  <si>
    <t>2001-12-17 06:14:07 EST</t>
  </si>
  <si>
    <t>2002-01-17 10:41:08 EST</t>
  </si>
  <si>
    <t>2001-10-16 11:14:18 EDT</t>
  </si>
  <si>
    <t>[('CREATED', '2001-10-10 23:00 EDT'), ('ASSIGNED', '2001-10-16 11:14:18 EDT', 'martinae'), ('P4', '2001-10-16 11:14:18 EDT', 'martinae'), ('Kai-Uwe_Maetzel', '2001-11-10 13:13:36 EST', 'erich_gamma'), ('enhancement', '2001-11-10 13:13:36 EST', 'erich_gamma'), ('NEW', '2001-11-10 13:13:36 EST', 'erich_gamma'), ('2.0 M1', '2001-12-11 05:47:12 EST', 'kai-uwe_maetzel'), ('erich_gamma', '2001-12-17 06:14:07 EST', 'kai-uwe_maetzel'), ('RESOLVED', '2001-12-17 06:14:07 EST', 'kai-uwe_maetzel'), ('FIXED', '2001-12-17 06:14:07 EST', 'kai-uwe_maetzel'), ('VERIFIED', '2002-01-17 10:41:08 EST', 'andre_weinand')]</t>
  </si>
  <si>
    <t>2001-10-17 09:07:30 EDT</t>
  </si>
  <si>
    <t>2002-01-24 08:00:36 EST</t>
  </si>
  <si>
    <t>[('CREATED', '2001-10-10 23:00 EDT'), ('RESOLVED', '2001-10-17 09:07:30 EDT', 'akiezun'), ('FIXED', '2001-10-17 09:07:30 EDT', 'akiezun'), ('VERIFIED', '2002-01-24 08:00:36 EST', 'martinae')]</t>
  </si>
  <si>
    <t>2001-11-10 16:25:29 EST</t>
  </si>
  <si>
    <t>2002-01-18 02:47:36 EST</t>
  </si>
  <si>
    <t>2001-10-10 23:01 EDT</t>
  </si>
  <si>
    <t>2001-10-16 11:14:36 EDT</t>
  </si>
  <si>
    <t>[('CREATED', '2001-10-10 23:01 EDT'), ('ASSIGNED', '2001-10-16 11:14:36 EDT', 'martinae'), ('P4', '2001-10-16 11:14:36 EDT', 'martinae'), ('RESOLVED', '2001-11-10 16:25:29 EST', 'erich_gamma'), ('FIXED', '2001-11-10 16:25:29 EST', 'erich_gamma'), ('VERIFIED', '2002-01-18 02:47:36 EST', 'andre_weinand')]</t>
  </si>
  <si>
    <t>2002-02-27 09:14:01 EST</t>
  </si>
  <si>
    <t>2001-10-16 11:13:14 EDT</t>
  </si>
  <si>
    <t>[('CREATED', '2001-10-10 23:01 EDT'), ('ASSIGNED', '2001-10-16 11:13:14 EDT', 'martinae'), ('P4', '2001-10-16 11:13:14 EDT', 'martinae'), ('RESOLVED', '2002-02-27 09:14:01 EST', 'daniel_megert'), ('WONTFIX', '2002-02-27 09:14:01 EST', 'daniel_megert')]</t>
  </si>
  <si>
    <t>2001-10-17 09:19:50 EDT</t>
  </si>
  <si>
    <t>2002-01-18 03:08:34 EST</t>
  </si>
  <si>
    <t>[('CREATED', '2001-10-10 23:01 EDT'), ('RESOLVED', '2001-10-17 09:19:50 EDT', 'akiezun'), ('FIXED', '2001-10-17 09:19:50 EDT', 'akiezun'), ('VERIFIED', '2002-01-18 03:08:34 EST', 'andre_weinand'), ('Missing', '2002-01-18 03:08:34 EST', 'andre_weinand')]</t>
  </si>
  <si>
    <t>2002-01-21 08:11:21 EST</t>
  </si>
  <si>
    <t>2002-01-18 04:41:44 EST</t>
  </si>
  <si>
    <t>2001-10-16 11:13:21 EDT</t>
  </si>
  <si>
    <t>[('CREATED', '2001-10-10 23:01 EDT'), ('ASSIGNED', '2001-10-16 11:13:21 EDT', 'martinae'), ('P4', '2001-10-16 11:13:21 EDT', 'martinae'), ('RESOLVED', '2001-11-11 05:47:02 EST', 'erich_gamma'), ('FIXED', '2001-11-11 05:47:02 EST', 'erich_gamma'), ('REOPENED', '2002-01-18 04:41:44 EST', 'andre_weinand'), ('---', '2002-01-18 04:41:44 EST', 'andre_weinand'), ('Dirk_Baeumer', '2002-01-18 04:43:45 EST', 'andre_weinand'), ('NEW', '2002-01-18 04:43:45 EST', 'andre_weinand'), ('major', '2002-01-21 08:11:21 EST', 'dirk_baeumer'), ('RESOLVED', '2002-01-21 08:11:21 EST', 'dirk_baeumer'), ('P2', '2002-01-21 08:11:21 EST', 'dirk_baeumer'), ('FIXED', '2002-01-21 08:11:21 EST', 'dirk_baeumer')]</t>
  </si>
  <si>
    <t>2003-04-28 06:03:50 EDT</t>
  </si>
  <si>
    <t>2009-08-30 02:39:51 EDT</t>
  </si>
  <si>
    <t>[('CREATED', '2001-10-10 23:01 EDT'), ('P4', '2001-10-16 11:13:22 EDT', 'martinae'), ('ASSIGNED', '2001-10-16 11:13:22 EDT', 'martinae'), ('RESOLVED', '2001-11-10 19:29:48 EST', 'erich_gamma'), ('LATER', '2001-11-10 19:29:48 EST', 'erich_gamma'), ('Refactoring - not unicode compliant (1GEUT6D) [refactoring]', '2002-07-25 12:36:31 EDT', 'dirk_baeumer'), ('jdt-ui-inbox', '2002-09-12 09:40:36 EDT', 'dirk_baeumer'), ('NEW', '2002-09-12 09:40:36 EDT', 'dirk_baeumer'), ('ASSIGNED', '2002-09-12 10:06:09 EDT', 'dirk_baeumer'), ('enhancement', '2002-09-18 04:26:52 EDT', 'akiezun'), ('RESOLVED', '2003-04-28 06:03:50 EDT', 'dirk_baeumer'), ('WONTFIX', '2009-08-30 02:39:51 EDT', 'webmaster')]</t>
  </si>
  <si>
    <t>2002-01-18 08:34:11 EST</t>
  </si>
  <si>
    <t>2001-10-16 11:14:00 EDT</t>
  </si>
  <si>
    <t>[('CREATED', '2001-10-10 23:01 EDT'), ('ASSIGNED', '2001-10-16 11:14:00 EDT', 'martinae'), ('P4', '2001-10-16 11:14:00 EDT', 'martinae'), ('Dirk_Baeumer', '2001-11-10 16:33:49 EST', 'erich_gamma'), ('NEW', '2001-11-10 16:33:49 EST', 'erich_gamma'), ('P2', '2001-11-10 16:33:49 EST', 'erich_gamma'), ('ASSIGNED', '2001-11-12 09:34:28 EST', 'dirk_baeumer'), ('RESOLVED', '2002-01-18 08:34:11 EST', 'dirk_baeumer'), ('WORKSFORME', '2002-01-18 08:34:11 EST', 'dirk_baeumer')]</t>
  </si>
  <si>
    <t>2001-10-31 12:01:07 EST</t>
  </si>
  <si>
    <t>[('CREATED', '2001-10-10 23:01 EDT'), ('RESOLVED', '2001-10-31 12:01:07 EST', 'erich_gamma'), ('WONTFIX', '2001-10-31 12:01:07 EST', 'erich_gamma')]</t>
  </si>
  <si>
    <t>CLOSED  WONTFIX</t>
  </si>
  <si>
    <t>CLOSED</t>
  </si>
  <si>
    <t>2002-01-28 07:57:22 EST</t>
  </si>
  <si>
    <t>2009-08-30 02:43:16 EDT</t>
  </si>
  <si>
    <t>[('CREATED', '2001-10-10 23:01 EDT'), ('LATER', '2002-01-28 07:57:22 EST', 'akiezun'), ('RESOLVED', '2002-01-28 07:57:22 EST', 'akiezun'), ('CLOSED', '2002-08-28 12:10:40 EDT', 'akiezun'), ('WONTFIX', '2009-08-30 02:43:16 EDT', 'webmaster'), ('jdt-ui-inbox', '2009-08-30 02:43:16 EDT', 'webmaster')]</t>
  </si>
  <si>
    <t>2004-03-10 05:04:37 EST</t>
  </si>
  <si>
    <t>2002-08-14 04:59:19 EDT</t>
  </si>
  <si>
    <t>2002-04-19 06:45:11 EDT</t>
  </si>
  <si>
    <t>2004-03-11 14:19:14 EST</t>
  </si>
  <si>
    <t>bso</t>
  </si>
  <si>
    <t>[('CREATED', '2001-10-10 23:01 EDT'), ('RESOLVED', '2002-04-19 06:45:11 EDT', 'dirk_baeumer'), ('LATER', '2002-04-19 06:45:11 EDT', 'dirk_baeumer'), ('REOPENED', '2002-08-14 04:59:19 EDT', 'dirk_baeumer'), ('---', '2002-08-14 04:59:19 EDT', 'dirk_baeumer'), ('Refactoring - should not save file after extract method (1GEWRU6) [refactoring] [general issue]', '2002-08-14 04:59:19 EDT', 'dirk_baeumer'), ('farrellp', '2004-02-25 16:24:11 EST', 'sudarsha_wijenayake'), ('swijenay', '2004-02-25 16:24:56 EST', 'sudarsha_wijenayake'), ('RESOLVED', '2004-03-10 05:04:37 EST', 'dirk_baeumer'), ('FIXED', '2004-03-10 05:04:37 EST', 'dirk_baeumer'), ('bso', '2004-03-11 14:19:14 EST', 'bso')]</t>
  </si>
  <si>
    <t>2001-10-17 09:27:07 EDT</t>
  </si>
  <si>
    <t>2009-08-30 02:05:46 EDT</t>
  </si>
  <si>
    <t>[('CREATED', '2001-10-10 23:01 EDT'), ('RESOLVED', '2001-10-17 09:27:07 EDT', 'akiezun'), ('REMIND', '2001-10-17 09:27:07 EDT', 'akiezun'), ('needinfo', '2009-08-30 02:05:46 EDT', 'denis.roy'), ('INVALID', '2009-08-30 02:05:46 EDT', 'denis.roy'), ('jdt-ui-inbox', '2009-08-30 02:05:46 EDT', 'denis.roy')]</t>
  </si>
  <si>
    <t>2002-05-03 10:23:56 EDT</t>
  </si>
  <si>
    <t>2009-08-30 02:33:48 EDT</t>
  </si>
  <si>
    <t>2001-10-10 23:02 EDT</t>
  </si>
  <si>
    <t>2001-10-16 11:14:28 EDT</t>
  </si>
  <si>
    <t>[('CREATED', '2001-10-10 23:02 EDT'), ('ASSIGNED', '2001-10-16 11:14:28 EDT', 'martinae'), ('P4', '2001-10-16 11:14:28 EDT', 'martinae'), ('P3', '2001-11-10 19:35:33 EST', 'erich_gamma'), ('Dirk_Baeumer', '2001-11-10 19:35:33 EST', 'erich_gamma'), ('NEW', '2001-11-10 19:35:33 EST', 'erich_gamma'), ('ASSIGNED', '2001-11-12 09:38:08 EST', 'dirk_baeumer'), ('Martin_Aeschlimann', '2002-01-29 10:28:08 EST', 'dirk_baeumer'), ('NEW', '2002-01-29 10:28:08 EST', 'dirk_baeumer'), ('ASSIGNED', '2002-02-27 09:56:03 EST', 'daniel_megert'), ('Dirk_Baeumer', '2002-03-29 10:21:53 EST', 'martinae'), ('NEW', '2002-03-29 10:21:53 EST', 'martinae'), ('RESOLVED', '2002-05-03 10:23:56 EDT', 'dirk_baeumer'), ('LATER', '2002-05-03 10:23:56 EDT', 'dirk_baeumer'), ('WONTFIX', '2009-08-30 02:33:48 EDT', 'webmaster'), ('jdt-ui-inbox', '2009-08-30 02:33:48 EDT', 'webmaster')]</t>
  </si>
  <si>
    <t>2002-02-27 10:00:11 EST</t>
  </si>
  <si>
    <t>2001-10-16 11:14:30 EDT</t>
  </si>
  <si>
    <t>[('CREATED', '2001-10-10 23:02 EDT'), ('ASSIGNED', '2001-10-16 11:14:30 EDT', 'martinae'), ('P4', '2001-10-16 11:14:30 EDT', 'martinae'), ('WONTFIX', '2002-02-27 10:00:11 EST', 'daniel_megert'), ('RESOLVED', '2002-02-27 10:00:11 EST', 'daniel_megert')]</t>
  </si>
  <si>
    <t>2001-10-11 10:34:56 EDT</t>
  </si>
  <si>
    <t>2002-01-18 05:11:55 EST</t>
  </si>
  <si>
    <t>[('CREATED', '2001-10-10 23:02 EDT'), ('FIXED', '2001-10-11 10:34:56 EDT', 'akiezun'), ('RESOLVED', '2001-10-11 10:34:56 EDT', 'akiezun'), ('VERIFIED', '2002-01-18 05:11:55 EST', 'andre_weinand')]</t>
  </si>
  <si>
    <t>2001-10-18 10:22:44 EDT</t>
  </si>
  <si>
    <t>2002-01-18 05:19:24 EST</t>
  </si>
  <si>
    <t>2001-10-11 10:41:52 EDT</t>
  </si>
  <si>
    <t>[('CREATED', '2001-10-10 23:02 EDT'), ('Adam_Kiezun', '2001-10-11 10:41:52 EDT', 'akiezun'), ('ASSIGNED', '2001-10-12 08:39:07 EDT', 'akiezun'), ('RESOLVED', '2001-10-18 10:22:44 EDT', 'akiezun'), ('FIXED', '2001-10-18 10:22:44 EDT', 'akiezun'), ('VERIFIED', '2002-01-18 05:19:24 EST', 'andre_weinand')]</t>
  </si>
  <si>
    <t>2001-11-21 05:27:34 EST</t>
  </si>
  <si>
    <t>2002-01-18 06:44:01 EST</t>
  </si>
  <si>
    <t>2001-10-11 11:18:35 EDT</t>
  </si>
  <si>
    <t>[('CREATED', '2001-10-10 23:02 EDT'), ('ASSIGNED', '2001-10-11 11:18:35 EDT', 'akiezun'), ('Adam_Kiezun', '2001-10-12 05:56:10 EDT', 'erich_gamma'), ('NEW', '2001-10-12 05:56:10 EDT', 'erich_gamma'), ('ASSIGNED', '2001-10-12 08:38:25 EDT', 'akiezun'), ('RESOLVED', '2001-11-21 05:27:34 EST', 'akiezun'), ('FIXED', '2001-11-21 05:27:34 EST', 'akiezun'), ('VERIFIED', '2002-01-18 06:44:01 EST', 'andre_weinand')]</t>
  </si>
  <si>
    <t>3339</t>
  </si>
  <si>
    <t>2002-08-21 06:19:59 EDT</t>
  </si>
  <si>
    <t>2002-07-26 12:38:25 EDT</t>
  </si>
  <si>
    <t>2001-10-17 09:12:15 EDT</t>
  </si>
  <si>
    <t>[('CREATED', '2001-10-10 23:02 EDT'), ('RESOLVED', '2001-10-17 09:12:15 EDT', 'akiezun'), ('LATER', '2001-10-17 09:12:15 EDT', 'akiezun'), ('3339', '2001-10-17 09:12:15 EDT', 'akiezun'), ('REOPENED', '2002-07-26 12:38:25 EDT', 'akiezun'), ('---', '2002-07-26 12:38:25 EDT', 'akiezun'), ('RESOLVED', '2002-08-21 06:19:59 EDT', 'akiezun'), ('FIXED', '2002-08-21 06:19:59 EDT', 'akiezun')]</t>
  </si>
  <si>
    <t>2001-10-11 11:21:21 EDT</t>
  </si>
  <si>
    <t>2002-01-18 07:05:23 EST</t>
  </si>
  <si>
    <t>[('CREATED', '2001-10-10 23:02 EDT'), ('RESOLVED', '2001-10-11 11:21:21 EDT', 'akiezun'), ('FIXED', '2001-10-11 11:21:21 EDT', 'akiezun'), ('VERIFIED', '2002-01-18 07:05:23 EST', 'andre_weinand')]</t>
  </si>
  <si>
    <t>2001-11-11 05:54:30 EST</t>
  </si>
  <si>
    <t>2002-01-18 07:06:21 EST</t>
  </si>
  <si>
    <t>2001-10-16 11:15:33 EDT</t>
  </si>
  <si>
    <t>[('CREATED', '2001-10-10 23:02 EDT'), ('ASSIGNED', '2001-10-16 11:15:33 EDT', 'martinae'), ('P4', '2001-10-16 11:15:33 EDT', 'martinae'), ('RESOLVED', '2001-11-11 05:54:30 EST', 'erich_gamma'), ('FIXED', '2001-11-11 05:54:30 EST', 'erich_gamma'), ('VERIFIED', '2002-01-18 07:06:21 EST', 'andre_weinand')]</t>
  </si>
  <si>
    <t>2001-10-11 11:31:05 EDT</t>
  </si>
  <si>
    <t>2001-10-11 11:30:34 EDT</t>
  </si>
  <si>
    <t>2020-10-02 13:57:02 EDT</t>
  </si>
  <si>
    <t>[('CREATED', '2001-10-10 23:02 EDT'), ('ASSIGNED', '2001-10-11 11:30:34 EDT', 'akiezun'), ('RESOLVED', '2001-10-11 11:31:05 EDT', 'akiezun'), ('FIXED', '2001-10-11 11:31:05 EDT', 'akiezun'), ('https://git.eclipse.org/r/c/www.eclipse.org/membership/+/170244', '2020-10-02 11:53:12 EDT', 'genie'), ('https://git.eclipse.org/c/www.eclipse.org/membership.git/commit/?id=00add301984bd84f6301b0cfceaa30f17fadd708', '2020-10-02 13:57:02 EDT', 'genie')]</t>
  </si>
  <si>
    <t>2001-11-12 12:30:02 EST</t>
  </si>
  <si>
    <t>2002-01-18 07:14:31 EST</t>
  </si>
  <si>
    <t>2001-10-16 11:13:35 EDT</t>
  </si>
  <si>
    <t>[('CREATED', '2001-10-10 23:02 EDT'), ('ASSIGNED', '2001-10-16 11:13:35 EDT', 'martinae'), ('P4', '2001-10-16 11:13:35 EDT', 'martinae'), ('Martin_Aeschlimann', '2001-11-10 13:22:00 EST', 'erich_gamma'), ('enhancement', '2001-11-10 13:22:00 EST', 'erich_gamma'), ('NEW', '2001-11-10 13:22:00 EST', 'erich_gamma'), ('P2', '2001-11-10 13:22:00 EST', 'erich_gamma'), ('RESOLVED', '2001-11-12 12:30:02 EST', 'martinae'), ('FIXED', '2001-11-12 12:30:02 EST', 'martinae'), ('VERIFIED', '2002-01-18 07:14:31 EST', 'andre_weinand')]</t>
  </si>
  <si>
    <t>2001-10-11 11:35:59 EDT</t>
  </si>
  <si>
    <t>2004-04-20 15:42:44 EDT</t>
  </si>
  <si>
    <t>Tod_Creasey</t>
  </si>
  <si>
    <t>[('CREATED', '2001-10-10 23:02 EDT'), ('RESOLVED', '2001-10-11 11:35:59 EDT', 'akiezun'), ('FIXED', '2001-10-11 11:35:59 EDT', 'akiezun'), ('thomasw', '2004-04-20 15:42:44 EDT', 'Tod_Creasey')]</t>
  </si>
  <si>
    <t>2001-10-11 11:38:11 EDT</t>
  </si>
  <si>
    <t>2002-01-18 07:24:33 EST</t>
  </si>
  <si>
    <t>2001-10-11 11:37:56 EDT</t>
  </si>
  <si>
    <t>[('CREATED', '2001-10-10 23:02 EDT'), ('ASSIGNED', '2001-10-11 11:37:56 EDT', 'akiezun'), ('RESOLVED', '2001-10-11 11:38:11 EDT', 'akiezun'), ('FIXED', '2001-10-11 11:38:11 EDT', 'akiezun'), ('VERIFIED', '2002-01-18 07:24:33 EST', 'andre_weinand')]</t>
  </si>
  <si>
    <t>2001-11-09 08:52:12 EST</t>
  </si>
  <si>
    <t>2002-01-18 08:09:49 EST</t>
  </si>
  <si>
    <t>2001-10-11 11:47:15 EDT</t>
  </si>
  <si>
    <t>2001-10-11 11:46:29 EDT</t>
  </si>
  <si>
    <t>[('CREATED', '2001-10-10 23:02 EDT'), ('RESOLVED', '2001-10-11 11:46:29 EDT', 'akiezun'), ('FIXED', '2001-10-11 11:46:29 EDT', 'akiezun'), ('REOPENED', '2001-10-11 11:47:15 EDT', 'akiezun'), ('---', '2001-10-11 11:47:15 EDT', 'akiezun'), ('Dirk_Baeumer', '2001-10-11 11:47:15 EDT', 'akiezun'), ('Dirk_Baeumer', '2001-10-12 05:57:38 EDT', 'erich_gamma'), ('NEW', '2001-10-12 05:57:38 EDT', 'erich_gamma'), ('RESOLVED', '2001-11-09 08:52:12 EST', 'dirk_baeumer'), ('FIXED', '2001-11-09 08:52:12 EST', 'dirk_baeumer'), ('VERIFIED', '2002-01-18 08:09:49 EST', 'andre_weinand')]</t>
  </si>
  <si>
    <t>2001-11-12 05:12:56 EST</t>
  </si>
  <si>
    <t>2001-10-16 11:13:56 EDT</t>
  </si>
  <si>
    <t>[('CREATED', '2001-10-10 23:02 EDT'), ('ASSIGNED', '2001-10-16 11:13:56 EDT', 'martinae'), ('P4', '2001-10-16 11:13:56 EDT', 'martinae'), ('Adam_Kiezun', '2001-11-10 16:54:56 EST', 'erich_gamma'), ('NEW', '2001-11-10 16:54:56 EST', 'erich_gamma'), ('RESOLVED', '2001-11-12 05:12:56 EST', 'akiezun'), ('FIXED', '2001-11-12 05:12:56 EST', 'akiezun')]</t>
  </si>
  <si>
    <t>2003-04-28 06:02:47 EDT</t>
  </si>
  <si>
    <t>2009-08-30 02:12:36 EDT</t>
  </si>
  <si>
    <t>2001-10-10 23:03 EDT</t>
  </si>
  <si>
    <t>2001-10-16 11:14:03 EDT</t>
  </si>
  <si>
    <t>[('CREATED', '2001-10-10 23:03 EDT'), ('ASSIGNED', '2001-10-16 11:14:03 EDT', 'martinae'), ('P4', '2001-10-16 11:14:03 EDT', 'martinae'), ('dirk_baeumer', '2001-10-24 07:24:48 EDT', 'erich_gamma'), ('LATER', '2002-02-27 12:06:38 EST', 'dirk_baeumer'), ('RESOLVED', '2002-02-27 12:06:38 EST', 'dirk_baeumer'), ('DRC: should log all changes made during refactoring (1GF5XJV) [refactoring]', '2002-07-25 12:42:48 EDT', 'dirk_baeumer'), ('jdt-ui-inbox', '2002-09-12 09:41:08 EDT', 'dirk_baeumer'), ('NEW', '2002-09-12 09:41:08 EDT', 'dirk_baeumer'), ('ASSIGNED', '2002-09-12 10:07:34 EDT', 'dirk_baeumer'), ('enhancement', '2002-09-18 04:27:37 EDT', 'akiezun'), ('RESOLVED', '2003-04-28 06:02:47 EDT', 'dirk_baeumer'), ('WONTFIX', '2009-08-30 02:12:36 EDT', 'denis.roy')]</t>
  </si>
  <si>
    <t>2002-03-11 10:36:40 EST</t>
  </si>
  <si>
    <t>2001-10-16 11:14:11 EDT</t>
  </si>
  <si>
    <t>[('CREATED', '2001-10-10 23:03 EDT'), ('ASSIGNED', '2001-10-16 11:14:11 EDT', 'martinae'), ('P4', '2001-10-16 11:14:11 EDT', 'martinae'), ('P2', '2001-10-20 12:02:17 EDT', 'erich_gamma'), ('Dirk_Baeumer', '2001-11-10 11:07:09 EST', 'erich_gamma'), ('NEW', '2001-11-10 11:07:09 EST', 'erich_gamma'), ('ASSIGNED', '2001-11-12 09:19:18 EST', 'dirk_baeumer'), ('RESOLVED', '2002-03-11 10:36:40 EST', 'dirk_baeumer'), ('FIXED', '2002-03-11 10:36:40 EST', 'dirk_baeumer')]</t>
  </si>
  <si>
    <t>13213 (view as bug list)</t>
  </si>
  <si>
    <t>15192</t>
  </si>
  <si>
    <t>2002-05-06 05:22:20 EDT</t>
  </si>
  <si>
    <t>2002-01-18 08:41:30 EST</t>
  </si>
  <si>
    <t>2001-10-16 11:14:14 EDT</t>
  </si>
  <si>
    <t>[('CREATED', '2001-10-10 23:03 EDT'), ('ASSIGNED', '2001-10-16 11:14:14 EDT', 'martinae'), ('P4', '2001-10-16 11:14:14 EDT', 'martinae'), ('RESOLVED', '2001-11-10 13:30:46 EST', 'erich_gamma'), ('FIXED', '2001-11-10 13:30:46 EST', 'erich_gamma'), ('REOPENED', '2002-01-18 08:41:30 EST', 'andre_weinand'), ('---', '2002-01-18 08:41:30 EST', 'andre_weinand'), ('Adam_Kiezun', '2002-01-18 11:05:07 EST', 'erich_gamma'), ('NEW', '2002-01-18 11:05:07 EST', 'erich_gamma'), ('erich_gamma', '2002-01-18 11:32:29 EST', 'akiezun'), ('P3', '2002-02-27 10:16:02 EST', 'daniel_megert'), ('ASSIGNED', '2002-02-27 10:16:02 EST', 'daniel_megert'), ('Claude_Knaus', '2002-05-02 08:17:49 EDT', 'akiezun'), ('15192', '2002-05-02 08:17:50 EDT', 'akiezun'), ('RESOLVED', '2002-05-06 05:22:20 EDT', 'akiezun'), ('FIXED', '2002-05-06 05:22:20 EDT', 'akiezun')]</t>
  </si>
  <si>
    <t>2001-10-12 07:00:58 EDT</t>
  </si>
  <si>
    <t>2002-01-21 02:58:30 EST</t>
  </si>
  <si>
    <t>[('CREATED', '2001-10-10 23:03 EDT'), ('RESOLVED', '2001-10-12 07:00:58 EDT', 'Claude_Knaus'), ('FIXED', '2001-10-12 07:00:58 EDT', 'Claude_Knaus'), ('VERIFIED', '2002-01-21 02:58:30 EST', 'andre_weinand')]</t>
  </si>
  <si>
    <t>2001-10-12 07:00:59 EDT</t>
  </si>
  <si>
    <t>2002-01-21 02:59:52 EST</t>
  </si>
  <si>
    <t>[('CREATED', '2001-10-10 23:03 EDT'), ('RESOLVED', '2001-10-12 07:00:59 EDT', 'Claude_Knaus'), ('FIXED', '2001-10-12 07:00:59 EDT', 'Claude_Knaus'), ('VERIFIED', '2002-01-21 02:59:52 EST', 'andre_weinand')]</t>
  </si>
  <si>
    <t>2002-02-08 11:18:39 EST</t>
  </si>
  <si>
    <t>[('CREATED', '2001-10-10 23:03 EDT'), ('FIXED', '2002-02-08 11:18:39 EST', 'akiezun'), ('RESOLVED', '2002-02-08 11:18:39 EST', 'akiezun')]</t>
  </si>
  <si>
    <t>2001-10-12 07:00:39 EDT</t>
  </si>
  <si>
    <t>Claude_Knaus</t>
  </si>
  <si>
    <t>[('CREATED', '2001-10-10 23:03 EDT'), ('RESOLVED', '2001-10-12 07:00:39 EDT', 'Claude_Knaus'), ('FIXED', '2001-10-12 07:00:39 EDT', 'Claude_Knaus')]</t>
  </si>
  <si>
    <t>2002-01-29 11:02:20 EST</t>
  </si>
  <si>
    <t>2001-10-10 23:04 EDT</t>
  </si>
  <si>
    <t>[('CREATED', '2001-10-10 23:04 EDT'), ('RESOLVED', '2002-01-29 11:02:20 EST', 'dirk_baeumer'), ('FIXED', '2002-01-29 11:02:20 EST', 'dirk_baeumer')]</t>
  </si>
  <si>
    <t>2001-10-12 07:01:07 EDT</t>
  </si>
  <si>
    <t>2002-01-22 07:23:03 EST</t>
  </si>
  <si>
    <t>[('CREATED', '2001-10-10 23:04 EDT'), ('RESOLVED', '2001-10-12 07:01:07 EDT', 'Claude_Knaus'), ('FIXED', '2001-10-12 07:01:07 EDT', 'Claude_Knaus'), ('VERIFIED', '2002-01-22 07:23:03 EST', 'andre_weinand')]</t>
  </si>
  <si>
    <t>2001-12-17 10:04:30 EST</t>
  </si>
  <si>
    <t>2002-01-22 07:58:08 EST</t>
  </si>
  <si>
    <t>2001-11-09 04:12:17 EST</t>
  </si>
  <si>
    <t>[('CREATED', '2001-10-10 23:04 EDT'), ('Adam_Kiezun', '2001-11-09 04:12:17 EST', 'dirk_baeumer'), ('NEW', '2001-11-09 04:12:17 EST', 'dirk_baeumer'), ('ASSIGNED', '2001-11-14 13:26:58 EST', 'akiezun'), ('RESOLVED', '2001-12-17 10:04:30 EST', 'akiezun'), ('FIXED', '2001-12-17 10:04:30 EST', 'akiezun'), ('VERIFIED', '2002-01-22 07:58:08 EST', 'andre_weinand')]</t>
  </si>
  <si>
    <t>65914 (view as bug list)</t>
  </si>
  <si>
    <t>2003-04-28 06:02:42 EDT</t>
  </si>
  <si>
    <t>2009-08-30 02:38:59 EDT</t>
  </si>
  <si>
    <t>2001-10-16 11:12:34 EDT</t>
  </si>
  <si>
    <t>[('CREATED', '2001-10-10 23:04 EDT'), ('ASSIGNED', '2001-10-16 11:12:34 EDT', 'martinae'), ('P4', '2001-10-16 11:12:34 EDT', 'martinae'), ('RESOLVED', '2001-11-11 06:27:38 EST', 'erich_gamma'), ('LATER', '2001-11-11 06:27:38 EST', 'erich_gamma'), ('DCR: Java Importer (File and JAR) (1GJ5QB5) [general issue]', '2002-09-02 06:45:59 EDT', 'dirk_baeumer'), ('jdt-ui-inbox', '2002-09-12 09:39:22 EDT', 'dirk_baeumer'), ('NEW', '2002-09-12 09:39:22 EDT', 'dirk_baeumer'), ('ASSIGNED', '2002-09-12 10:04:34 EDT', 'dirk_baeumer'), ('enhancement', '2002-09-18 12:18:18 EDT', 'dirk_baeumer'), ('RESOLVED', '2003-04-28 06:02:42 EDT', 'dirk_baeumer'), ('xavier.mehaut', '2004-06-08 19:29:13 EDT', 'dirk_baeumer'), ('WONTFIX', '2009-08-30 02:38:59 EDT', 'webmaster')]</t>
  </si>
  <si>
    <t>2001-10-12 07:00:42 EDT</t>
  </si>
  <si>
    <t>2002-01-22 08:27:11 EST</t>
  </si>
  <si>
    <t>[('CREATED', '2001-10-10 23:04 EDT'), ('RESOLVED', '2001-10-12 07:00:42 EDT', 'Claude_Knaus'), ('FIXED', '2001-10-12 07:00:42 EDT', 'Claude_Knaus'), ('VERIFIED', '2002-01-22 08:27:11 EST', 'andre_weinand')]</t>
  </si>
  <si>
    <t>2002-05-04 13:43:14 EDT</t>
  </si>
  <si>
    <t>2001-11-12 11:50:32 EST</t>
  </si>
  <si>
    <t>2001-10-10 23:05 EDT</t>
  </si>
  <si>
    <t>2001-10-16 11:13:19 EDT</t>
  </si>
  <si>
    <t>[('CREATED', '2001-10-10 23:05 EDT'), ('ASSIGNED', '2001-10-16 11:13:19 EDT', 'martinae'), ('P4', '2001-10-16 11:13:19 EDT', 'martinae'), ('RESOLVED', '2001-11-10 19:06:28 EST', 'erich_gamma'), ('WORKSFORME', '2001-11-10 19:06:28 EST', 'erich_gamma'), ('REOPENED', '2001-11-12 11:50:32 EST', 'lynne_kues'), ('---', '2001-11-12 11:50:32 EST', 'lynne_kues'), ('Adam_Kiezun', '2001-11-12 15:45:43 EST', 'erich_gamma'), ('NEW', '2001-11-12 15:45:43 EST', 'erich_gamma'), ('P1', '2001-11-12 15:45:43 EST', 'erich_gamma'), ('ASSIGNED', '2001-11-14 08:26:04 EST', 'akiezun'), ('erich_gamma', '2001-11-14 09:37:12 EST', 'akiezun'), ('Erich_Gamma', '2001-12-03 07:03:00 EST', 'akiezun'), ('NEW', '2001-12-03 07:03:00 EST', 'akiezun'), ('ASSIGNED', '2002-01-10 04:58:16 EST', 'dirk_baeumer'), ('RESOLVED', '2002-05-04 13:43:14 EDT', 'erich_gamma'), ('WORKSFORME', '2002-05-04 13:43:14 EDT', 'erich_gamma')]</t>
  </si>
  <si>
    <t>2001-10-20 11:51:03 EDT</t>
  </si>
  <si>
    <t>2002-01-23 03:57:24 EST</t>
  </si>
  <si>
    <t>2001-10-16 11:13:53 EDT</t>
  </si>
  <si>
    <t>[('CREATED', '2001-10-10 23:05 EDT'), ('ASSIGNED', '2001-10-16 11:13:53 EDT', 'martinae'), ('P4', '2001-10-16 11:13:53 EDT', 'martinae'), ('RESOLVED', '2001-10-20 11:51:03 EDT', 'erich_gamma'), ('FIXED', '2001-10-20 11:51:03 EDT', 'erich_gamma'), ('VERIFIED', '2002-01-23 03:57:24 EST', 'andre_weinand')]</t>
  </si>
  <si>
    <t>2001-10-12 07:01:08 EDT</t>
  </si>
  <si>
    <t>2002-01-25 01:12:15 EST</t>
  </si>
  <si>
    <t>[('CREATED', '2001-10-10 23:05 EDT'), ('RESOLVED', '2001-10-12 07:01:08 EDT', 'Claude_Knaus'), ('FIXED', '2001-10-12 07:01:08 EDT', 'Claude_Knaus'), ('VERIFIED', '2002-01-25 01:12:15 EST', 'andre_weinand')]</t>
  </si>
  <si>
    <t>10380</t>
  </si>
  <si>
    <t>2002-05-11 06:59:24 EDT</t>
  </si>
  <si>
    <t>2001-10-29 17:31:24 EST</t>
  </si>
  <si>
    <t>[('CREATED', '2001-10-10 23:05 EDT'), ('10380', '2001-10-29 17:31:24 EST', 'dirk_baeumer'), ('RESOLVED', '2002-05-11 06:59:24 EDT', 'dirk_baeumer'), ('FIXED', '2002-05-11 06:59:24 EDT', 'dirk_baeumer')]</t>
  </si>
  <si>
    <t>2002-01-15 04:51:04 EST</t>
  </si>
  <si>
    <t>2001-10-10 23:06 EDT</t>
  </si>
  <si>
    <t>2001-10-16 11:13:20 EDT</t>
  </si>
  <si>
    <t>[('CREATED', '2001-10-10 23:06 EDT'), ('ASSIGNED', '2001-10-16 11:13:20 EDT', 'martinae'), ('P4', '2001-10-16 11:13:20 EDT', 'martinae'), ('Adam_Kiezun', '2002-01-07 10:40:05 EST', 'akiezun'), ('NEW', '2002-01-07 10:40:05 EST', 'akiezun'), ('RESOLVED', '2002-01-15 04:51:04 EST', 'akiezun'), ('FIXED', '2002-01-15 04:51:04 EST', 'akiezun')]</t>
  </si>
  <si>
    <t>2003-04-28 06:03:53 EDT</t>
  </si>
  <si>
    <t>2009-08-30 02:20:04 EDT</t>
  </si>
  <si>
    <t>[('CREATED', '2001-10-10 23:06 EDT'), ('ASSIGNED', '2001-10-16 11:13:21 EDT', 'martinae'), ('P4', '2001-10-16 11:13:21 EDT', 'martinae'), ('NEW', '2001-11-11 16:26:58 EST', 'erich_gamma'), ('Dirk_Baeumer', '2001-11-11 16:26:58 EST', 'erich_gamma'), ('Erich_Gamma', '2002-01-29 12:01:36 EST', 'dirk_baeumer'), ('RESOLVED', '2002-01-29 12:01:50 EST', 'dirk_baeumer'), ('LATER', '2002-01-29 12:01:50 EST', 'dirk_baeumer'), ('review: packages in refactoring ui need rework (1GIKA4O) [refactoring]', '2002-07-25 13:05:38 EDT', 'dirk_baeumer'), ('jdt-ui-inbox', '2002-09-12 09:40:26 EDT', 'dirk_baeumer'), ('NEW', '2002-09-12 09:40:26 EDT', 'dirk_baeumer'), ('ASSIGNED', '2002-09-12 10:05:51 EDT', 'dirk_baeumer'), ('RESOLVED', '2003-04-28 06:03:53 EDT', 'dirk_baeumer'), ('WONTFIX', '2009-08-30 02:20:04 EDT', 'denis.roy')]</t>
  </si>
  <si>
    <t>3483 (view as bug list)</t>
  </si>
  <si>
    <t>2001-11-15 08:17:44 EST</t>
  </si>
  <si>
    <t>2002-01-25 02:13:51 EST</t>
  </si>
  <si>
    <t>2001-10-16 11:13:32 EDT</t>
  </si>
  <si>
    <t>[('CREATED', '2001-10-10 23:06 EDT'), ('ASSIGNED', '2001-10-16 11:13:32 EDT', 'martinae'), ('P4', '2001-10-16 11:13:32 EDT', 'martinae'), ('Adam_Kiezun', '2001-11-11 11:44:26 EST', 'erich_gamma'), ('NEW', '2001-11-11 11:44:26 EST', 'erich_gamma'), ('P2', '2001-11-11 11:44:26 EST', 'erich_gamma'), ('ASSIGNED', '2001-11-14 13:26:34 EST', 'akiezun'), ('Daniel_Megert', '2001-11-14 13:31:36 EST', 'akiezun'), ('RESOLVED', '2001-11-15 08:17:44 EST', 'akiezun'), ('FIXED', '2001-11-15 08:17:44 EST', 'akiezun'), ('VERIFIED', '2002-01-25 02:13:51 EST', 'andre_weinand')]</t>
  </si>
  <si>
    <t>2002-08-14 05:03:40 EDT</t>
  </si>
  <si>
    <t>2002-08-14 05:03:02 EDT</t>
  </si>
  <si>
    <t>2001-10-16 11:13:34 EDT</t>
  </si>
  <si>
    <t>[('CREATED', '2001-10-10 23:06 EDT'), ('ASSIGNED', '2001-10-16 11:13:34 EDT', 'martinae'), ('P4', '2001-10-16 11:13:34 EDT', 'martinae'), ('NEW', '2001-11-11 16:29:11 EST', 'erich_gamma'), ('Dirk_Baeumer', '2001-11-11 16:29:11 EST', 'erich_gamma'), ('RESOLVED', '2001-11-12 08:37:24 EST', 'dirk_baeumer'), ('LATER', '2001-11-12 08:37:24 EST', 'dirk_baeumer'), ('REOPENED', '2002-08-14 05:03:02 EDT', 'dirk_baeumer'), ('---', '2002-08-14 05:03:02 EDT', 'dirk_baeumer'), ('RESOLVED', '2002-08-14 05:03:40 EDT', 'dirk_baeumer'), ('WONTFIX', '2002-08-14 05:03:40 EDT', 'dirk_baeumer')]</t>
  </si>
  <si>
    <t>2001-10-11 11:48:12 EDT</t>
  </si>
  <si>
    <t>2001-10-11 11:48:24 EDT</t>
  </si>
  <si>
    <t>[('CREATED', '2001-10-10 23:06 EDT'), ('RESOLVED', '2001-10-11 11:48:12 EDT', 'Claude_Knaus'), ('FIXED', '2001-10-11 11:48:12 EDT', 'Claude_Knaus'), ('VERIFIED', '2001-10-11 11:48:24 EDT', 'Claude_Knaus')]</t>
  </si>
  <si>
    <t>2001-10-12 07:01:03 EDT</t>
  </si>
  <si>
    <t>[('CREATED', '2001-10-10 23:06 EDT'), ('RESOLVED', '2001-10-12 07:01:03 EDT', 'Claude_Knaus'), ('FIXED', '2001-10-12 07:01:03 EDT', 'Claude_Knaus')]</t>
  </si>
  <si>
    <t>2002-01-25 11:05:04 EST</t>
  </si>
  <si>
    <t>[('CREATED', '2001-10-10 23:06 EDT'), ('RESOLVED', '2002-01-25 11:05:04 EST', 'dirk_baeumer'), ('FIXED', '2002-01-25 11:05:04 EST', 'dirk_baeumer')]</t>
  </si>
  <si>
    <t>RESOLVED  DUPLICATE  of bug 3641</t>
  </si>
  <si>
    <t>2002-01-14 11:22:01 EST</t>
  </si>
  <si>
    <t>2001-10-16 11:14:23 EDT</t>
  </si>
  <si>
    <t>[('CREATED', '2001-10-10 23:06 EDT'), ('ASSIGNED', '2001-10-16 11:14:23 EDT', 'martinae'), ('P4', '2001-10-16 11:14:23 EDT', 'martinae'), ('Andre_Weinand', '2001-11-11 11:19:14 EST', 'erich_gamma'), ('NEW', '2001-11-11 11:19:14 EST', 'erich_gamma'), ('P2', '2001-11-11 11:19:14 EST', 'erich_gamma'), ('buttler', '2001-11-11 11:19:14 EST', 'buttler1'), ('ASSIGNED', '2001-12-12 04:03:12 EST', 'andre_weinand'), ('2.0 M3', '2001-12-12 04:03:12 EST', 'andre_weinand'), ('RESOLVED', '2002-01-14 11:22:01 EST', 'andre_weinand'), ('DUPLICATE', '2002-01-14 11:22:01 EST', 'andre_weinand')]</t>
  </si>
  <si>
    <t>2001-10-11 11:24:16 EDT</t>
  </si>
  <si>
    <t>2001-10-11 11:24:43 EDT</t>
  </si>
  <si>
    <t>2001-10-10 23:07 EDT</t>
  </si>
  <si>
    <t>[('CREATED', '2001-10-10 23:07 EDT'), ('RESOLVED', '2001-10-11 11:24:16 EDT', 'Claude_Knaus'), ('FIXED', '2001-10-11 11:24:16 EDT', 'Claude_Knaus'), ('VERIFIED', '2001-10-11 11:24:43 EDT', 'Claude_Knaus')]</t>
  </si>
  <si>
    <t>2002-01-25 10:30:17 EST</t>
  </si>
  <si>
    <t>2002-01-28 02:58:05 EST</t>
  </si>
  <si>
    <t>[('CREATED', '2001-10-10 23:07 EDT'), ('RESOLVED', '2002-01-25 10:30:17 EST', 'dirk_baeumer'), ('FIXED', '2002-01-25 10:30:17 EST', 'dirk_baeumer'), ('VERIFIED', '2002-01-28 02:58:05 EST', 'andre_weinand')]</t>
  </si>
  <si>
    <t>2002-02-28 09:08:04 EST</t>
  </si>
  <si>
    <t>2002-02-27 09:21:10 EST</t>
  </si>
  <si>
    <t>[('CREATED', '2001-10-10 23:07 EDT'), ('Adam_Kiezun', '2002-02-27 09:21:10 EST', 'dirk_baeumer'), ('NEW', '2002-02-27 09:21:10 EST', 'dirk_baeumer'), ('P2', '2002-02-27 09:21:10 EST', 'dirk_baeumer'), ('RESOLVED', '2002-02-28 09:08:04 EST', 'akiezun'), ('FIXED', '2002-02-28 09:08:04 EST', 'akiezun')]</t>
  </si>
  <si>
    <t>2001-11-13 08:49:56 EST</t>
  </si>
  <si>
    <t>2001-10-11 10:59:14 EDT</t>
  </si>
  <si>
    <t>[('CREATED', '2001-10-10 23:07 EDT'), ('Andre_Weinand', '2001-10-11 10:59:14 EDT', 'Claude_Knaus'), ('FIXED', '2001-11-13 08:49:56 EST', 'erich_gamma'), ('RESOLVED', '2001-11-13 08:49:56 EST', 'erich_gamma')]</t>
  </si>
  <si>
    <t>2001-11-14 08:33:03 EST</t>
  </si>
  <si>
    <t>2001-11-11 05:07:48 EST</t>
  </si>
  <si>
    <t>[('CREATED', '2001-10-10 23:07 EDT'), ('Dirk_Baeumer', '2001-11-11 05:07:48 EST', 'erich_gamma'), ('NEW', '2001-11-11 05:07:48 EST', 'erich_gamma'), ('Adam_Kiezun', '2001-11-12 05:46:23 EST', 'dirk_baeumer'), ('RESOLVED', '2001-11-14 08:33:03 EST', 'akiezun'), ('FIXED', '2001-11-14 08:33:03 EST', 'akiezun')]</t>
  </si>
  <si>
    <t>2001-10-11 09:13:44 EDT</t>
  </si>
  <si>
    <t>2001-10-11 09:13:53 EDT</t>
  </si>
  <si>
    <t>[('CREATED', '2001-10-10 23:07 EDT'), ('RESOLVED', '2001-10-11 09:13:44 EDT', 'Claude_Knaus'), ('FIXED', '2001-10-11 09:13:44 EDT', 'Claude_Knaus'), ('VERIFIED', '2001-10-11 09:13:53 EDT', 'Claude_Knaus')]</t>
  </si>
  <si>
    <t>8663 (view as bug list)</t>
  </si>
  <si>
    <t>2003-04-28 06:03:25 EDT</t>
  </si>
  <si>
    <t>2009-08-30 02:19:47 EDT</t>
  </si>
  <si>
    <t>[('CREATED', '2001-10-10 23:07 EDT'), ('ASSIGNED', '2001-10-16 11:14:06 EDT', 'martinae'), ('P4', '2001-10-16 11:14:06 EDT', 'martinae'), ('Adam_Kiezun', '2001-11-11 16:34:56 EST', 'erich_gamma'), ('NEW', '2001-11-11 16:34:56 EST', 'erich_gamma'), ('Philippe_Mulet', '2001-11-14 12:49:16 EST', 'erich_gamma'), ('Core', '2001-11-14 12:49:16 EST', 'erich_gamma'), ('3624', '2001-11-15 05:15:13 EST', 'akiezun'), ('Adam_Kiezun', '2001-11-29 09:32:57 EST', 'erich_gamma'), ('ASSIGNED', '2001-11-29 12:04:25 EST', 'akiezun'), ('wegener', '2001-12-14 07:13:25 EST', 'dpwegener'), ('neil_swingler', '2002-02-04 11:45:55 EST', 'neil'), ('Olivier_Thomann', '2002-03-29 06:26:05 EST', 'philippe_mulet'), ('NEW', '2002-03-29 06:26:05 EST', 'philippe_mulet'), ('2.0 M6', '2002-03-29 06:26:05 EST', 'philippe_mulet'), ('Erich_Gamma', '2002-04-02 12:04:14 EST', 'Olivier_Thomann'), ('UI', '2002-04-02 12:04:14 EST', 'Olivier_Thomann'), ('Adam_Kiezun', '2002-04-02 15:20:22 EST', 'akiezun'), ('bguder', '2002-05-11 15:12:29 EDT', 'erich_gamma'), ('RESOLVED', '2002-06-04 15:30:01 EDT', 'erich_gamma'), ('LATER', '2002-06-04 15:30:01 EDT', 'erich_gamma'), ('investigate', '2002-07-25 13:28:14 EDT', 'dirk_baeumer'), ('copy/move read-only compilation units (1GK1KJM) [ccp] [dnd] [refactoring]', '2002-07-25 13:28:14 EDT', 'dirk_baeumer'), ('---', '2002-07-25 13:28:14 EDT', 'dirk_baeumer'), ('jdt-ui-inbox', '2002-09-12 09:41:09 EDT', 'dirk_baeumer'), ('NEW', '2002-09-12 09:41:09 EDT', 'dirk_baeumer'), ('ASSIGNED', '2002-09-12 10:07:38 EDT', 'dirk_baeumer'), ('RESOLVED', '2003-04-28 06:03:25 EDT', 'dirk_baeumer'), ('WONTFIX', '2009-08-30 02:19:47 EDT', 'denis.roy')]</t>
  </si>
  <si>
    <t>2001-10-11 09:04:00 EDT</t>
  </si>
  <si>
    <t>2001-10-11 09:04:09 EDT</t>
  </si>
  <si>
    <t>[('CREATED', '2001-10-10 23:07 EDT'), ('RESOLVED', '2001-10-11 09:04:00 EDT', 'Claude_Knaus'), ('FIXED', '2001-10-11 09:04:00 EDT', 'Claude_Knaus'), ('VERIFIED', '2001-10-11 09:04:09 EDT', 'Claude_Knaus')]</t>
  </si>
  <si>
    <t>2001-11-11 15:42:12 EST</t>
  </si>
  <si>
    <t>2001-10-10 23:08 EDT</t>
  </si>
  <si>
    <t>2001-10-16 11:14:41 EDT</t>
  </si>
  <si>
    <t>[('CREATED', '2001-10-10 23:08 EDT'), ('ASSIGNED', '2001-10-16 11:14:41 EDT', 'martinae'), ('P4', '2001-10-16 11:14:41 EDT', 'martinae'), ('RESOLVED', '2001-11-11 15:42:12 EST', 'erich_gamma'), ('WONTFIX', '2001-11-11 15:42:12 EST', 'erich_gamma')]</t>
  </si>
  <si>
    <t>2001-10-11 08:41:01 EDT</t>
  </si>
  <si>
    <t>2001-10-11 08:41:14 EDT</t>
  </si>
  <si>
    <t>[('CREATED', '2001-10-10 23:08 EDT'), ('RESOLVED', '2001-10-11 08:41:01 EDT', 'Claude_Knaus'), ('FIXED', '2001-10-11 08:41:01 EDT', 'Claude_Knaus'), ('VERIFIED', '2001-10-11 08:41:14 EDT', 'Claude_Knaus')]</t>
  </si>
  <si>
    <t>3420 4113</t>
  </si>
  <si>
    <t>2001-10-31 13:38:30 EST</t>
  </si>
  <si>
    <t>2001-10-10 23:08:32 EDT</t>
  </si>
  <si>
    <t>[('CREATED', '2001-10-10 23:08 EDT'), ('3420, 4113', '2001-10-10 23:08:32 EDT', 'martinae'), ('RESOLVED', '2001-10-31 13:38:30 EST', 'martinae'), ('FIXED', '2001-10-31 13:38:30 EST', 'martinae')]</t>
  </si>
  <si>
    <t>2002-05-14 10:20:16 EDT</t>
  </si>
  <si>
    <t>2002-05-14 10:19:50 EDT</t>
  </si>
  <si>
    <t>2001-10-16 11:15:27 EDT</t>
  </si>
  <si>
    <t>2006-06-19 09:32:47 EDT</t>
  </si>
  <si>
    <t>rolarenfan</t>
  </si>
  <si>
    <t>[('CREATED', '2001-10-10 23:08 EDT'), ('ASSIGNED', '2001-10-16 11:15:27 EDT', 'martinae'), ('P4', '2001-10-16 11:15:27 EDT', 'martinae'), ('RESOLVED', '2001-11-11 15:41:35 EST', 'erich_gamma'), ('LATER', '2001-11-11 15:41:35 EST', 'erich_gamma'), ('mreterstorf', '2002-05-01 15:38:42 EDT', 'mreterstorf'), ('rolarenfan', '2002-05-01 15:38:42 EDT', 'rolarenfan'), ('David_Whiteman', '2002-05-02 22:24:08 EDT', 'dlwhiteman'), ('REOPENED', '2002-05-14 10:19:50 EDT', 'erich_gamma'), ('---', '2002-05-14 10:19:50 EDT', 'erich_gamma'), ('RESOLVED', '2002-05-14 10:20:16 EDT', 'erich_gamma'), ('FIXED', '2002-05-14 10:20:16 EDT', 'erich_gamma'), (nan, '2006-06-19 09:32:47 EDT', 'rolarenfan')]</t>
  </si>
  <si>
    <t>2001-11-09 06:28:01 EST</t>
  </si>
  <si>
    <t>2002-02-08 03:07:30 EST</t>
  </si>
  <si>
    <t>[('CREATED', '2001-10-10 23:08 EDT'), ('RESOLVED', '2001-11-09 06:28:01 EST', 'dirk_baeumer'), ('FIXED', '2001-11-09 06:28:01 EST', 'dirk_baeumer'), ('VERIFIED', '2002-02-08 03:07:30 EST', 'andre_weinand')]</t>
  </si>
  <si>
    <t>3642 4375</t>
  </si>
  <si>
    <t>2001-12-17 10:32:56 EST</t>
  </si>
  <si>
    <t>2001-10-17 09:03:12 EDT</t>
  </si>
  <si>
    <t>[('CREATED', '2001-10-10 23:08 EDT'), ('4375', '2001-10-17 09:03:12 EDT', 'akiezun'), ('3642', '2001-11-10 15:19:42 EST', 'akiezun'), ('Dirk_Baeumer', '2001-11-19 05:44:08 EST', 'martinae'), ('NEW', '2001-11-19 05:44:08 EST', 'martinae'), ('Adam_Kiezun', '2001-11-30 05:00:25 EST', 'akiezun'), ('RESOLVED', '2001-12-17 10:32:56 EST', 'akiezun'), ('FIXED', '2001-12-17 10:32:56 EST', 'akiezun')]</t>
  </si>
  <si>
    <t>2001-10-12 06:54:08 EDT</t>
  </si>
  <si>
    <t>[('CREATED', '2001-10-10 23:08 EDT'), ('RESOLVED', '2001-10-12 06:54:08 EDT', 'Claude_Knaus'), ('FIXED', '2001-10-12 06:54:08 EDT', 'Claude_Knaus')]</t>
  </si>
  <si>
    <t>2001-10-11 09:49:21 EDT</t>
  </si>
  <si>
    <t>2001-10-10 23:09 EDT</t>
  </si>
  <si>
    <t>[('CREATED', '2001-10-10 23:09 EDT'), ('RESOLVED', '2001-10-11 09:49:21 EDT', 'akiezun'), ('FIXED', '2001-10-11 09:49:21 EDT', 'akiezun')]</t>
  </si>
  <si>
    <t>2001-10-11 06:46:34 EDT</t>
  </si>
  <si>
    <t>2001-10-11 06:48:50 EDT</t>
  </si>
  <si>
    <t>[('CREATED', '2001-10-10 23:09 EDT'), ('RESOLVED', '2001-10-11 06:46:34 EDT', 'Claude_Knaus'), ('FIXED', '2001-10-11 06:46:34 EDT', 'Claude_Knaus'), ('VERIFIED', '2001-10-11 06:48:50 EDT', 'Claude_Knaus')]</t>
  </si>
  <si>
    <t>2001-10-11 06:06:24 EDT</t>
  </si>
  <si>
    <t>2001-10-11 06:06:44 EDT</t>
  </si>
  <si>
    <t>[('CREATED', '2001-10-10 23:09 EDT'), ('RESOLVED', '2001-10-11 06:06:24 EDT', 'Claude_Knaus'), ('FIXED', '2001-10-11 06:06:24 EDT', 'Claude_Knaus'), ('VERIFIED', '2001-10-11 06:06:44 EDT', 'Claude_Knaus')]</t>
  </si>
  <si>
    <t>2001-10-11 09:03:17 EDT</t>
  </si>
  <si>
    <t>2002-02-08 03:54:25 EST</t>
  </si>
  <si>
    <t>[('CREATED', '2001-10-10 23:09 EDT'), ('RESOLVED', '2001-10-11 09:03:17 EDT', 'dirk_baeumer'), ('FIXED', '2001-10-11 09:03:17 EDT', 'dirk_baeumer'), ('VERIFIED', '2002-02-08 03:54:25 EST', 'andre_weinand')]</t>
  </si>
  <si>
    <t>2003-04-24 11:29:10 EDT</t>
  </si>
  <si>
    <t>2001-10-16 11:15:23 EDT</t>
  </si>
  <si>
    <t>[('CREATED', '2001-10-10 23:09 EDT'), ('ASSIGNED', '2001-10-16 11:15:23 EDT', 'martinae'), ('P4', '2001-10-16 11:15:23 EDT', 'martinae'), ('LATER', '2002-02-27 06:06:51 EST', 'akiezun'), ('RESOLVED', '2002-02-27 06:06:51 EST', 'akiezun'), ('helpwanted', '2002-02-27 06:06:51 EST', 'akiezun'), ('DCR: migrate refactoring (1GLDJDD) [refactoring]', '2002-07-25 13:34:16 EDT', 'dirk_baeumer'), ('jdt-ui-inbox', '2002-09-12 09:41:49 EDT', 'dirk_baeumer'), ('NEW', '2002-09-12 09:41:49 EDT', 'dirk_baeumer'), ('ASSIGNED', '2002-09-12 10:09:52 EDT', 'dirk_baeumer'), ('enhancement', '2002-09-18 04:28:24 EDT', 'akiezun'), ('RESOLVED', '2003-04-24 11:29:10 EDT', 'dirk_baeumer'), ('WONTFIX', '2003-04-24 11:29:10 EDT', 'dirk_baeumer')]</t>
  </si>
  <si>
    <t>5915</t>
  </si>
  <si>
    <t>2004-08-13 11:43:38 EDT</t>
  </si>
  <si>
    <t>2004-08-13 11:43:16 EDT</t>
  </si>
  <si>
    <t>2001-11-14 13:14:21 EST</t>
  </si>
  <si>
    <t>[('CREATED', '2001-10-10 23:09 EDT'), ('5915', '2001-11-14 13:14:21 EST', 'akiezun'), ('Adam_Kiezun', '2001-12-18 09:47:44 EST', 'erich_gamma'), ('NEW', '2001-12-18 09:47:44 EST', 'erich_gamma'), ('Dirk_Baeumer', '2002-02-04 11:47:08 EST', 'akiezun'), ('RESOLVED', '2002-03-11 11:08:20 EST', 'dirk_baeumer'), ('LATER', '2002-03-11 11:08:20 EST', 'dirk_baeumer'), ('should decouple IChange performing from RefactoringWizard (1GLDK52) [refactoring]', '2002-08-14 05:04:11 EDT', 'dirk_baeumer'), ('REOPENED', '2004-08-13 11:43:16 EDT', 'dirk_baeumer'), ('---', '2004-08-13 11:43:16 EDT', 'dirk_baeumer'), ('RESOLVED', '2004-08-13 11:43:38 EDT', 'dirk_baeumer'), ('FIXED', '2004-08-13 11:43:38 EDT', 'dirk_baeumer')]</t>
  </si>
  <si>
    <t>2001-10-11 10:34:27 EDT</t>
  </si>
  <si>
    <t>2001-10-11 10:21 EDT</t>
  </si>
  <si>
    <t>[('CREATED', '2001-10-11 10:21 EDT'), ('RESOLVED', '2001-10-11 10:34:27 EDT', 'akiezun'), ('FIXED', '2001-10-11 10:34:27 EDT', 'akiezun')]</t>
  </si>
  <si>
    <t>2004-08-13 11:44:39 EDT</t>
  </si>
  <si>
    <t>2004-08-13 11:44:17 EDT</t>
  </si>
  <si>
    <t>2001-10-15 10:15 EDT</t>
  </si>
  <si>
    <t>2001-10-15 12:14:04 EDT</t>
  </si>
  <si>
    <t>[('CREATED', '2001-10-15 10:15 EDT'), ('Dirk_Baeumer', '2001-10-15 12:14:04 EDT', 'martinae'), ('karice_mcintyre', '2001-11-12 09:38:53 EST', 'Randy_Giffen'), ('RESOLVED', '2002-02-27 06:46:37 EST', 'akiezun'), ('LATER', '2002-02-27 06:46:37 EST', 'akiezun'), ('Rename Undo/Redo Refactoring [refactoring]', '2002-08-14 08:18:00 EDT', 'dirk_baeumer'), ('REOPENED', '2004-08-13 11:44:17 EDT', 'dirk_baeumer'), ('---', '2004-08-13 11:44:17 EDT', 'dirk_baeumer'), ('RESOLVED', '2004-08-13 11:44:39 EDT', 'dirk_baeumer'), ('WONTFIX', '2004-08-13 11:44:39 EDT', 'dirk_baeumer')]</t>
  </si>
  <si>
    <t>2896 2912</t>
  </si>
  <si>
    <t>2002-01-29 12:58:04 EST</t>
  </si>
  <si>
    <t>2001-10-15 10:31 EDT</t>
  </si>
  <si>
    <t>2001-10-15 12:15:29 EDT</t>
  </si>
  <si>
    <t>[('CREATED', '2001-10-15 10:31 EDT'), ('Dirk_Baeumer', '2001-10-15 12:15:29 EDT', 'martinae'), ('2896, 2912', '2001-10-22 10:22:57 EDT', 'dirk_baeumer'), ('ASSIGNED', '2001-11-12 09:39:21 EST', 'dirk_baeumer'), ('RESOLVED', '2002-01-29 12:58:04 EST', 'dirk_baeumer'), ('FIXED', '2002-01-29 12:58:04 EST', 'dirk_baeumer')]</t>
  </si>
  <si>
    <t>2001-10-26 11:39:03 EDT</t>
  </si>
  <si>
    <t>2001-10-16 10:50 EDT</t>
  </si>
  <si>
    <t>2001-10-16 10:55:59 EDT</t>
  </si>
  <si>
    <t>[('CREATED', '2001-10-16 10:50 EDT'), ('Adam_Kiezun', '2001-10-16 10:55:59 EDT', 'martinae'), ('ASSIGNED', '2001-10-16 11:43:52 EDT', 'akiezun'), ('RESOLVED', '2001-10-26 11:39:03 EDT', 'akiezun'), ('FIXED', '2001-10-26 11:39:03 EDT', 'akiezun')]</t>
  </si>
  <si>
    <t>2001-10-18 08:58:25 EDT</t>
  </si>
  <si>
    <t>2001-10-17 04:45 EDT</t>
  </si>
  <si>
    <t>2001-10-17 05:08:57 EDT</t>
  </si>
  <si>
    <t>[('CREATED', '2001-10-17 04:45 EDT'), ('ASSIGNED', '2001-10-17 05:08:57 EDT', 'akiezun'), ('RESOLVED', '2001-10-18 08:58:25 EDT', 'akiezun'), ('FIXED', '2001-10-18 08:58:25 EDT', 'akiezun')]</t>
  </si>
  <si>
    <t>2001-10-26 11:47:56 EDT</t>
  </si>
  <si>
    <t>2001-10-17 16:37 EDT</t>
  </si>
  <si>
    <t>2001-10-17 16:39:06 EDT</t>
  </si>
  <si>
    <t>[('CREATED', '2001-10-17 16:37 EDT'), ('UI', '2001-10-17 16:39:06 EDT', 'lynne_kues'), ('Erich_Gamma', '2001-10-18 05:19:34 EDT', 'philippe_mulet'), ('Adam_Kiezun', '2001-10-19 04:21:06 EDT', 'martinae'), ('RESOLVED', '2001-10-26 11:47:56 EDT', 'akiezun'), ('WORKSFORME', '2001-10-26 11:47:56 EDT', 'akiezun')]</t>
  </si>
  <si>
    <t>2001-10-31 12:02:40 EST</t>
  </si>
  <si>
    <t>2001-10-23 05:06 EDT</t>
  </si>
  <si>
    <t>2001-10-23 11:30:37 EDT</t>
  </si>
  <si>
    <t>[('CREATED', '2001-10-23 05:06 EDT'), ('Martin_Aeschlimann', '2001-10-23 11:30:37 EDT', 'martinae'), ('RESOLVED', '2001-10-31 12:02:40 EST', 'martinae'), ('FIXED', '2001-10-31 12:02:40 EST', 'martinae')]</t>
  </si>
  <si>
    <t>RESOLVED  DUPLICATE  of bug 14230</t>
  </si>
  <si>
    <t>2002-09-18 11:16:23 EDT</t>
  </si>
  <si>
    <t>2002-01-29 10:30:37 EST</t>
  </si>
  <si>
    <t>2001-10-23 09:27 EDT</t>
  </si>
  <si>
    <t>2001-11-12 09:37:01 EST</t>
  </si>
  <si>
    <t>[('CREATED', '2001-10-23 09:27 EDT'), ('ASSIGNED', '2001-11-12 09:37:01 EST', 'dirk_baeumer'), ('P2', '2001-11-12 09:37:01 EST', 'dirk_baeumer'), ('RESOLVED', '2002-01-29 10:29:59 EST', 'dirk_baeumer'), ('LATER', '2002-01-29 10:29:59 EST', 'dirk_baeumer'), ('REOPENED', '2002-01-29 10:30:37 EST', 'dirk_baeumer'), ('---', '2002-01-29 10:30:37 EST', 'dirk_baeumer'), ('Erich_Gamma', '2002-01-29 10:30:53 EST', 'dirk_baeumer'), ('NEW', '2002-01-29 10:30:53 EST', 'dirk_baeumer'), ('RESOLVED', '2002-01-29 10:31:17 EST', 'dirk_baeumer'), ('LATER', '2002-01-29 10:31:17 EST', 'dirk_baeumer'), ('Change JavaModelException to CoreException [refactoring]', '2002-07-25 13:34:49 EDT', 'dirk_baeumer'), ('NEW', '2002-09-12 09:39:13 EDT', 'dirk_baeumer'), ('jdt-ui-inbox', '2002-09-12 09:39:13 EDT', 'dirk_baeumer'), ('ASSIGNED', '2002-09-12 10:04:28 EDT', 'dirk_baeumer'), ('RESOLVED', '2002-09-18 11:16:23 EDT', 'dirk_baeumer'), ('DUPLICATE', '2002-09-18 11:16:23 EDT', 'dirk_baeumer')]</t>
  </si>
  <si>
    <t>2001-10-26 06:21:23 EDT</t>
  </si>
  <si>
    <t>2001-10-23 11:06 EDT</t>
  </si>
  <si>
    <t>2001-10-26 06:21:01 EDT</t>
  </si>
  <si>
    <t>[('CREATED', '2001-10-23 11:06 EDT'), ('Adam_Kiezun', '2001-10-26 06:21:01 EDT', 'akiezun'), ('RESOLVED', '2001-10-26 06:21:23 EDT', 'akiezun'), ('FIXED', '2001-10-26 06:21:23 EDT', 'akiezun')]</t>
  </si>
  <si>
    <t>2001-10-26 11:25:30 EDT</t>
  </si>
  <si>
    <t>2001-10-23 11:54 EDT</t>
  </si>
  <si>
    <t>[('CREATED', '2001-10-23 11:54 EDT'), ('RESOLVED', '2001-10-26 11:25:30 EDT', 'akiezun'), ('WORKSFORME', '2001-10-26 11:25:30 EDT', 'akiezun')]</t>
  </si>
  <si>
    <t>P5</t>
  </si>
  <si>
    <t>2002-07-25 13:38:11 EDT</t>
  </si>
  <si>
    <t>2002-07-25 13:37:58 EDT</t>
  </si>
  <si>
    <t>2001-10-24 05:18 EDT</t>
  </si>
  <si>
    <t>2002-01-08 08:36:58 EST</t>
  </si>
  <si>
    <t>[('CREATED', '2001-10-24 05:18 EDT'), ('RESOLVED', '2002-01-08 08:36:58 EST', 'dirk_baeumer'), ('P5', '2002-01-08 08:36:58 EST', 'dirk_baeumer'), ('LATER', '2002-01-08 08:36:58 EST', 'dirk_baeumer'), ('Dirk_Baeumer', '2002-01-08 08:36:58 EST', 'martinae'), ('REOPENED', '2002-07-25 13:37:58 EDT', 'dirk_baeumer'), ('---', '2002-07-25 13:37:58 EDT', 'dirk_baeumer'), ('RESOLVED', '2002-07-25 13:38:11 EDT', 'dirk_baeumer'), ('WORKSFORME', '2002-07-25 13:38:11 EDT', 'dirk_baeumer')]</t>
  </si>
  <si>
    <t>2001-10-25 13:07:16 EDT</t>
  </si>
  <si>
    <t>2001-10-25 10:25 EDT</t>
  </si>
  <si>
    <t>[('CREATED', '2001-10-25 10:25 EDT'), ('RESOLVED', '2001-10-25 13:07:16 EDT', 'martinae'), ('FIXED', '2001-10-25 13:07:16 EDT', 'martinae')]</t>
  </si>
  <si>
    <t>2002-01-08 09:02:17 EST</t>
  </si>
  <si>
    <t>2001-10-26 11:29 EDT</t>
  </si>
  <si>
    <t>[('CREATED', '2001-10-26 11:29 EDT'), ('RESOLVED', '2002-01-08 09:02:17 EST', 'dirk_baeumer'), ('WORKSFORME', '2002-01-08 09:02:17 EST', 'dirk_baeumer')]</t>
  </si>
  <si>
    <t>2001-10-29 05:57:04 EST</t>
  </si>
  <si>
    <t>2001-10-29 05:50 EST</t>
  </si>
  <si>
    <t>[('CREATED', '2001-10-29 05:50 EST'), ('RESOLVED', '2001-10-29 05:57:04 EST', 'erich_gamma'), ('WONTFIX', '2001-10-29 05:57:04 EST', 'erich_gamma')]</t>
  </si>
  <si>
    <t>2002-02-12 11:17:37 EST</t>
  </si>
  <si>
    <t>2002-02-13 10:42:47 EST</t>
  </si>
  <si>
    <t>2001-10-29 17:01 EST</t>
  </si>
  <si>
    <t>2001-10-29 17:07:42 EST</t>
  </si>
  <si>
    <t>[('CREATED', '2001-10-29 17:01 EST'), ('Dirk_Baeumer', '2001-10-29 17:07:42 EST', 'erich_gamma'), ('ASSIGNED', '2001-11-12 09:39:38 EST', 'dirk_baeumer'), ('RESOLVED', '2002-02-12 11:17:37 EST', 'dirk_baeumer'), ('FIXED', '2002-02-12 11:17:37 EST', 'dirk_baeumer'), ('VERIFIED', '2002-02-13 10:42:47 EST', 'Claude_Knaus')]</t>
  </si>
  <si>
    <t>2002-03-25 05:15:09 EST</t>
  </si>
  <si>
    <t>2001-10-29 17:13 EST</t>
  </si>
  <si>
    <t>2001-11-12 08:33:10 EST</t>
  </si>
  <si>
    <t>[('CREATED', '2001-10-29 17:13 EST'), ('ASSIGNED', '2001-11-12 08:33:10 EST', 'erich_gamma'), ('RESOLVED', '2002-03-25 05:15:09 EST', 'erich_gamma'), ('FIXED', '2002-03-25 05:15:09 EST', 'erich_gamma')]</t>
  </si>
  <si>
    <t>2002-01-24 12:41:00 EST</t>
  </si>
  <si>
    <t>2001-10-30 06:21 EST</t>
  </si>
  <si>
    <t>2001-11-12 09:35:36 EST</t>
  </si>
  <si>
    <t>[('CREATED', '2001-10-30 06:21 EST'), ('ASSIGNED', '2001-11-12 09:35:36 EST', 'dirk_baeumer'), ('FIXED', '2002-01-24 12:41:00 EST', 'dirk_baeumer'), ('RESOLVED', '2002-01-24 12:41:00 EST', 'dirk_baeumer')]</t>
  </si>
  <si>
    <t>2001-11-07 07:59:18 EST</t>
  </si>
  <si>
    <t>2001-11-06 09:56 EST</t>
  </si>
  <si>
    <t>[('CREATED', '2001-11-06 09:56 EST'), ('RESOLVED', '2001-11-07 07:59:18 EST', 'erich_gamma'), ('WONTFIX', '2001-11-07 07:59:18 EST', 'erich_gamma')]</t>
  </si>
  <si>
    <t>2002-01-29 07:21:23 EST</t>
  </si>
  <si>
    <t>2001-11-07 06:55 EST</t>
  </si>
  <si>
    <t>2001-11-12 09:37:49 EST</t>
  </si>
  <si>
    <t>[('CREATED', '2001-11-07 06:55 EST'), ('P2', '2001-11-12 09:37:49 EST', 'dirk_baeumer'), ('ASSIGNED', '2001-11-12 09:37:58 EST', 'dirk_baeumer'), ('Adam_Kiezun', '2002-01-21 07:55:59 EST', 'dirk_baeumer'), ('NEW', '2002-01-21 07:55:59 EST', 'dirk_baeumer'), ('RESOLVED', '2002-01-29 07:21:23 EST', 'akiezun'), ('FIXED', '2002-01-29 07:21:23 EST', 'akiezun')]</t>
  </si>
  <si>
    <t>2001-11-09 08:47:39 EST</t>
  </si>
  <si>
    <t>2001-11-08 17:21 EST</t>
  </si>
  <si>
    <t>2001-11-09 05:10:17 EST</t>
  </si>
  <si>
    <t>[('CREATED', '2001-11-08 17:21 EST'), ('Dirk_Baeumer', '2001-11-09 05:10:17 EST', 'erich_gamma'), ('P2', '2001-11-09 05:10:17 EST', 'erich_gamma'), ('RESOLVED', '2001-11-09 08:47:39 EST', 'dirk_baeumer'), ('FIXED', '2001-11-09 08:47:39 EST', 'dirk_baeumer')]</t>
  </si>
  <si>
    <t>2001-11-14 08:59:36 EST</t>
  </si>
  <si>
    <t>2001-11-10 16:05 EST</t>
  </si>
  <si>
    <t>[('CREATED', '2001-11-10 16:05 EST'), ('RESOLVED', '2001-11-14 08:59:36 EST', 'akiezun'), ('FIXED', '2001-11-14 08:59:36 EST', 'akiezun')]</t>
  </si>
  <si>
    <t>2001-11-14 08:40:21 EST</t>
  </si>
  <si>
    <t>2001-11-13 08:37 EST</t>
  </si>
  <si>
    <t>2001-11-13 18:08:18 EST</t>
  </si>
  <si>
    <t>[('CREATED', '2001-11-13 08:37 EST'), ('Adam_Kiezun', '2001-11-13 18:08:18 EST', 'erich_gamma'), ('RESOLVED', '2001-11-14 08:40:21 EST', 'akiezun'), ('INVALID', '2001-11-14 08:40:21 EST', 'akiezun')]</t>
  </si>
  <si>
    <t>2001-11-16 11:25:49 EST</t>
  </si>
  <si>
    <t>2001-11-13 10:55 EST</t>
  </si>
  <si>
    <t>2001-11-14 13:25:37 EST</t>
  </si>
  <si>
    <t>[('CREATED', '2001-11-13 10:55 EST'), ('ASSIGNED', '2001-11-14 13:25:37 EST', 'akiezun'), ('RESOLVED', '2001-11-16 11:25:49 EST', 'akiezun'), ('FIXED', '2001-11-16 11:25:49 EST', 'akiezun')]</t>
  </si>
  <si>
    <t>2001-11-14 13:12:48 EST</t>
  </si>
  <si>
    <t>2001-11-14 09:01 EST</t>
  </si>
  <si>
    <t>2001-11-14 09:02:10 EST</t>
  </si>
  <si>
    <t>[('CREATED', '2001-11-14 09:01 EST'), ('Dirk_Baeumer', '2001-11-14 09:02:10 EST', 'akiezun'), ('RESOLVED', '2001-11-14 13:12:48 EST', 'dirk_baeumer'), ('FIXED', '2001-11-14 13:12:48 EST', 'dirk_baeumer')]</t>
  </si>
  <si>
    <t>2001-11-16 10:19:59 EST</t>
  </si>
  <si>
    <t>2001-11-14 09:27 EST</t>
  </si>
  <si>
    <t>2001-11-14 09:28:17 EST</t>
  </si>
  <si>
    <t>[('CREATED', '2001-11-14 09:27 EST'), ('ASSIGNED', '2001-11-14 09:28:17 EST', 'akiezun'), ('RESOLVED', '2001-11-16 10:19:59 EST', 'akiezun'), ('FIXED', '2001-11-16 10:19:59 EST', 'akiezun')]</t>
  </si>
  <si>
    <t>4328</t>
  </si>
  <si>
    <t>2001-12-19 06:36:31 EST</t>
  </si>
  <si>
    <t>2001-11-14 12:52 EST</t>
  </si>
  <si>
    <t>[('CREATED', '2001-11-14 12:52 EST'), ('ASSIGNED', '2001-11-14 13:14:21 EST', 'akiezun'), ('4328', '2001-11-14 13:14:21 EST', 'akiezun'), ('RESOLVED', '2001-12-19 06:36:31 EST', 'akiezun'), ('FIXED', '2001-12-19 06:36:31 EST', 'akiezun')]</t>
  </si>
  <si>
    <t>2002-01-24 12:38:03 EST</t>
  </si>
  <si>
    <t>2002-02-13 10:26:20 EST</t>
  </si>
  <si>
    <t>2001-11-15 11:49 EST</t>
  </si>
  <si>
    <t>2001-11-29 05:37:09 EST</t>
  </si>
  <si>
    <t>[('CREATED', '2001-11-15 11:49 EST'), ('P1', '2001-11-29 05:37:09 EST', 'erich_gamma'), ('Dirk_Baeumer', '2001-11-29 05:37:09 EST', 'akiezun'), ('Dirk_Baeumer', '2002-01-24 09:20:57 EST', 'akiezun'), ('FIXED', '2002-01-24 12:38:03 EST', 'dirk_baeumer'), ('RESOLVED', '2002-01-24 12:38:03 EST', 'dirk_baeumer'), ('VERIFIED', '2002-02-13 10:26:20 EST', 'martinae')]</t>
  </si>
  <si>
    <t>2001-12-04 06:24:32 EST</t>
  </si>
  <si>
    <t>2001-11-16 11:59 EST</t>
  </si>
  <si>
    <t>2001-11-16 12:02:31 EST</t>
  </si>
  <si>
    <t>[('CREATED', '2001-11-16 11:59 EST'), ('NPE during resource delete in package viewer', '2001-11-16 12:02:31 EST', 'knut_radloff'), ('Erich_Gamma', '2001-11-19 05:57:23 EST', 'philippe_mulet'), ('UI', '2001-11-19 05:57:23 EST', 'philippe_mulet'), ('Adam_Kiezun', '2001-11-19 08:20:55 EST', 'erich_gamma'), ('ASSIGNED', '2001-11-19 08:42:55 EST', 'akiezun'), ('P1', '2001-12-04 05:54:57 EST', 'erich_gamma'), ('RESOLVED', '2001-12-04 06:24:32 EST', 'akiezun'), ('FIXED', '2001-12-04 06:24:32 EST', 'akiezun')]</t>
  </si>
  <si>
    <t>3624</t>
  </si>
  <si>
    <t>2003-02-13 05:09:44 EST</t>
  </si>
  <si>
    <t>2001-11-19 06:31 EST</t>
  </si>
  <si>
    <t>2001-11-15 05:16:25 EST</t>
  </si>
  <si>
    <t>[('CREATED', '2001-11-19 06:31 EST'), ('3624', '2001-11-15 05:16:25 EST', 'akiezun'), ('Core', '2001-11-19 09:01:36 EST', 'akiezun'), ('Philippe_Mulet', '2001-11-19 09:02:23 EST', 'akiezun'), ('Olivier_Thomann', '2002-02-12 14:02:50 EST', 'philippe_mulet'), ('ASSIGNED', '2002-02-12 18:48:37 EST', 'philippe_mulet'), ('Philippe_Mulet', '2002-02-12 18:48:37 EST', 'Olivier_Thomann'), ('Erich_Gamma', '2002-05-22 12:32:09 EDT', 'Olivier_Thomann'), ('NEW', '2002-05-22 12:32:09 EDT', 'Olivier_Thomann'), ('UI', '2002-05-22 12:32:09 EDT', 'Olivier_Thomann'), ('Dirk_Baeumer', '2002-08-05 11:29:40 EDT', 'dirk_baeumer'), ('renaming a read-only package resets the read-only flag [refactoring]', '2002-08-05 11:29:40 EDT', 'dirk_baeumer'), ('jdt-ui-inbox', '2002-09-12 09:30:57 EDT', 'dirk_baeumer'), ('ASSIGNED', '2002-09-12 10:04:42 EDT', 'dirk_baeumer'), ('jdt-core-inbox', '2003-02-05 10:31:51 EST', 'dirk_baeumer'), ('NEW', '2003-02-05 10:31:51 EST', 'dirk_baeumer'), ('Core', '2003-02-05 10:31:51 EST', 'dirk_baeumer'), ('Olivier_Thomann', '2003-02-06 17:41:47 EST', 'philippe_mulet'), ('ASSIGNED', '2003-02-07 13:32:03 EST', 'Olivier_Thomann'), ('UI', '2003-02-12 16:56:21 EST', 'Olivier_Thomann'), ('jdt-ui-inbox', '2003-02-12 16:56:21 EST', 'Olivier_Thomann'), ('NEW', '2003-02-12 16:56:21 EST', 'Olivier_Thomann'), ('RESOLVED', '2003-02-13 05:09:44 EST', 'akiezun'), ('FIXED', '2003-02-13 05:09:44 EST', 'akiezun')]</t>
  </si>
  <si>
    <t>2001-11-26 08:58:25 EST</t>
  </si>
  <si>
    <t>2001-11-19 14:40 EST</t>
  </si>
  <si>
    <t>2001-11-19 14:49:47 EST</t>
  </si>
  <si>
    <t>[('CREATED', '2001-11-19 14:40 EST'), ('d92-jwa', '2001-11-19 14:49:47 EST', 'johan.walles'), ('beleta', '2001-11-19 14:49:47 EST', 'jose'), ('sidney.monteiro', '2001-11-19 14:49:47 EST', 'sidney.monteiro'), ('Adam_Kiezun', '2001-11-22 09:57:00 EST', 'erich_gamma'), ('ASSIGNED', '2001-11-22 12:45:31 EST', 'akiezun'), ('RESOLVED', '2001-11-26 08:58:25 EST', 'akiezun'), ('FIXED', '2001-11-26 08:58:25 EST', 'akiezun')]</t>
  </si>
  <si>
    <t>2001-11-20 12:48:00 EST</t>
  </si>
  <si>
    <t>2001-11-20 12:21 EST</t>
  </si>
  <si>
    <t>[('CREATED', '2001-11-20 12:21 EST'), ('RESOLVED', '2001-11-20 12:48:00 EST', 'akiezun'), ('FIXED', '2001-11-20 12:48:00 EST', 'akiezun')]</t>
  </si>
  <si>
    <t>2001-11-21 05:19:45 EST</t>
  </si>
  <si>
    <t>2001-11-20 17:19 EST</t>
  </si>
  <si>
    <t>[('CREATED', '2001-11-20 17:19 EST'), ('RESOLVED', '2001-11-21 05:19:45 EST', 'akiezun'), ('WORKSFORME', '2001-11-21 05:19:45 EST', 'akiezun')]</t>
  </si>
  <si>
    <t>2002-08-20 08:55:07 EDT</t>
  </si>
  <si>
    <t>2002-07-26 12:38:57 EDT</t>
  </si>
  <si>
    <t>2001-11-21 06:11 EST</t>
  </si>
  <si>
    <t>2002-01-09 11:09:48 EST</t>
  </si>
  <si>
    <t>[('CREATED', '2001-11-21 06:11 EST'), ('Adam_Kiezun', '2002-01-09 11:09:48 EST', 'dirk_baeumer'), ('RESOLVED', '2002-01-15 06:25:45 EST', 'erich_gamma'), ('LATER', '2002-01-15 06:25:45 EST', 'erich_gamma'), ('REOPENED', '2002-07-26 12:38:57 EDT', 'akiezun'), ('---', '2002-07-26 12:38:57 EDT', 'akiezun'), ('RESOLVED', '2002-08-20 08:55:07 EDT', 'akiezun'), ('FIXED', '2002-08-20 08:55:07 EDT', 'akiezun')]</t>
  </si>
  <si>
    <t>9656 19332 28534 29749 37066 37932 38223 38404 49492 (view as bug list)</t>
  </si>
  <si>
    <t>9041</t>
  </si>
  <si>
    <t>2004-08-13 11:45:40 EDT</t>
  </si>
  <si>
    <t>2004-08-13 11:45:18 EDT</t>
  </si>
  <si>
    <t>2001-11-22 08:04 EST</t>
  </si>
  <si>
    <t>2001-11-22 08:05:09 EST</t>
  </si>
  <si>
    <t>[('CREATED', '2001-11-22 08:04 EST'), ('Adam_Kiezun', '2001-11-22 08:05:09 EST', 'akiezun'), ('ASSIGNED', '2001-11-28 06:25:20 EST', 'akiezun'), ('Erich_Gamma', '2002-01-15 05:06:06 EST', 'akiezun'), ('NEW', '2002-01-15 05:06:06 EST', 'akiezun'), ('Adam_Kiezun', '2002-01-31 06:40:18 EST', 'erich_gamma'), ('P2', '2002-01-31 06:40:18 EST', 'erich_gamma'), ('9041', '2002-02-04 11:44:52 EST', 'akiezun'), ('ASSIGNED', '2002-02-04 11:44:52 EST', 'akiezun'), ('Markus_Oellinger', '2002-02-14 06:12:53 EST', 'akiezun'), ('2.0 M6', '2002-03-07 11:17:06 EST', 'akiezun'), ('P3', '2002-04-05 08:41:11 EST', 'akiezun'), ('---', '2002-04-05 08:41:11 EST', 'akiezun'), ('RESOLVED', '2002-06-01 05:43:39 EDT', 'akiezun'), ('LATER', '2002-06-01 05:43:39 EDT', 'akiezun'), ('andreas.krueger', '2002-06-05 11:15:10 EDT', 'akiezun'), ('2.1', '2002-07-18 10:19:09 EDT', 'akiezun'), ('spjohnston', '2002-07-18 10:19:09 EDT', 'spjohnston'), ('REOPENED', '2002-07-26 12:39:22 EDT', 'akiezun'), ('---', '2002-07-26 12:39:22 EDT', 'akiezun'), ('---', '2002-07-26 12:39:22 EDT', 'akiezun'), ('rename java doc reference to parameter [refactoring]', '2002-08-26 08:43:08 EDT', 'akiezun'), ('ASSIGNED', '2002-09-23 13:23:29 EDT', 'akiezun'), ('N.Metchev', '2002-12-17 12:54:59 EST', 'akiezun'), ('ggregory', '2003-01-20 04:31:12 EST', 'akiezun'), ('RESOLVED', '2003-02-21 10:46:16 EST', 'akiezun'), ('LATER', '2003-02-21 10:46:16 EST', 'akiezun'), ('REOPENED', '2003-04-25 07:13:17 EDT', 'akiezun'), ('---', '2003-04-25 07:13:17 EDT', 'akiezun'), ('jdt-ui-inbox', '2003-04-25 07:13:44 EDT', 'akiezun'), ('NEW', '2003-04-25 07:13:44 EDT', 'akiezun'), ('RESOLVED', '2003-04-25 07:14:23 EDT', 'akiezun'), ('LATER', '2003-04-25 07:14:23 EDT', 'akiezun'), ('David_Whiteman', '2003-04-30 03:34:33 EDT', 'dirk_baeumer'), ('alex_blewitt', '2003-05-22 06:34:07 EDT', 'dirk_baeumer'), ('daschneider', '2003-06-02 05:24:42 EDT', 'akiezun'), ('daniel.schneller', '2003-06-04 08:42:08 EDT', 'eclipse'), ('rjenks', '2004-01-05 01:00:42 EST', 'akiezun'), ('REOPENED', '2004-08-13 11:45:18 EDT', 'dirk_baeumer'), ('---', '2004-08-13 11:45:18 EDT', 'dirk_baeumer'), ('RESOLVED', '2004-08-13 11:45:40 EDT', 'dirk_baeumer'), ('FIXED', '2004-08-13 11:45:40 EDT', 'dirk_baeumer')]</t>
  </si>
  <si>
    <t>2001-12-10 12:01:24 EST</t>
  </si>
  <si>
    <t>2001-11-22 13:38 EST</t>
  </si>
  <si>
    <t>2001-11-23 09:22:16 EST</t>
  </si>
  <si>
    <t>[('CREATED', '2001-11-22 13:38 EST'), ('Daniel_Megert', '2001-11-23 09:22:16 EST', 'erich_gamma'), ('ASSIGNED', '2001-12-04 10:43:41 EST', 'daniel_megert'), ('P2', '2001-12-06 02:09:54 EST', 'daniel_megert'), ('2.0 M1', '2001-12-06 11:49:47 EST', 'daniel_megert'), ('RESOLVED', '2001-12-10 12:01:24 EST', 'daniel_megert'), ('FIXED', '2001-12-10 12:01:24 EST', 'daniel_megert')]</t>
  </si>
  <si>
    <t>2003-03-31 10:52:25 EST</t>
  </si>
  <si>
    <t>2001-11-23 04:57 EST</t>
  </si>
  <si>
    <t>2001-11-23 05:11:23 EST</t>
  </si>
  <si>
    <t>[('CREATED', '2001-11-23 04:57 EST'), ('ASSIGNED', '2001-11-23 05:11:23 EST', 'erich_gamma'), ('P4', '2001-11-23 05:11:23 EST', 'erich_gamma'), ('RESOLVED', '2002-02-27 08:33:01 EST', 'akiezun'), ('LATER', '2002-02-27 08:33:01 EST', 'akiezun'), ('rename temp could be done in-place [refactoring]', '2002-07-25 14:09:07 EDT', 'dirk_baeumer'), ('jdt-ui-inbox', '2002-09-12 09:41:05 EDT', 'dirk_baeumer'), ('NEW', '2002-09-12 09:41:05 EDT', 'dirk_baeumer'), ('ASSIGNED', '2002-09-12 10:07:23 EDT', 'dirk_baeumer'), ('enhancement', '2002-09-18 04:29:20 EDT', 'akiezun'), ('RESOLVED', '2003-03-31 10:52:25 EST', 'martinae'), ('FIXED', '2003-03-31 10:52:25 EST', 'martinae')]</t>
  </si>
  <si>
    <t>2002-01-24 12:15:58 EST</t>
  </si>
  <si>
    <t>2001-11-23 05:12 EST</t>
  </si>
  <si>
    <t>[('CREATED', '2001-11-23 05:12 EST'), ('RESOLVED', '2002-01-24 12:15:58 EST', 'dirk_baeumer'), ('WORKSFORME', '2002-01-24 12:15:58 EST', 'dirk_baeumer')]</t>
  </si>
  <si>
    <t>2003-04-28 06:03:02 EDT</t>
  </si>
  <si>
    <t>2009-08-30 02:40:36 EDT</t>
  </si>
  <si>
    <t>2001-11-23 06:28 EST</t>
  </si>
  <si>
    <t>2001-11-26 08:38:11 EST</t>
  </si>
  <si>
    <t>[('CREATED', '2001-11-23 06:28 EST'), ('Dirk_Baeumer', '2001-11-26 08:38:11 EST', 'akiezun'), ('Erich_Gamma', '2002-01-24 12:23:21 EST', 'dirk_baeumer'), ('RESOLVED', '2002-02-27 08:29:26 EST', 'akiezun'), ('LATER', '2002-02-27 08:29:26 EST', 'akiezun'), ('extract method: could fold hierarchy of exceptions [refactoring]', '2002-07-25 14:10:00 EDT', 'dirk_baeumer'), ('jdt-ui-inbox', '2002-09-12 09:41:16 EDT', 'dirk_baeumer'), ('NEW', '2002-09-12 09:41:16 EDT', 'dirk_baeumer'), ('ASSIGNED', '2002-09-12 10:08:08 EDT', 'dirk_baeumer'), ('enhancement', '2002-09-18 04:36:46 EDT', 'akiezun'), ('RESOLVED', '2003-04-28 06:03:02 EDT', 'dirk_baeumer'), ('WONTFIX', '2009-08-30 02:40:36 EDT', 'webmaster')]</t>
  </si>
  <si>
    <t>2001-11-27 06:44:42 EST</t>
  </si>
  <si>
    <t>2002-01-16 02:31:52 EST</t>
  </si>
  <si>
    <t>2001-11-27 05:58 EST</t>
  </si>
  <si>
    <t>2001-11-27 06:19:59 EST</t>
  </si>
  <si>
    <t>[('CREATED', '2001-11-27 05:58 EST'), ('Adam_Kiezun', '2001-11-27 06:19:59 EST', 'erich_gamma'), ('P1', '2001-11-27 06:19:59 EST', 'erich_gamma'), ('RESOLVED', '2001-11-27 06:44:42 EST', 'akiezun'), ('FIXED', '2001-11-27 06:44:42 EST', 'akiezun'), ('VERIFIED', '2002-01-16 02:31:52 EST', 'andre_weinand')]</t>
  </si>
  <si>
    <t>2001-11-30 06:45:17 EST</t>
  </si>
  <si>
    <t>2002-01-16 02:35:11 EST</t>
  </si>
  <si>
    <t>2001-11-28 06:41 EST</t>
  </si>
  <si>
    <t>2001-11-28 06:55:45 EST</t>
  </si>
  <si>
    <t>[('CREATED', '2001-11-28 06:41 EST'), ('Adam_Kiezun', '2001-11-28 06:55:45 EST', 'erich_gamma'), ('P2', '2001-11-28 06:55:45 EST', 'erich_gamma'), ('ASSIGNED', '2001-11-29 11:52:38 EST', 'akiezun'), ('FIXED', '2001-11-30 06:45:17 EST', 'akiezun'), ('RESOLVED', '2001-11-30 06:45:17 EST', 'akiezun'), ('VERIFIED', '2002-01-16 02:35:11 EST', 'andre_weinand')]</t>
  </si>
  <si>
    <t>2001-12-19 06:38:36 EST</t>
  </si>
  <si>
    <t>2002-01-16 02:53:28 EST</t>
  </si>
  <si>
    <t>2001-11-29 11:50 EST</t>
  </si>
  <si>
    <t>2001-11-29 14:18:21 EST</t>
  </si>
  <si>
    <t>[('CREATED', '2001-11-29 11:50 EST'), ('P2', '2001-11-29 14:18:21 EST', 'erich_gamma'), ('RESOLVED', '2001-12-19 06:38:36 EST', 'akiezun'), ('FIXED', '2001-12-19 06:38:36 EST', 'akiezun'), ('VERIFIED', '2002-01-16 02:53:28 EST', 'andre_weinand')]</t>
  </si>
  <si>
    <t>10029 24425 (view as bug list)</t>
  </si>
  <si>
    <t>2002-10-31 09:32:02 EST</t>
  </si>
  <si>
    <t>2002-11-14 06:24:21 EST</t>
  </si>
  <si>
    <t>2002-10-29 06:34:46 EST</t>
  </si>
  <si>
    <t>2001-11-30 03:18 EST</t>
  </si>
  <si>
    <t>2002-01-10 05:53:13 EST</t>
  </si>
  <si>
    <t>2005-04-27 12:28:58 EDT</t>
  </si>
  <si>
    <t>ru</t>
  </si>
  <si>
    <t>[('CREATED', '2001-11-30 03:18 EST'), ('Daniel_Megert', '2002-01-10 05:53:13 EST', 'dirk_baeumer'), ('P4', '2002-01-10 05:53:13 EST', 'dirk_baeumer'), ('mqualizza', '2002-01-10 05:53:13 EST', 'mlq.eclipse'), ('pimpdmack', '2002-04-02 12:40:55 EST', 'pimpdmack'), ('buttler', '2002-04-02 12:40:55 EST', 'buttler1'), ('ru', '2002-04-02 12:40:55 EST', 'ru'), ('RESOLVED', '2002-05-12 08:59:58 EDT', 'erich_gamma'), ('LATER', '2002-05-12 08:59:58 EDT', 'erich_gamma'), ('preuss', '2002-05-12 08:59:58 EDT', 'preuss'), ('omry_y', '2002-05-12 08:59:58 EDT', 'public'), ('helpwanted', '2002-08-19 10:08:36 EDT', 'daniel_megert'), ('rene', '2002-08-19 10:08:36 EDT', 'rene'), ('scott', '2002-08-19 10:08:36 EDT', 'srutledg'), ('stiri', '2002-10-01 12:37:44 EDT', 'stiri'), ('olivier', '2002-10-07 04:37:43 EDT', 'akiezun'), ('jennifer_thorsley', '2002-10-07 11:00:34 EDT', 'unknown'), ('neil_swingler', '2002-10-08 12:35:11 EDT', 'neil'), ('REOPENED', '2002-10-29 06:34:46 EST', 'daniel_megert'), ('---', '2002-10-29 06:34:46 EST', 'daniel_megert'), ('2.1 M3', '2002-10-29 06:34:46 EST', 'daniel_megert'), ('ASSIGNED', '2002-10-29 07:09:32 EST', 'daniel_megert'), ('P3', '2002-10-29 07:09:32 EST', 'daniel_megert'), ('RESOLVED', '2002-10-31 09:32:02 EST', 'daniel_megert'), ('FIXED', '2002-10-31 09:32:02 EST', 'daniel_megert'), ('VERIFIED', '2002-11-14 06:24:21 EST', 'dirk_baeumer'), (nan, '2003-02-17 08:16:33 EST', 'neil'), (nan, '2005-04-27 12:28:58 EDT', 'ru')]</t>
  </si>
  <si>
    <t>2003-04-28 06:03:12 EDT</t>
  </si>
  <si>
    <t>2009-08-30 02:39:27 EDT</t>
  </si>
  <si>
    <t>2001-11-30 09:44 EST</t>
  </si>
  <si>
    <t>2001-11-30 18:41:40 EST</t>
  </si>
  <si>
    <t>[('CREATED', '2001-11-30 09:44 EST'), ('Erich_Gamma', '2001-11-30 18:41:40 EST', 'philippe_mulet'), ('UI', '2001-11-30 18:41:40 EST', 'philippe_mulet'), ('ASSIGNED', '2002-01-10 05:54:56 EST', 'dirk_baeumer'), ('P4', '2002-01-10 05:54:56 EST', 'dirk_baeumer'), ('helpwanted', '2002-01-10 06:18:43 EST', 'erich_gamma'), ('RESOLVED', '2002-03-24 18:44:34 EST', 'erich_gamma'), ('LATER', '2002-03-24 18:44:34 EST', 'erich_gamma'), ('jdt-ui-inbox', '2002-09-12 09:42:47 EDT', 'dirk_baeumer'), ('NEW', '2002-09-12 09:42:47 EDT', 'dirk_baeumer'), ('ASSIGNED', '2002-09-12 10:18:25 EDT', 'dirk_baeumer'), ('Bean Wizard [misc]', '2002-11-20 09:10:49 EST', 'dirk_baeumer'), ('RESOLVED', '2003-04-28 06:03:12 EDT', 'dirk_baeumer'), ('WONTFIX', '2009-08-30 02:39:27 EDT', 'webmaster')]</t>
  </si>
  <si>
    <t>299 27035 (view as bug list)</t>
  </si>
  <si>
    <t>2003-02-20 17:12:57 EST</t>
  </si>
  <si>
    <t>2001-12-03 04:31 EST</t>
  </si>
  <si>
    <t>2001-12-03 04:31:40 EST</t>
  </si>
  <si>
    <t>[('CREATED', '2001-12-03 04:31 EST'), ('d92-jwa', '2001-12-03 04:31:40 EST', 'johan.walles'), ('rolarenfan', '2001-12-03 04:31:40 EST', 'rolarenfan'), ('Michael_Valenta', '2002-01-10 04:52:57 EST', 'dirk_baeumer'), ('LATER', '2002-01-10 04:56:47 EST', 'dirk_baeumer'), ('RESOLVED', '2002-01-10 04:56:47 EST', 'dirk_baeumer'), ('investigate', '2002-07-25 14:18:43 EDT', 'dirk_baeumer'), ('Rename Refactoring should consider non Java files [refactoring]', '2002-07-25 14:18:43 EDT', 'dirk_baeumer'), ('jdt-ui-inbox', '2002-09-12 09:39:43 EDT', 'dirk_baeumer'), ('NEW', '2002-09-12 09:39:43 EDT', 'dirk_baeumer'), ('ASSIGNED', '2002-09-12 10:04:50 EDT', 'dirk_baeumer'), ('enhancement', '2002-09-18 04:37:50 EDT', 'akiezun'), ('omry_y', '2002-11-25 05:08:12 EST', 'dirk_baeumer'), ('RESOLVED', '2003-02-20 17:12:57 EST', 'erich_gamma'), ('FIXED', '2003-02-20 17:12:57 EST', 'erich_gamma')]</t>
  </si>
  <si>
    <t>2003-04-28 06:04:07 EDT</t>
  </si>
  <si>
    <t>2009-08-30 02:21:40 EDT</t>
  </si>
  <si>
    <t>2001-12-03 09:41 EST</t>
  </si>
  <si>
    <t>2002-02-27 11:26:02 EST</t>
  </si>
  <si>
    <t>[('CREATED', '2001-12-03 09:41 EST'), ('RESOLVED', '2002-02-27 11:26:02 EST', 'akiezun'), ('LATER', '2002-02-27 11:26:02 EST', 'akiezun'), ('nickell', '2002-02-27 11:26:02 EST', 'nickell'), ('Extract Class Refactoring [refactoring]', '2002-07-25 14:22:32 EDT', 'dirk_baeumer'), ('jdt-ui-inbox', '2002-09-12 09:41:52 EDT', 'dirk_baeumer'), ('NEW', '2002-09-12 09:41:52 EDT', 'dirk_baeumer'), ('ASSIGNED', '2002-09-12 10:10:03 EDT', 'dirk_baeumer'), ('RESOLVED', '2003-04-28 06:04:07 EDT', 'dirk_baeumer'), ('WONTFIX', '2009-08-30 02:21:40 EDT', 'denis.roy')]</t>
  </si>
  <si>
    <t>2002-01-28 07:58:38 EST</t>
  </si>
  <si>
    <t>2001-12-04 06:47 EST</t>
  </si>
  <si>
    <t>2001-12-17 12:58:13 EST</t>
  </si>
  <si>
    <t>[('CREATED', '2001-12-04 06:47 EST'), ('ASSIGNED', '2001-12-17 12:58:13 EST', 'akiezun'), ('RESOLVED', '2002-01-28 07:58:38 EST', 'akiezun'), ('FIXED', '2002-01-28 07:58:38 EST', 'akiezun')]</t>
  </si>
  <si>
    <t>2001-12-11 12:45:17 EST</t>
  </si>
  <si>
    <t>2002-01-16 03:53:48 EST</t>
  </si>
  <si>
    <t>2001-12-04 12:37 EST</t>
  </si>
  <si>
    <t>2001-12-05 19:11:01 EST</t>
  </si>
  <si>
    <t>[('CREATED', '2001-12-04 12:37 EST'), ('Dirk_Baeumer', '2001-12-05 19:11:01 EST', 'erich_gamma'), ('P1', '2001-12-05 19:11:01 EST', 'erich_gamma'), ('2.0 M1', '2001-12-11 11:19:44 EST', 'erich_gamma'), ('RESOLVED', '2001-12-11 12:45:17 EST', 'dirk_baeumer'), ('FIXED', '2001-12-11 12:45:17 EST', 'dirk_baeumer'), ('VERIFIED', '2002-01-16 03:53:48 EST', 'andre_weinand')]</t>
  </si>
  <si>
    <t>2003-04-28 06:02:57 EDT</t>
  </si>
  <si>
    <t>2009-08-30 02:17:53 EDT</t>
  </si>
  <si>
    <t>2001-12-05 12:59 EST</t>
  </si>
  <si>
    <t>2002-01-29 09:57:02 EST</t>
  </si>
  <si>
    <t>[('CREATED', '2001-12-05 12:59 EST'), ('Erich_Gamma', '2002-01-29 09:57:02 EST', 'dirk_baeumer'), ('RESOLVED', '2002-01-29 09:57:39 EST', 'dirk_baeumer'), ('LATER', '2002-01-29 09:57:39 EST', 'dirk_baeumer'), ('investigate', '2002-07-25 14:25:49 EDT', 'dirk_baeumer'), ('extract method: syntax errors after extracting a block [refactoring]', '2002-07-25 14:25:49 EDT', 'dirk_baeumer'), ('jdt-ui-inbox', '2002-09-12 09:42:44 EDT', 'dirk_baeumer'), ('NEW', '2002-09-12 09:42:44 EDT', 'dirk_baeumer'), ('ASSIGNED', '2002-09-12 10:11:50 EDT', 'dirk_baeumer'), ('RESOLVED', '2003-04-28 06:02:57 EDT', 'dirk_baeumer'), ('WONTFIX', '2009-08-30 02:17:53 EDT', 'denis.roy')]</t>
  </si>
  <si>
    <t>23087 47790 (view as bug list)</t>
  </si>
  <si>
    <t>2003-04-28 06:03:01 EDT</t>
  </si>
  <si>
    <t>2001-12-05 13:32 EST</t>
  </si>
  <si>
    <t>2001-12-05 16:36:40 EST</t>
  </si>
  <si>
    <t>[('CREATED', '2001-12-05 13:32 EST'), ('ASSIGNED', '2001-12-05 16:36:40 EST', 'erich_gamma'), ('P4', '2001-12-05 16:36:40 EST', 'erich_gamma'), ('refactoring: reverse conditional', '2001-12-05 16:36:40 EST', 'erich_gamma'), ('RESOLVED', '2002-03-09 18:40:23 EST', 'akiezun'), ('LATER', '2002-03-09 18:40:23 EST', 'akiezun'), ('refactoring: reverse conditional [refactoring]', '2002-07-25 14:26:12 EDT', 'dirk_baeumer'), ('jdt-ui-inbox', '2002-09-12 09:42:45 EDT', 'dirk_baeumer'), ('NEW', '2002-09-12 09:42:45 EDT', 'dirk_baeumer'), ('ASSIGNED', '2002-09-12 10:11:52 EDT', 'dirk_baeumer'), ('erich_gamma', '2003-02-17 14:12:06 EST', 'dirk_baeumer'), ('RESOLVED', '2003-04-28 06:03:01 EDT', 'dirk_baeumer'), ('preuss', '2003-12-01 12:48:02 EST', 'dirk_baeumer'), ('markus', '2004-05-26 07:20:38 EDT', 'markus'), ('WONTFIX', '2009-08-30 02:40:36 EDT', 'webmaster')]</t>
  </si>
  <si>
    <t>2002-04-12 08:48:12 EDT</t>
  </si>
  <si>
    <t>2001-12-05 15:25 EST</t>
  </si>
  <si>
    <t>2001-12-05 16:27:10 EST</t>
  </si>
  <si>
    <t>[('CREATED', '2001-12-05 15:25 EST'), ('ASSIGNED', '2001-12-05 16:27:10 EST', 'erich_gamma'), ('dirk_baeumer', '2001-12-05 16:27:10 EST', 'erich_gamma'), ('FIXED', '2002-04-12 08:48:12 EDT', 'erich_gamma'), ('RESOLVED', '2002-04-12 08:48:12 EDT', 'erich_gamma')]</t>
  </si>
  <si>
    <t>RESOLVED  DUPLICATE  of bug 10657</t>
  </si>
  <si>
    <t>2002-07-26 06:19:06 EDT</t>
  </si>
  <si>
    <t>2002-07-26 06:18:56 EDT</t>
  </si>
  <si>
    <t>2001-12-07 03:31 EST</t>
  </si>
  <si>
    <t>2001-12-07 04:11:14 EST</t>
  </si>
  <si>
    <t>[('CREATED', '2001-12-07 03:31 EST'), ('Erich_Gamma', '2001-12-07 04:11:14 EST', 'akiezun'), ('UI', '2001-12-07 04:11:14 EST', 'akiezun'), ('LATER', '2002-01-10 06:11:06 EST', 'dirk_baeumer'), ('RESOLVED', '2002-01-10 06:11:06 EST', 'dirk_baeumer'), ('P5', '2002-01-10 06:11:06 EST', 'dirk_baeumer'), ('REOPENED', '2002-07-26 06:18:56 EDT', 'dirk_baeumer'), ('---', '2002-07-26 06:18:56 EDT', 'dirk_baeumer'), ('RESOLVED', '2002-07-26 06:19:06 EDT', 'dirk_baeumer'), ('DUPLICATE', '2002-07-26 06:19:06 EDT', 'dirk_baeumer')]</t>
  </si>
  <si>
    <t>2002-01-24 13:40:49 EST</t>
  </si>
  <si>
    <t>2001-12-07 12:42 EST</t>
  </si>
  <si>
    <t>[('CREATED', '2001-12-07 12:42 EST'), ('RESOLVED', '2002-01-24 13:40:49 EST', 'dirk_baeumer'), ('FIXED', '2002-01-24 13:40:49 EST', 'dirk_baeumer')]</t>
  </si>
  <si>
    <t>2002-05-10 05:15:03 EDT</t>
  </si>
  <si>
    <t>2001-12-08 16:09 EST</t>
  </si>
  <si>
    <t>2002-01-10 08:16:53 EST</t>
  </si>
  <si>
    <t>[('CREATED', '2001-12-08 16:09 EST'), ('ASSIGNED', '2002-01-10 08:16:53 EST', 'dirk_baeumer'), ('Dirk_Baeumer', '2002-03-24 18:43:53 EST', 'erich_gamma'), ('NEW', '2002-03-24 18:43:53 EST', 'erich_gamma'), ('RESOLVED', '2002-05-10 05:15:03 EDT', 'dirk_baeumer'), ('FIXED', '2002-05-10 05:15:03 EDT', 'dirk_baeumer')]</t>
  </si>
  <si>
    <t>22741 22742 23332 27377 32245 41320 54562 69193 91904 99900 127166 (view as bug list)</t>
  </si>
  <si>
    <t>2006-10-26 12:21:45 EDT</t>
  </si>
  <si>
    <t>2006-04-26 12:11:05 EDT</t>
  </si>
  <si>
    <t>2001-12-10 13:50 EST</t>
  </si>
  <si>
    <t>2001-12-10 17:30:11 EST</t>
  </si>
  <si>
    <t>2006-11-02 03:59:57 EST</t>
  </si>
  <si>
    <t>preuss</t>
  </si>
  <si>
    <t>[('CREATED', '2001-12-10 13:50 EST'), ('Erich_Gamma', '2001-12-10 17:30:11 EST', 'philippe_mulet'), ('UI', '2001-12-10 17:30:11 EST', 'philippe_mulet'), ('ASSIGNED', '2001-12-12 08:12:29 EST', 'erich_gamma'), ('P4', '2001-12-12 08:12:29 EST', 'erich_gamma'), ('RESOLVED', '2002-05-04 14:02:14 EDT', 'erich_gamma'), ('LATER', '2002-05-04 14:02:14 EDT', 'erich_gamma'), ('Code Formatter/Organize/Imports/Save Options [code manipulation]', '2002-07-26 08:07:23 EDT', 'dirk_baeumer'), ('ggregory', '2002-08-23 04:39:43 EDT', 'dirk_baeumer'), ('jdt-ui-inbox', '2002-09-12 09:41:00 EDT', 'dirk_baeumer'), ('NEW', '2002-09-12 09:41:00 EDT', 'dirk_baeumer'), ('ASSIGNED', '2002-09-12 10:06:52 EDT', 'dirk_baeumer'), ('N.Metchev', '2003-01-07 04:33:26 EST', 'dirk_baeumer'), ('RESOLVED', '2003-04-28 06:02:54 EDT', 'dirk_baeumer'), ('eclipse', '2003-05-12 09:32:13 EDT', 'dirk_baeumer'), ('channingwalton', '2004-01-07 10:17:10 EST', 'channingwalton'), ('rookie_no2', '2004-01-07 11:33:05 EST', 'rookie_no2'), ('akiezun', '2004-06-10 10:38:05 EDT', 'akiezun'), ('g.wagenknecht', '2004-06-24 02:46:56 EDT', 'gunnar'), ('supreme_java_guru_1', '2004-07-03 11:37:35 EDT', 'dirk_baeumer'), ('silvio_boehler', '2004-09-17 14:25:23 EDT', 'silvio_boehler'), ('goerge', '2004-10-15 14:50:46 EDT', 'goerge'), ('aluchko', '2005-01-11 17:10:01 EST', 'aaron'), ('blizzy-keyword-eclipse_bugs.ba215a', '2005-02-23 18:04:27 EST', 'blizzy-keyword-eclipse_bugs.ba215a'), ('roxspring', '2005-04-20 05:03:32 EDT', 'dirk_baeumer'), ('lspijker', '2005-06-14 03:56:51 EDT', 'daniel_megert'), ('eclipse', '2005-11-13 07:08:41 EST', 'g.albrecht'), ('analogue', '2006-01-26 18:00:09 EST', 'analogue'), ('mark.levison', '2006-02-15 08:16:14 EST', 'mark.levison'), ('glenn_remar', '2006-02-28 04:42:42 EST', 'benno.baumgartner'), ('REOPENED', '2006-04-26 12:11:05 EDT', 'sdavids'), ('---', '2006-04-26 12:11:05 EDT', 'sdavids'), ('perform code cleanup on save [code manipulation]', '2006-04-26 12:11:05 EDT', 'sdavids'), ('3.2', '2006-04-26 12:11:05 EDT', 'sdavids'), ('benno_baumgartner', '2006-04-27 09:45:57 EDT', 'martinae'), ('NEW', '2006-04-27 09:45:57 EDT', 'martinae'), ('[clean up] perform code cleanup on save [code manipulation]', '2006-06-01 06:26:22 EDT', 'benno.baumgartner'), ('daniel_megert', '2006-10-26 12:21:45 EDT', 'daniel_megert'), ('RESOLVED', '2006-10-26 12:21:45 EDT', 'daniel_megert'), ('FIXED', '2006-10-26 12:21:45 EDT', 'daniel_megert'), ('3.3 M3', '2006-10-26 12:21:45 EDT', 'daniel_megert'), ('neil_buesing', '2006-10-26 12:31:30 EDT', 'daniel_megert'), ('bogofilter+eclipse.org', '2006-10-26 13:56:17 EDT', 'bogofilter+eclipse.org'), ('ed.burnette', '2006-10-26 21:29:07 EDT', 'ed.burnette'), ('prashant.deva', '2006-10-27 10:34:23 EDT', 'prashant.deva'), ('preuss', '2006-11-02 03:59:57 EST', 'preuss')]</t>
  </si>
  <si>
    <t>2002-02-12 10:00:48 EST</t>
  </si>
  <si>
    <t>2002-02-13 11:04:09 EST</t>
  </si>
  <si>
    <t>2001-12-11 09:15 EST</t>
  </si>
  <si>
    <t>2001-12-11 09:46:51 EST</t>
  </si>
  <si>
    <t>[('CREATED', '2001-12-11 09:15 EST'), ('Dirk_Baeumer', '2001-12-11 09:46:51 EST', 'erich_gamma'), ('RESOLVED', '2002-02-12 10:00:48 EST', 'dirk_baeumer'), ('FIXED', '2002-02-12 10:00:48 EST', 'dirk_baeumer'), ('VERIFIED', '2002-02-13 11:04:09 EST', 'Claude_Knaus')]</t>
  </si>
  <si>
    <t>2003-04-24 11:34:47 EDT</t>
  </si>
  <si>
    <t>2001-12-13 16:56 EST</t>
  </si>
  <si>
    <t>2001-12-14 06:27:38 EST</t>
  </si>
  <si>
    <t>[('CREATED', '2001-12-13 16:56 EST'), ('dirk_baeumer', '2001-12-14 06:27:38 EST', 'erich_gamma'), ('ASSIGNED', '2001-12-14 06:27:38 EST', 'erich_gamma'), ('P4', '2001-12-14 06:27:38 EST', 'erich_gamma'), ('RESOLVED', '2002-05-04 14:15:37 EDT', 'erich_gamma'), ('LATER', '2002-05-04 14:15:37 EDT', 'erich_gamma'), ('investigate', '2002-07-26 08:10:33 EDT', 'dirk_baeumer'), ('"Change access" on member right-mouse menus [refactoring]', '2002-07-26 08:10:33 EDT', 'dirk_baeumer'), ('jdt-ui-inbox', '2002-09-12 09:41:40 EDT', 'dirk_baeumer'), ('NEW', '2002-09-12 09:41:40 EDT', 'dirk_baeumer'), ('ASSIGNED', '2002-09-12 10:09:25 EDT', 'dirk_baeumer'), ('RESOLVED', '2003-04-24 11:34:47 EDT', 'dirk_baeumer'), ('WORKSFORME', '2003-04-24 11:34:47 EDT', 'dirk_baeumer')]</t>
  </si>
  <si>
    <t>8843 (view as bug list)</t>
  </si>
  <si>
    <t>2007-06-13 11:24:55 EDT</t>
  </si>
  <si>
    <t>2001-12-14 13:51:08 EST</t>
  </si>
  <si>
    <t>2007-06-13 11:24:40 EDT</t>
  </si>
  <si>
    <t>2001-12-14 11:03 EST</t>
  </si>
  <si>
    <t>2001-12-14 12:21:04 EST</t>
  </si>
  <si>
    <t>[('CREATED', '2001-12-14 11:03 EST'), ('Adam_Kiezun', '2001-12-14 12:21:04 EST', 'erich_gamma'), ('P2', '2001-12-14 12:21:04 EST', 'erich_gamma'), ('RESOLVED', '2001-12-14 12:32:50 EST', 'akiezun'), ('WORKSFORME', '2001-12-14 12:32:50 EST', 'akiezun'), ('REOPENED', '2001-12-14 13:06:52 EST', 'vlewis'), ('---', '2001-12-14 13:06:52 EST', 'vlewis'), ('ASSIGNED', '2001-12-14 13:32:53 EST', 'akiezun'), ('RESOLVED', '2001-12-14 13:51:08 EST', 'akiezun'), ('FIXED', '2001-12-14 13:51:08 EST', 'akiezun'), ('rolarenfan', '2002-02-01 05:30:12 EST', 'akiezun'), (nan, '2006-06-19 09:36:23 EDT', 'rolarenfan'), ('REOPENED', '2007-06-13 11:24:40 EDT', 'martinae'), ('---', '2007-06-13 11:24:40 EDT', 'martinae'), ('RESOLVED', '2007-06-13 11:24:55 EDT', 'martinae'), ('WORKSFORME', '2007-06-13 11:24:55 EDT', 'martinae')]</t>
  </si>
  <si>
    <t>2002-01-16 06:52:20 EST</t>
  </si>
  <si>
    <t>2001-12-18 04:07 EST</t>
  </si>
  <si>
    <t>2001-12-18 04:07:16 EST</t>
  </si>
  <si>
    <t>[('CREATED', '2001-12-18 04:07 EST'), ('2.0 M2', '2001-12-18 04:07:16 EST', 'erich_gamma'), ('RESOLVED', '2002-01-16 06:52:20 EST', 'dirk_baeumer'), ('FIXED', '2002-01-16 06:52:20 EST', 'dirk_baeumer')]</t>
  </si>
  <si>
    <t>2002-02-12 09:55:32 EST</t>
  </si>
  <si>
    <t>2002-02-13 11:11:08 EST</t>
  </si>
  <si>
    <t>2001-12-18 09:01 EST</t>
  </si>
  <si>
    <t>[('CREATED', '2001-12-18 09:01 EST'), ('RESOLVED', '2002-02-12 09:55:32 EST', 'dirk_baeumer'), ('FIXED', '2002-02-12 09:55:32 EST', 'dirk_baeumer'), ('VERIFIED', '2002-02-13 11:11:08 EST', 'Claude_Knaus')]</t>
  </si>
  <si>
    <t>2002-01-17 12:08:47 EST</t>
  </si>
  <si>
    <t>2001-12-18 10:17 EST</t>
  </si>
  <si>
    <t>2001-12-18 11:07:11 EST</t>
  </si>
  <si>
    <t>[('CREATED', '2001-12-18 10:17 EST'), ('Dirk_Baeumer', '2001-12-18 11:07:11 EST', 'erich_gamma'), ('RESOLVED', '2002-01-17 12:08:47 EST', 'dirk_baeumer'), ('FIXED', '2002-01-17 12:08:47 EST', 'dirk_baeumer')]</t>
  </si>
  <si>
    <t>2001-12-18 11:05:59 EST</t>
  </si>
  <si>
    <t>2002-01-15 06:14:13 EST</t>
  </si>
  <si>
    <t>2001-12-18 10:49 EST</t>
  </si>
  <si>
    <t>2001-12-18 10:58:49 EST</t>
  </si>
  <si>
    <t>[('CREATED', '2001-12-18 10:49 EST'), ('Adam_Kiezun', '2001-12-18 10:58:49 EST', 'erich_gamma'), ('P1', '2001-12-18 10:58:49 EST', 'erich_gamma'), ('FIXED', '2001-12-18 11:05:59 EST', 'akiezun'), ('RESOLVED', '2001-12-18 11:05:59 EST', 'akiezun'), ('UI', '2002-01-14 10:39:00 EST', 'philippe_mulet'), ('VERIFIED', '2002-01-15 06:14:13 EST', 'andre_weinand')]</t>
  </si>
  <si>
    <t>2001-12-19 04:56:09 EST</t>
  </si>
  <si>
    <t>2002-01-15 06:25:02 EST</t>
  </si>
  <si>
    <t>2001-12-19 02:47 EST</t>
  </si>
  <si>
    <t>2001-12-19 04:18:31 EST</t>
  </si>
  <si>
    <t>[('CREATED', '2001-12-19 02:47 EST'), ('major', '2001-12-19 04:18:31 EST', 'akiezun'), ('ASSIGNED', '2001-12-19 04:18:31 EST', 'akiezun'), ('RESOLVED', '2001-12-19 04:56:09 EST', 'akiezun'), ('FIXED', '2001-12-19 04:56:09 EST', 'akiezun'), ('VERIFIED', '2002-01-15 06:25:02 EST', 'andre_weinand')]</t>
  </si>
  <si>
    <t>2002-01-14 10:42:51 EST</t>
  </si>
  <si>
    <t>2001-12-19 09:51 EST</t>
  </si>
  <si>
    <t>2001-12-19 11:35:57 EST</t>
  </si>
  <si>
    <t>[('CREATED', '2001-12-19 09:51 EST'), ('Dirk_Baeumer', '2001-12-19 11:35:57 EST', 'erich_gamma'), ('P1', '2001-12-19 11:35:57 EST', 'erich_gamma'), ('2.0 M2', '2001-12-19 11:35:57 EST', 'erich_gamma'), ('RESOLVED', '2002-01-14 10:42:51 EST', 'dirk_baeumer'), ('FIXED', '2002-01-14 10:42:51 EST', 'dirk_baeumer')]</t>
  </si>
  <si>
    <t>2002-01-16 08:22:47 EST</t>
  </si>
  <si>
    <t>2001-12-20 05:56 EST</t>
  </si>
  <si>
    <t>2001-12-20 07:45:55 EST</t>
  </si>
  <si>
    <t>[('CREATED', '2001-12-20 05:56 EST'), ('Dirk_Baeumer', '2001-12-20 07:45:55 EST', 'erich_gamma'), ('P2', '2001-12-20 07:45:55 EST', 'erich_gamma'), ('2.0 M2', '2001-12-20 07:45:55 EST', 'erich_gamma'), ('FIXED', '2002-01-16 08:22:47 EST', 'dirk_baeumer'), ('RESOLVED', '2002-01-16 08:22:47 EST', 'dirk_baeumer')]</t>
  </si>
  <si>
    <t>2002-01-25 05:20:37 EST</t>
  </si>
  <si>
    <t>2001-12-20 12:06 EST</t>
  </si>
  <si>
    <t>2002-01-15 04:54:25 EST</t>
  </si>
  <si>
    <t>[('CREATED', '2001-12-20 12:06 EST'), ('ASSIGNED', '2002-01-15 04:54:25 EST', 'akiezun'), ('Erich_Gamma', '2002-01-15 05:06:56 EST', 'akiezun'), ('NEW', '2002-01-15 05:06:56 EST', 'akiezun'), ('P2', '2002-01-15 06:22:32 EST', 'erich_gamma'), ('2.0 M3', '2002-01-15 06:22:32 EST', 'erich_gamma'), ('dirk_baeumer', '2002-01-15 06:22:32 EST', 'erich_gamma'), ('Adam_Kiezun', '2002-01-15 06:22:32 EST', 'erich_gamma'), ('ASSIGNED', '2002-01-16 09:11:09 EST', 'akiezun'), ('RESOLVED', '2002-01-25 05:20:37 EST', 'akiezun'), ('FIXED', '2002-01-25 05:20:37 EST', 'akiezun')]</t>
  </si>
  <si>
    <t>2002-02-11 13:33:53 EST</t>
  </si>
  <si>
    <t>2001-12-21 09:55 EST</t>
  </si>
  <si>
    <t>2001-12-21 09:55:09 EST</t>
  </si>
  <si>
    <t>[('CREATED', '2001-12-21 09:55 EST'), ('Adam_Kiezun', '2001-12-21 09:55:09 EST', 'akiezun'), ('RESOLVED', '2002-02-11 13:33:53 EST', 'erich_gamma'), ('WONTFIX', '2002-02-11 13:33:53 EST', 'erich_gamma')]</t>
  </si>
  <si>
    <t>2002-01-15 07:35:40 EST</t>
  </si>
  <si>
    <t>2001-12-31 12:25 EST</t>
  </si>
  <si>
    <t>2002-01-10 09:20:46 EST</t>
  </si>
  <si>
    <t>[('CREATED', '2001-12-31 12:25 EST'), ('Adam_Kiezun', '2002-01-10 09:20:46 EST', 'dirk_baeumer'), ('P2', '2002-01-10 09:20:46 EST', 'dirk_baeumer'), ('2.0 M3', '2002-01-10 09:20:46 EST', 'dirk_baeumer'), ('ASSIGNED', '2002-01-10 09:23:59 EST', 'akiezun'), ('RESOLVED', '2002-01-15 07:35:40 EST', 'akiezun'), ('FIXED', '2002-01-15 07:35:40 EST', 'akiezun')]</t>
  </si>
  <si>
    <t>RESOLVED  DUPLICATE  of bug 7070</t>
  </si>
  <si>
    <t>2002-01-09 18:05:26 EST</t>
  </si>
  <si>
    <t>2001-12-31 15:46 EST</t>
  </si>
  <si>
    <t>2002-01-02 09:41:30 EST</t>
  </si>
  <si>
    <t>[('CREATED', '2001-12-31 15:46 EST'), ('JDT', '2002-01-02 09:41:30 EST', 'Tod_Creasey'), ('weitzman_d', '2002-01-03 22:17:55 EST', 'weitzman_d'), ('Erich_Gamma', '2002-01-09 14:27:47 EST', 'Kevin_Haaland'), ('RESOLVED', '2002-01-09 18:05:26 EST', 'erich_gamma'), ('DUPLICATE', '2002-01-09 18:05:26 EST', 'erich_gamma')]</t>
  </si>
  <si>
    <t>RESOLVED  DUPLICATE  of bug 21825</t>
  </si>
  <si>
    <t>6652 (view as bug list)</t>
  </si>
  <si>
    <t>2002-08-30 08:01:29 EDT</t>
  </si>
  <si>
    <t>2002-08-30 08:00:48 EDT</t>
  </si>
  <si>
    <t>2002-01-02 11:45 EST</t>
  </si>
  <si>
    <t>2002-01-02 13:36:08 EST</t>
  </si>
  <si>
    <t>[('CREATED', '2002-01-02 11:45 EST'), ('Erich_Gamma', '2002-01-02 13:36:08 EST', 'john.arthorne'), ('UI', '2002-01-02 13:36:08 EST', 'john.arthorne'), ('JDT', '2002-01-02 13:36:08 EST', 'john.arthorne'), ('ASSIGNED', '2002-01-10 16:45:56 EST', 'erich_gamma'), ('P4', '2002-01-10 16:45:56 EST', 'erich_gamma'), ('RESOLVED', '2002-05-04 14:29:34 EDT', 'erich_gamma'), ('LATER', '2002-05-04 14:29:34 EDT', 'erich_gamma'), ('Surround with features (and templates) [refactoring] [code manipulation]', '2002-07-24 09:58:57 EDT', 'dirk_baeumer'), ('2.1', '2002-07-24 09:58:57 EDT', 'dirk_baeumer'), ('investigate', '2002-07-25 05:02:23 EDT', 'dirk_baeumer'), ('---', '2002-07-25 05:02:23 EDT', 'dirk_baeumer'), ('Adam_Kiezun', '2002-07-25 14:29:36 EDT', 'dirk_baeumer'), ('REOPENED', '2002-08-30 08:00:48 EDT', 'Claude_Knaus'), ('---', '2002-08-30 08:00:48 EDT', 'Claude_Knaus'), ('RESOLVED', '2002-08-30 08:01:29 EDT', 'Claude_Knaus'), ('DUPLICATE', '2002-08-30 08:01:29 EDT', 'Claude_Knaus')]</t>
  </si>
  <si>
    <t>2002-01-15 13:30:59 EST</t>
  </si>
  <si>
    <t>2002-01-03 06:54 EST</t>
  </si>
  <si>
    <t>2002-01-10 09:27:06 EST</t>
  </si>
  <si>
    <t>[('CREATED', '2002-01-03 06:54 EST'), ('Dirk_Baeumer', '2002-01-10 09:27:06 EST', 'dirk_baeumer'), ('P2', '2002-01-10 09:27:06 EST', 'dirk_baeumer'), ('2.0 M3', '2002-01-10 09:27:06 EST', 'dirk_baeumer'), ('RESOLVED', '2002-01-15 13:30:59 EST', 'dirk_baeumer'), ('FIXED', '2002-01-15 13:30:59 EST', 'dirk_baeumer')]</t>
  </si>
  <si>
    <t>17379 27161 35206 38153 (view as bug list)</t>
  </si>
  <si>
    <t>2003-04-28 06:03:06 EDT</t>
  </si>
  <si>
    <t>2009-08-30 02:42:40 EDT</t>
  </si>
  <si>
    <t>2002-01-25 05:10:28 EST</t>
  </si>
  <si>
    <t>2002-01-04 09:02 EST</t>
  </si>
  <si>
    <t>2002-01-25 05:09:19 EST</t>
  </si>
  <si>
    <t>[('CREATED', '2002-01-04 09:02 EST'), ('RESOLVED', '2002-01-25 05:09:19 EST', 'dirk_baeumer'), ('LATER', '2002-01-25 05:09:19 EST', 'dirk_baeumer'), ('REOPENED', '2002-01-25 05:10:28 EST', 'dirk_baeumer'), ('---', '2002-01-25 05:10:28 EST', 'dirk_baeumer'), ('Erich_Gamma', '2002-01-25 05:10:55 EST', 'dirk_baeumer'), ('NEW', '2002-01-25 05:10:55 EST', 'dirk_baeumer'), ('RESOLVED', '2002-01-25 05:11:45 EST', 'dirk_baeumer'), ('LATER', '2002-01-25 05:11:45 EST', 'dirk_baeumer'), ('Martin_Aeschlimann', '2002-07-24 10:07:50 EDT', 'dirk_baeumer'), ('extract method: unused temp declaration not removed [refactoring]', '2002-07-24 10:09:26 EDT', 'dirk_baeumer'), ('jdt-ui-inbox', '2002-09-12 09:42:30 EDT', 'dirk_baeumer'), ('NEW', '2002-09-12 09:42:30 EDT', 'dirk_baeumer'), ('ASSIGNED', '2002-09-12 10:11:20 EDT', 'dirk_baeumer'), ('enhancement', '2002-09-18 11:15:22 EDT', 'dirk_baeumer'), ('John_Arthorne', '2002-11-26 12:53:44 EST', 'dirk_baeumer'), ('Nick.Entin', '2003-04-24 12:39:49 EDT', 'dirk_baeumer'), ('RESOLVED', '2003-04-28 06:03:06 EDT', 'dirk_baeumer'), ('zipwow', '2003-05-27 13:44:31 EDT', 'dirk_baeumer'), ('WONTFIX', '2009-08-30 02:42:40 EDT', 'webmaster')]</t>
  </si>
  <si>
    <t>2002-01-07 05:45:21 EST</t>
  </si>
  <si>
    <t>2002-01-04 09:38 EST</t>
  </si>
  <si>
    <t>2002-01-07 05:03:29 EST</t>
  </si>
  <si>
    <t>[('CREATED', '2002-01-04 09:38 EST'), ('Adam_Kiezun', '2002-01-07 05:03:29 EST', 'erich_gamma'), ('P1', '2002-01-07 05:03:29 EST', 'erich_gamma'), ('ASSIGNED', '2002-01-07 05:36:27 EST', 'akiezun'), ('RESOLVED', '2002-01-07 05:45:21 EST', 'akiezun'), ('FIXED', '2002-01-07 05:45:21 EST', 'akiezun')]</t>
  </si>
  <si>
    <t>21700</t>
  </si>
  <si>
    <t>2002-12-20 08:02:29 EST</t>
  </si>
  <si>
    <t>2002-01-07 08:25 EST</t>
  </si>
  <si>
    <t>2002-01-07 08:25:54 EST</t>
  </si>
  <si>
    <t>2002-12-20 08:02:56 EST</t>
  </si>
  <si>
    <t>[('CREATED', '2002-01-07 08:25 EST'), ('Dirk_Baeumer', '2002-01-07 08:25:54 EST', 'akiezun'), ('RESOLVED', '2002-01-10 16:47:46 EST', 'erich_gamma'), ('LATER', '2002-01-10 16:47:46 EST', 'erich_gamma'), ('21700', '2002-07-24 10:14:56 EDT', 'dirk_baeumer'), ('surround try/catch: needs many steps to undo [refactoring]', '2002-07-24 10:14:56 EDT', 'dirk_baeumer'), ('jdt-ui-inbox', '2002-09-12 09:41:52 EDT', 'dirk_baeumer'), ('NEW', '2002-09-12 09:41:52 EDT', 'dirk_baeumer'), ('ASSIGNED', '2002-09-12 10:10:00 EDT', 'dirk_baeumer'), ('Dirk_Baeumer', '2002-12-20 07:55:56 EST', 'dirk_baeumer'), ('NEW', '2002-12-20 07:55:56 EST', 'dirk_baeumer'), ('RESOLVED', '2002-12-20 08:02:29 EST', 'dirk_baeumer'), ('FIXED', '2002-12-20 08:02:29 EST', 'dirk_baeumer'), (nan, '2002-12-20 08:02:29 EST', 'dirk_baeumer'), ('2.1 M5', '2002-12-20 08:02:56 EST', 'dirk_baeumer')]</t>
  </si>
  <si>
    <t>2002-01-08 09:46:07 EST</t>
  </si>
  <si>
    <t>2002-01-15 05:53:43 EST</t>
  </si>
  <si>
    <t>2002-01-07 14:05 EST</t>
  </si>
  <si>
    <t>2002-01-08 07:38:28 EST</t>
  </si>
  <si>
    <t>[('CREATED', '2002-01-07 14:05 EST'), ('Erich_Gamma', '2002-01-08 07:38:28 EST', 'philippe_mulet'), ('UI', '2002-01-08 07:38:28 EST', 'philippe_mulet'), ('P1', '2002-01-08 08:33:02 EST', 'erich_gamma'), ('Adam_Kiezun', '2002-01-08 08:33:34 EST', 'erich_gamma'), ('RESOLVED', '2002-01-08 09:46:07 EST', 'akiezun'), ('FIXED', '2002-01-08 09:46:07 EST', 'akiezun'), ('VERIFIED', '2002-01-15 05:53:43 EST', 'andre_weinand')]</t>
  </si>
  <si>
    <t>7750 7761 7775 7823</t>
  </si>
  <si>
    <t>2002-02-10 18:15:23 EST</t>
  </si>
  <si>
    <t>2002-01-09 09:15 EST</t>
  </si>
  <si>
    <t>2002-01-10 04:59:12 EST</t>
  </si>
  <si>
    <t>[('CREATED', '2002-01-09 09:15 EST'), ('2.0 M3', '2002-01-10 04:59:12 EST', 'dirk_baeumer'), ('7761, 7750, 7761', '2002-01-10 04:59:12 EST', 'dirk_baeumer'), ('Dirk_Baeumer', '2002-01-10 04:59:12 EST', 'dirk_baeumer'), ('major', '2002-01-10 04:59:12 EST', 'dirk_baeumer'), ('7775', '2002-01-16 11:59:49 EST', 'dirk_baeumer'), ('7823', '2002-01-16 12:34:45 EST', 'dirk_baeumer'), ('RESOLVED', '2002-02-10 18:15:23 EST', 'erich_gamma'), ('FIXED', '2002-02-10 18:15:23 EST', 'erich_gamma')]</t>
  </si>
  <si>
    <t>2002-01-29 12:27:42 EST</t>
  </si>
  <si>
    <t>2002-03-20 09:05:47 EST</t>
  </si>
  <si>
    <t>2002-01-10 12:52 EST</t>
  </si>
  <si>
    <t>[('CREATED', '2002-01-10 12:52 EST'), ('RESOLVED', '2002-01-29 12:27:42 EST', 'dirk_baeumer'), ('FIXED', '2002-01-29 12:27:42 EST', 'dirk_baeumer'), ('VERIFIED', '2002-03-20 09:05:47 EST', 'martinae')]</t>
  </si>
  <si>
    <t>2002-07-24 10:22:08 EDT</t>
  </si>
  <si>
    <t>2002-07-24 10:21:42 EDT</t>
  </si>
  <si>
    <t>2002-01-14 10:16 EST</t>
  </si>
  <si>
    <t>2002-01-14 10:16:17 EST</t>
  </si>
  <si>
    <t>[('CREATED', '2002-01-14 10:16 EST'), ('Adam_Kiezun', '2002-01-14 10:16:17 EST', 'akiezun'), ('RESOLVED', '2002-05-10 18:26:38 EDT', 'erich_gamma'), ('LATER', '2002-05-10 18:26:38 EDT', 'erich_gamma'), ('---', '2002-07-24 10:21:42 EDT', 'dirk_baeumer'), ('REOPENED', '2002-07-24 10:21:42 EDT', 'dirk_baeumer'), ('RESOLVED', '2002-07-24 10:22:08 EDT', 'dirk_baeumer'), ('WONTFIX', '2002-07-24 10:22:08 EDT', 'dirk_baeumer')]</t>
  </si>
  <si>
    <t>2002-05-10 18:29:33 EDT</t>
  </si>
  <si>
    <t>2002-01-14 13:34 EST</t>
  </si>
  <si>
    <t>2002-01-14 13:34:22 EST</t>
  </si>
  <si>
    <t>[('CREATED', '2002-01-14 13:34 EST'), ('accessibility', '2002-01-14 13:34:22 EST', 'Tod_Creasey'), ('Nick_Edgar', '2002-01-14 13:34:22 EST', 'Tod_Creasey'), ('Simon_Arsenault', '2002-03-06 09:27:05 EST', 'Tod_Creasey'), ('usability', '2002-03-06 09:27:05 EST', 'Tod_Creasey'), ('RESOLVED', '2002-05-10 18:29:33 EDT', 'erich_gamma'), ('WONTFIX', '2002-05-10 18:29:33 EDT', 'erich_gamma')]</t>
  </si>
  <si>
    <t>2002-01-15 05:21:06 EST</t>
  </si>
  <si>
    <t>2002-01-15 04:03 EST</t>
  </si>
  <si>
    <t>2002-01-15 05:03:35 EST</t>
  </si>
  <si>
    <t>[('CREATED', '2002-01-15 04:03 EST'), ('ASSIGNED', '2002-01-15 05:03:35 EST', 'akiezun'), ('RESOLVED', '2002-01-15 05:21:06 EST', 'akiezun'), ('FIXED', '2002-01-15 05:21:06 EST', 'akiezun')]</t>
  </si>
  <si>
    <t>2003-04-28 06:02:43 EDT</t>
  </si>
  <si>
    <t>2009-08-30 02:39:00 EDT</t>
  </si>
  <si>
    <t>2002-01-15 07:51 EST</t>
  </si>
  <si>
    <t>2002-01-15 08:32:14 EST</t>
  </si>
  <si>
    <t>[('CREATED', '2002-01-15 07:51 EST'), ('dirk_baeumer', '2002-01-15 08:32:14 EST', 'erich_gamma'), ("extract local variable: 'this.f' should maybe be equal 'f'", '2002-01-15 08:32:14 EST', 'erich_gamma'), ('RESOLVED', '2002-01-15 09:50:18 EST', 'erich_gamma'), ('LATER', '2002-01-15 09:50:18 EST', 'erich_gamma'), ("extract local variable: 'this.f' should maybe be equal 'f' [refactoring]", '2002-07-24 10:26:45 EDT', 'dirk_baeumer'), ('NEW', '2002-09-12 09:41:50 EDT', 'dirk_baeumer'), ('jdt-ui-inbox', '2002-09-12 09:41:50 EDT', 'dirk_baeumer'), ('ASSIGNED', '2002-09-12 10:09:50 EDT', 'dirk_baeumer'), ('enhancement', '2002-09-18 04:39:08 EDT', 'akiezun'), ('RESOLVED', '2003-04-28 06:02:43 EDT', 'dirk_baeumer'), ('WONTFIX', '2009-08-30 02:39:00 EDT', 'webmaster')]</t>
  </si>
  <si>
    <t>7634 (view as bug list)</t>
  </si>
  <si>
    <t>2002-01-15 12:27:26 EST</t>
  </si>
  <si>
    <t>2002-01-15 11:42 EST</t>
  </si>
  <si>
    <t>2002-01-15 13:02:43 EST</t>
  </si>
  <si>
    <t>[('CREATED', '2002-01-15 11:42 EST'), ('RESOLVED', '2002-01-15 12:27:26 EST', 'akiezun'), ('FIXED', '2002-01-15 12:27:26 EST', 'akiezun'), ('Dirk_Baeumer', '2002-01-15 13:02:43 EST', 'akiezun')]</t>
  </si>
  <si>
    <t>RESOLVED  DUPLICATE  of bug 7623</t>
  </si>
  <si>
    <t>2002-01-15 12:57 EST</t>
  </si>
  <si>
    <t>[('CREATED', '2002-01-15 12:57 EST'), ('RESOLVED', '2002-01-15 13:02:43 EST', 'akiezun'), ('DUPLICATE', '2002-01-15 13:02:43 EST', 'akiezun')]</t>
  </si>
  <si>
    <t>2002-01-24 07:01:39 EST</t>
  </si>
  <si>
    <t>2002-02-13 08:29:58 EST</t>
  </si>
  <si>
    <t>2002-01-15 14:44 EST</t>
  </si>
  <si>
    <t>2002-01-16 09:29:01 EST</t>
  </si>
  <si>
    <t>[('CREATED', '2002-01-15 14:44 EST'), ('UI', '2002-01-16 09:29:01 EST', 'philippe_mulet'), ('Adam_Kiezun', '2002-01-24 01:55:53 EST', 'erich_gamma'), ('P1', '2002-01-24 01:55:53 EST', 'erich_gamma'), ('RESOLVED', '2002-01-24 07:01:39 EST', 'akiezun'), ('FIXED', '2002-01-24 07:01:39 EST', 'akiezun'), ('VERIFIED', '2002-02-13 08:29:58 EST', 'martinae')]</t>
  </si>
  <si>
    <t>2002-02-07 11:52:22 EST</t>
  </si>
  <si>
    <t>2002-01-15 16:08 EST</t>
  </si>
  <si>
    <t>2002-01-16 09:51:01 EST</t>
  </si>
  <si>
    <t>[('CREATED', '2002-01-15 16:08 EST'), ('Adam_Kiezun', '2002-01-16 09:51:01 EST', 'erich_gamma'), ('P2', '2002-01-16 09:51:01 EST', 'erich_gamma'), ('RESOLVED', '2002-02-07 11:52:22 EST', 'akiezun'), ('WORKSFORME', '2002-02-07 11:52:22 EST', 'akiezun')]</t>
  </si>
  <si>
    <t>7340</t>
  </si>
  <si>
    <t>2002-01-21 07:52:28 EST</t>
  </si>
  <si>
    <t>2002-01-16 06:24 EST</t>
  </si>
  <si>
    <t>2002-01-16 08:57:55 EST</t>
  </si>
  <si>
    <t>[('CREATED', '2002-01-16 06:24 EST'), ('Dirk_Baeumer', '2002-01-16 08:57:55 EST', 'erich_gamma'), ('P1', '2002-01-16 08:57:55 EST', 'erich_gamma'), ('ASSIGNED', '2002-01-16 09:03:06 EST', 'akiezun'), ('Adam_Kiezun', '2002-01-16 09:08:50 EST', 'akiezun'), ('NEW', '2002-01-16 09:08:50 EST', 'akiezun'), ('7340', '2002-01-16 09:08:50 EST', 'akiezun'), ('2.0 M2', '2002-01-21 05:02:16 EST', 'erich_gamma'), ('RESOLVED', '2002-01-21 07:52:28 EST', 'akiezun'), ('FIXED', '2002-01-21 07:52:28 EST', 'akiezun')]</t>
  </si>
  <si>
    <t>2002-01-18 08:34:52 EST</t>
  </si>
  <si>
    <t>2002-01-16 12:38 EST</t>
  </si>
  <si>
    <t>2002-01-16 15:46:50 EST</t>
  </si>
  <si>
    <t>[('CREATED', '2002-01-16 12:38 EST'), ('Dirk_Baeumer', '2002-01-16 15:46:50 EST', 'erich_gamma'), ('P2', '2002-01-16 15:46:50 EST', 'erich_gamma'), ('RESOLVED', '2002-01-18 08:34:52 EST', 'dirk_baeumer'), ('INVALID', '2002-01-18 08:34:52 EST', 'dirk_baeumer')]</t>
  </si>
  <si>
    <t>2002-01-25 10:00:28 EST</t>
  </si>
  <si>
    <t>2002-01-17 09:57 EST</t>
  </si>
  <si>
    <t>2002-01-18 02:43:34 EST</t>
  </si>
  <si>
    <t>[('CREATED', '2002-01-17 09:57 EST'), ('Adam_Kiezun', '2002-01-18 02:43:34 EST', 'erich_gamma'), ('ASSIGNED', '2002-01-24 09:12:51 EST', 'akiezun'), ('RESOLVED', '2002-01-25 10:00:28 EST', 'akiezun'), ('FIXED', '2002-01-25 10:00:28 EST', 'akiezun')]</t>
  </si>
  <si>
    <t>2002-01-29 03:56:31 EST</t>
  </si>
  <si>
    <t>2002-03-28 05:20:26 EST</t>
  </si>
  <si>
    <t>2002-01-17 11:20 EST</t>
  </si>
  <si>
    <t>[('CREATED', '2002-01-17 11:20 EST'), ('RESOLVED', '2002-01-29 03:56:31 EST', 'erich_gamma'), ('FIXED', '2002-01-29 03:56:31 EST', 'erich_gamma'), ('VERIFIED', '2002-03-28 05:20:26 EST', 'andre_weinand')]</t>
  </si>
  <si>
    <t>2002-04-11 07:57:29 EDT</t>
  </si>
  <si>
    <t>2002-01-20 21:21 EST</t>
  </si>
  <si>
    <t>2002-01-21 14:03:07 EST</t>
  </si>
  <si>
    <t>[('CREATED', '2002-01-20 21:21 EST'), ('UI', '2002-01-21 14:03:07 EST', 'philippe_mulet'), ('Erich_Gamma', '2002-04-11 06:04:41 EDT', 'akiezun'), ('Adam_Kiezun', '2002-04-11 06:04:41 EDT', 'akiezun'), ('FIXED', '2002-04-11 07:57:29 EDT', 'akiezun'), ('RESOLVED', '2002-04-11 07:57:29 EDT', 'akiezun')]</t>
  </si>
  <si>
    <t>2002-01-21 12:35:51 EST</t>
  </si>
  <si>
    <t>2002-03-28 05:34:49 EST</t>
  </si>
  <si>
    <t>2002-01-21 05:26 EST</t>
  </si>
  <si>
    <t>2002-01-21 05:26:12 EST</t>
  </si>
  <si>
    <t>[('CREATED', '2002-01-21 05:26 EST'), ('2.0 M2', '2002-01-21 05:26:12 EST', 'erich_gamma'), ('Dirk_Baeumer', '2002-01-21 06:41:00 EST', 'akiezun'), ('RESOLVED', '2002-01-21 12:35:51 EST', 'akiezun'), ('FIXED', '2002-01-21 12:35:51 EST', 'akiezun'), ('VERIFIED', '2002-03-28 05:34:49 EST', 'andre_weinand')]</t>
  </si>
  <si>
    <t>7986</t>
  </si>
  <si>
    <t>2002-01-25 05:22:32 EST</t>
  </si>
  <si>
    <t>2002-03-28 05:36:13 EST</t>
  </si>
  <si>
    <t>2002-01-21 05:28 EST</t>
  </si>
  <si>
    <t>2002-01-21 05:28:43 EST</t>
  </si>
  <si>
    <t>[('CREATED', '2002-01-21 05:28 EST'), ('2.0 M3', '2002-01-21 05:28:43 EST', 'erich_gamma'), ('ASSIGNED', '2002-01-21 12:38:11 EST', 'akiezun'), ('7986', '2002-01-21 12:38:11 EST', 'akiezun'), ('RESOLVED', '2002-01-25 05:22:32 EST', 'akiezun'), ('FIXED', '2002-01-25 05:22:32 EST', 'akiezun'), ('VERIFIED', '2002-03-28 05:36:13 EST', 'andre_weinand')]</t>
  </si>
  <si>
    <t>2002-01-28 06:03:46 EST</t>
  </si>
  <si>
    <t>2002-01-21 09:34 EST</t>
  </si>
  <si>
    <t>2002-01-24 01:50:21 EST</t>
  </si>
  <si>
    <t>[('CREATED', '2002-01-21 09:34 EST'), ('Dirk_Baeumer', '2002-01-24 01:50:21 EST', 'erich_gamma'), ('P1', '2002-01-24 01:50:21 EST', 'erich_gamma'), ('Adam_Kiezun', '2002-01-24 11:21:11 EST', 'dirk_baeumer'), ('ASSIGNED', '2002-01-24 11:33:02 EST', 'akiezun'), ('RESOLVED', '2002-01-28 06:03:46 EST', 'akiezun'), ('FIXED', '2002-01-28 06:03:46 EST', 'akiezun')]</t>
  </si>
  <si>
    <t>2002-03-25 05:41:56 EST</t>
  </si>
  <si>
    <t>2002-01-21 14:34 EST</t>
  </si>
  <si>
    <t>2002-01-21 18:03:42 EST</t>
  </si>
  <si>
    <t>[('CREATED', '2002-01-21 14:34 EST'), ('DJ_Houghton', '2002-01-21 18:03:42 EST', 'erich_gamma'), ('Core', '2002-01-21 18:03:42 EST', 'erich_gamma'), ('Platform', '2002-01-21 18:03:42 EST', 'erich_gamma'), ('Erich_Gamma', '2002-01-24 19:53:10 EST', 'dj.houghton'), ('UI', '2002-01-24 19:53:10 EST', 'dj.houghton'), ('JDT', '2002-01-24 19:53:10 EST', 'dj.houghton'), ('Adam_Kiezun', '2002-01-25 04:15:21 EST', 'erich_gamma'), ('P2', '2002-01-25 04:15:21 EST', 'erich_gamma'), ('Erich_Gamma', '2002-01-28 07:33:50 EST', 'akiezun'), ('Adam_Kiezun', '2002-01-28 07:33:50 EST', 'akiezun'), ('2.0', '2002-03-25 05:41:56 EST', 'erich_gamma'), ('RESOLVED', '2002-03-25 05:41:56 EST', 'erich_gamma'), ('FIXED', '2002-03-25 05:41:56 EST', 'erich_gamma')]</t>
  </si>
  <si>
    <t>2002-03-11 10:37:28 EST</t>
  </si>
  <si>
    <t>2002-01-22 09:27 EST</t>
  </si>
  <si>
    <t>2002-01-24 01:48:29 EST</t>
  </si>
  <si>
    <t>[('CREATED', '2002-01-22 09:27 EST'), ('P2', '2002-01-24 01:48:29 EST', 'erich_gamma'), ('Dirk_Baeumer', '2002-01-31 06:36:27 EST', 'erich_gamma'), ('RESOLVED', '2002-03-11 10:37:28 EST', 'dirk_baeumer'), ('FIXED', '2002-03-11 10:37:28 EST', 'dirk_baeumer')]</t>
  </si>
  <si>
    <t>9300 (view as bug list)</t>
  </si>
  <si>
    <t>2002-03-20 06:14:19 EST</t>
  </si>
  <si>
    <t>2002-01-22 09:59 EST</t>
  </si>
  <si>
    <t>2002-02-11 12:47:15 EST</t>
  </si>
  <si>
    <t>[('CREATED', '2002-01-22 09:59 EST'), ('Daniel_Megert', '2002-02-11 12:47:15 EST', 'akiezun'), ('RESOLVED', '2002-03-20 06:14:19 EST', 'erich_gamma'), ('WONTFIX', '2002-03-20 06:14:19 EST', 'erich_gamma')]</t>
  </si>
  <si>
    <t>9281 14105 262522 (view as bug list)</t>
  </si>
  <si>
    <t>2002-04-26 09:18:38 EDT</t>
  </si>
  <si>
    <t>2002-01-22 10:31 EST</t>
  </si>
  <si>
    <t>2002-02-11 12:44:17 EST</t>
  </si>
  <si>
    <t>2009-01-27 05:51:24 EST</t>
  </si>
  <si>
    <t>markus.kell.r</t>
  </si>
  <si>
    <t>[('CREATED', '2002-01-22 10:31 EST'), ('minor', '2002-02-11 12:44:17 EST', 'akiezun'), ('normal', '2002-02-12 09:25:35 EST', 'akiezun'), ('Dirk_Baeumer', '2002-03-20 06:16:23 EST', 'erich_gamma'), ('sridhar', '2002-03-22 05:57:44 EST', 'akiezun'), ('Adam_Kiezun', '2002-04-18 11:05:25 EDT', 'dirk_baeumer'), ('boxall', '2002-04-18 11:34:42 EDT', 'akiezun'), ('ASSIGNED', '2002-04-25 06:41:03 EDT', 'akiezun'), ('WONTFIX', '2002-04-26 09:18:38 EDT', 'akiezun'), ('RESOLVED', '2002-04-26 09:18:38 EDT', 'akiezun'), ('raksha.vasisht', '2009-01-27 05:51:24 EST', 'markus.kell.r')]</t>
  </si>
  <si>
    <t>2002-02-04 11:39:29 EST</t>
  </si>
  <si>
    <t>2002-01-22 11:44 EST</t>
  </si>
  <si>
    <t>2002-01-23 07:34:37 EST</t>
  </si>
  <si>
    <t>[('CREATED', '2002-01-22 11:44 EST'), ('UI', '2002-01-23 07:34:37 EST', 'philippe_mulet'), ('Adam_Kiezun', '2002-01-24 10:23:48 EST', 'akiezun'), ('RESOLVED', '2002-02-04 11:39:29 EST', 'akiezun'), ('FIXED', '2002-02-04 11:39:29 EST', 'akiezun')]</t>
  </si>
  <si>
    <t>2002-01-23 11:57:32 EST</t>
  </si>
  <si>
    <t>2002-02-13 06:29:08 EST</t>
  </si>
  <si>
    <t>2002-01-22 12:32 EST</t>
  </si>
  <si>
    <t>2002-01-23 08:55:17 EST</t>
  </si>
  <si>
    <t>[('CREATED', '2002-01-22 12:32 EST'), ('Adam_Kiezun', '2002-01-23 08:55:17 EST', 'erich_gamma'), ('P1', '2002-01-23 08:55:17 EST', 'erich_gamma'), ('major', '2002-01-23 11:21:32 EST', 'akiezun'), ('ASSIGNED', '2002-01-23 11:21:32 EST', 'akiezun'), ('RESOLVED', '2002-01-23 11:57:32 EST', 'akiezun'), ('FIXED', '2002-01-23 11:57:32 EST', 'akiezun'), ('VERIFIED', '2002-02-13 06:29:08 EST', 'martinae')]</t>
  </si>
  <si>
    <t>2002-03-17 14:36:06 EST</t>
  </si>
  <si>
    <t>2002-03-28 05:56:47 EST</t>
  </si>
  <si>
    <t>2002-01-22 13:37 EST</t>
  </si>
  <si>
    <t>[('CREATED', '2002-01-22 13:37 EST'), ('RESOLVED', '2002-03-17 14:36:06 EST', 'akiezun'), ('FIXED', '2002-03-17 14:36:06 EST', 'akiezun'), ('VERIFIED', '2002-03-28 05:56:47 EST', 'andre_weinand')]</t>
  </si>
  <si>
    <t>2003-02-11 09:06:21 EST</t>
  </si>
  <si>
    <t>2002-01-22 16:27 EST</t>
  </si>
  <si>
    <t>2002-01-23 07:35:11 EST</t>
  </si>
  <si>
    <t>[('CREATED', '2002-01-22 16:27 EST'), ('Erich_Gamma', '2002-01-23 07:35:11 EST', 'philippe_mulet'), ('UI', '2002-01-23 07:35:11 EST', 'philippe_mulet'), ('ASSIGNED', '2002-01-24 11:48:00 EST', 'erich_gamma'), ('P4', '2002-01-24 11:48:00 EST', 'erich_gamma'), ('RESOLVED', '2002-05-04 14:43:20 EDT', 'erich_gamma'), ('LATER', '2002-05-04 14:43:20 EDT', 'erich_gamma'), ('helpwanted', '2002-07-24 10:33:09 EDT', 'dirk_baeumer'), ('Reactoring enhancement: Add Parameter / Remove Parameter [refactoring]', '2002-07-24 10:33:09 EDT', 'dirk_baeumer'), ('jdt-ui-inbox', '2002-09-12 09:42:12 EDT', 'dirk_baeumer'), ('NEW', '2002-09-12 09:42:12 EDT', 'dirk_baeumer'), ('ASSIGNED', '2002-09-12 10:10:42 EDT', 'dirk_baeumer'), ('N.Metchev', '2003-02-11 06:40:24 EST', 'nikolaymetchev'), ('RESOLVED', '2003-02-11 09:06:21 EST', 'dirk_baeumer'), ('FIXED', '2003-02-11 09:06:21 EST', 'dirk_baeumer'), ('2.1 M5', '2003-02-11 09:06:21 EST', 'dirk_baeumer')]</t>
  </si>
  <si>
    <t>2002-05-10 19:03:58 EDT</t>
  </si>
  <si>
    <t>2002-01-23 09:53 EST</t>
  </si>
  <si>
    <t>2002-01-23 11:22:08 EST</t>
  </si>
  <si>
    <t>[('CREATED', '2002-01-23 09:53 EST'), ('accessibility', '2002-01-23 11:22:08 EST', 'Tod_Creasey'), ('RESOLVED', '2002-05-10 19:03:58 EDT', 'erich_gamma'), ('WONTFIX', '2002-05-10 19:03:58 EDT', 'erich_gamma')]</t>
  </si>
  <si>
    <t>2002-02-12 06:49:01 EST</t>
  </si>
  <si>
    <t>2002-03-28 06:12:11 EST</t>
  </si>
  <si>
    <t>2002-01-23 09:56 EST</t>
  </si>
  <si>
    <t>2002-01-23 09:56:53 EST</t>
  </si>
  <si>
    <t>[('CREATED', '2002-01-23 09:56 EST'), ('Adam_Kiezun', '2002-01-23 09:56:53 EST', 'akiezun'), ('RESOLVED', '2002-02-12 06:49:01 EST', 'akiezun'), ('FIXED', '2002-02-12 06:49:01 EST', 'akiezun'), ('VERIFIED', '2002-03-28 06:12:11 EST', 'andre_weinand')]</t>
  </si>
  <si>
    <t>2002-02-11 13:50:23 EST</t>
  </si>
  <si>
    <t>2002-01-23 10:02 EST</t>
  </si>
  <si>
    <t>2002-02-11 12:37:41 EST</t>
  </si>
  <si>
    <t>[('CREATED', '2002-01-23 10:02 EST'), ('Adam_Kiezun', '2002-02-11 12:37:41 EST', 'akiezun'), ('RESOLVED', '2002-02-11 13:50:23 EST', 'akiezun'), ('FIXED', '2002-02-11 13:50:23 EST', 'akiezun')]</t>
  </si>
  <si>
    <t>2002-03-07 12:00:21 EST</t>
  </si>
  <si>
    <t>2002-01-23 10:04 EST</t>
  </si>
  <si>
    <t>2002-01-23 10:04:09 EST</t>
  </si>
  <si>
    <t>[('CREATED', '2002-01-23 10:04 EST'), ('Adam_Kiezun', '2002-01-23 10:04:09 EST', 'akiezun'), ('Adam_Kiezun', '2002-02-12 03:55:07 EST', 'erich_gamma'), ('RESOLVED', '2002-03-07 12:00:21 EST', 'akiezun'), ('FIXED', '2002-03-07 12:00:21 EST', 'akiezun')]</t>
  </si>
  <si>
    <t>2002-01-24 06:24:11 EST</t>
  </si>
  <si>
    <t>2002-03-28 06:49:37 EST</t>
  </si>
  <si>
    <t>2002-01-23 10:12 EST</t>
  </si>
  <si>
    <t>2002-01-24 01:39:13 EST</t>
  </si>
  <si>
    <t>[('CREATED', '2002-01-23 10:12 EST'), ('Adam_Kiezun', '2002-01-24 01:39:13 EST', 'erich_gamma'), ('P1', '2002-01-24 01:39:13 EST', 'erich_gamma'), ('FIXED', '2002-01-24 06:24:11 EST', 'akiezun'), ('RESOLVED', '2002-01-24 06:24:11 EST', 'akiezun'), ('VERIFIED', '2002-03-28 06:49:37 EST', 'andre_weinand')]</t>
  </si>
  <si>
    <t>35345 (view as bug list)</t>
  </si>
  <si>
    <t>22990</t>
  </si>
  <si>
    <t>2003-04-25 12:27:05 EDT</t>
  </si>
  <si>
    <t>2009-08-30 02:33:56 EDT</t>
  </si>
  <si>
    <t>2003-04-25 12:26:21 EDT</t>
  </si>
  <si>
    <t>2002-01-23 11:16 EST</t>
  </si>
  <si>
    <t>2002-03-20 05:26:39 EST</t>
  </si>
  <si>
    <t>[('CREATED', '2002-01-23 11:16 EST'), ('Adam_Kiezun', '2002-03-20 05:26:39 EST', 'erich_gamma'), ('ASSIGNED', '2002-03-21 04:53:53 EST', 'akiezun'), ('LATER', '2002-03-22 06:01:28 EST', 'akiezun'), ('RESOLVED', '2002-03-22 06:01:28 EST', 'akiezun'), ('REOPENED', '2002-07-26 12:40:14 EDT', 'akiezun'), ('---', '2002-07-26 12:40:14 EDT', 'akiezun'), ('NLS: various bloopers on first wizard page [refactoring]', '2002-08-26 08:43:29 EDT', 'akiezun'), ('22990', '2002-08-26 08:43:29 EDT', 'akiezun'), ('P4', '2002-09-24 10:31:52 EDT', 'akiezun'), ('RESOLVED', '2002-12-18 06:20:00 EST', 'akiezun'), ('LATER', '2002-12-18 06:20:00 EST', 'akiezun'), ('zakhav', '2003-03-20 05:36:31 EST', 'akiezun'), ('REOPENED', '2003-04-25 12:26:21 EDT', 'akiezun'), ('---', '2003-04-25 12:26:21 EDT', 'akiezun'), ('adam_kiezun', '2003-04-25 12:26:33 EDT', 'akiezun'), ('jdt-ui-inbox', '2003-04-25 12:26:33 EDT', 'akiezun'), ('NEW', '2003-04-25 12:26:33 EDT', 'akiezun'), ('RESOLVED', '2003-04-25 12:27:05 EDT', 'akiezun'), ('LATER', '2003-04-25 12:27:05 EDT', 'akiezun'), ('CLOSED', '2004-08-13 11:46:49 EDT', 'dirk_baeumer'), ('WONTFIX', '2009-08-30 02:33:56 EDT', 'webmaster')]</t>
  </si>
  <si>
    <t>2002-02-12 09:14:24 EST</t>
  </si>
  <si>
    <t>2002-01-23 11:24 EST</t>
  </si>
  <si>
    <t>[('CREATED', '2002-01-23 11:24 EST'), ('RESOLVED', '2002-02-12 09:14:24 EST', 'akiezun'), ('FIXED', '2002-02-12 09:14:24 EST', 'akiezun')]</t>
  </si>
  <si>
    <t>2002-01-24 08:02:49 EST</t>
  </si>
  <si>
    <t>2002-02-13 09:20:34 EST</t>
  </si>
  <si>
    <t>2002-01-23 11:47 EST</t>
  </si>
  <si>
    <t>2002-01-24 01:36:32 EST</t>
  </si>
  <si>
    <t>[('CREATED', '2002-01-23 11:47 EST'), ('Dirk_Baeumer', '2002-01-24 01:36:32 EST', 'erich_gamma'), ('P1', '2002-01-24 01:36:32 EST', 'erich_gamma'), ('FIXED', '2002-01-24 08:02:49 EST', 'dirk_baeumer'), ('RESOLVED', '2002-01-24 08:02:49 EST', 'dirk_baeumer'), ('VERIFIED', '2002-02-13 09:20:34 EST', 'martinae')]</t>
  </si>
  <si>
    <t>2002-01-25 09:00:59 EST</t>
  </si>
  <si>
    <t>2002-01-24 11:21:02 EST</t>
  </si>
  <si>
    <t>2002-01-23 11:58 EST</t>
  </si>
  <si>
    <t>2002-01-24 01:35:48 EST</t>
  </si>
  <si>
    <t>[('CREATED', '2002-01-23 11:58 EST'), ('Adam_Kiezun', '2002-01-24 01:35:48 EST', 'erich_gamma'), ('P1', '2002-01-24 01:35:48 EST', 'erich_gamma'), ('RESOLVED', '2002-01-24 06:03:06 EST', 'akiezun'), ('FIXED', '2002-01-24 06:03:06 EST', 'akiezun'), ('REOPENED', '2002-01-24 11:21:02 EST', 'daniel_megert'), ('---', '2002-01-24 11:21:02 EST', 'daniel_megert'), ('RESOLVED', '2002-01-25 09:00:59 EST', 'akiezun'), ('FIXED', '2002-01-25 09:00:59 EST', 'akiezun')]</t>
  </si>
  <si>
    <t>2002-01-25 10:13:59 EST</t>
  </si>
  <si>
    <t>2002-01-23 12:13 EST</t>
  </si>
  <si>
    <t>2002-01-24 08:43:35 EST</t>
  </si>
  <si>
    <t>[('CREATED', '2002-01-23 12:13 EST'), ('Adam_Kiezun', '2002-01-24 08:43:35 EST', 'erich_gamma'), ('accessibility', '2002-01-24 08:43:35 EST', 'erich_gamma'), ('ASSIGNED', '2002-01-24 09:08:40 EST', 'akiezun'), ('RESOLVED', '2002-01-25 10:13:59 EST', 'akiezun'), ('FIXED', '2002-01-25 10:13:59 EST', 'akiezun')]</t>
  </si>
  <si>
    <t>2002-01-28 06:52:44 EST</t>
  </si>
  <si>
    <t>2002-03-28 08:44:42 EST</t>
  </si>
  <si>
    <t>2002-01-23 12:33 EST</t>
  </si>
  <si>
    <t>2002-01-24 08:40:51 EST</t>
  </si>
  <si>
    <t>[('CREATED', '2002-01-23 12:33 EST'), ('Adam_Kiezun', '2002-01-24 08:40:51 EST', 'erich_gamma'), ('P2', '2002-01-24 08:40:51 EST', 'erich_gamma'), ('ASSIGNED', '2002-01-24 09:14:22 EST', 'akiezun'), ('RESOLVED', '2002-01-28 06:52:44 EST', 'akiezun'), ('FIXED', '2002-01-28 06:52:44 EST', 'akiezun'), ('VERIFIED', '2002-03-28 08:44:42 EST', 'andre_weinand')]</t>
  </si>
  <si>
    <t>2002-03-20 05:25:10 EST</t>
  </si>
  <si>
    <t>2002-01-23 13:31 EST</t>
  </si>
  <si>
    <t>[('CREATED', '2002-01-23 13:31 EST'), ('RESOLVED', '2002-03-20 05:25:10 EST', 'erich_gamma'), ('FIXED', '2002-03-20 05:25:10 EST', 'erich_gamma')]</t>
  </si>
  <si>
    <t>2002-01-24 10:10:41 EST</t>
  </si>
  <si>
    <t>2002-01-24 11:11:08 EST</t>
  </si>
  <si>
    <t>2002-01-23 13:34 EST</t>
  </si>
  <si>
    <t>2002-01-23 13:35:15 EST</t>
  </si>
  <si>
    <t>[('CREATED', '2002-01-23 13:34 EST'), ('NPE in refactoring preview page (Pull up)', '2002-01-23 13:35:15 EST', 'martinae'), ('Adam_Kiezun', '2002-01-24 01:31:18 EST', 'erich_gamma'), ('P1', '2002-01-24 01:31:18 EST', 'erich_gamma'), ('Dirk_Baeumer', '2002-01-24 05:29:21 EST', 'akiezun'), ('Adam_Kiezun', '2002-01-24 05:29:21 EST', 'akiezun'), ('RESOLVED', '2002-01-24 10:10:41 EST', 'dirk_baeumer'), ('FIXED', '2002-01-24 10:10:41 EST', 'dirk_baeumer'), ('VERIFIED', '2002-01-24 11:11:08 EST', 'daniel_megert')]</t>
  </si>
  <si>
    <t>2002-01-25 11:09:10 EST</t>
  </si>
  <si>
    <t>2002-03-28 09:35:49 EST</t>
  </si>
  <si>
    <t>2002-01-23 16:28 EST</t>
  </si>
  <si>
    <t>2002-01-24 05:49:45 EST</t>
  </si>
  <si>
    <t>[('CREATED', '2002-01-23 16:28 EST'), ('Dirk_Baeumer', '2002-01-24 05:49:45 EST', 'erich_gamma'), ('RESOLVED', '2002-01-25 11:09:10 EST', 'dirk_baeumer'), ('FIXED', '2002-01-25 11:09:10 EST', 'dirk_baeumer'), ('VERIFIED', '2002-03-28 09:35:49 EST', 'andre_weinand')]</t>
  </si>
  <si>
    <t>2003-04-25 10:23:42 EDT</t>
  </si>
  <si>
    <t>2009-08-30 02:38:34 EDT</t>
  </si>
  <si>
    <t>2003-04-25 10:22:46 EDT</t>
  </si>
  <si>
    <t>2002-01-24 06:54 EST</t>
  </si>
  <si>
    <t>2002-01-24 07:06:02 EST</t>
  </si>
  <si>
    <t>[('CREATED', '2002-01-24 06:54 EST'), ('Adam_Kiezun', '2002-01-24 07:06:02 EST', 'erich_gamma'), ('P4', '2002-01-24 07:06:02 EST', 'erich_gamma'), ('ASSIGNED', '2002-01-24 09:06:32 EST', 'akiezun'), ('erich_gamma', '2002-01-24 09:10:33 EST', 'akiezun'), ('RESOLVED', '2002-03-07 12:03:11 EST', 'akiezun'), ('LATER', '2002-03-07 12:03:11 EST', 'akiezun'), ('REOPENED', '2003-04-25 10:22:46 EDT', 'akiezun'), ('---', '2003-04-25 10:22:46 EDT', 'akiezun'), ('jdt-ui-inbox', '2003-04-25 10:23:01 EDT', 'akiezun'), ('NEW', '2003-04-25 10:23:01 EDT', 'akiezun'), ('RESOLVED', '2003-04-25 10:23:42 EDT', 'akiezun'), ('LATER', '2003-04-25 10:23:42 EDT', 'akiezun'), ('Find and delete import statements when a class is deleted [refactoring]', '2003-04-25 10:42:44 EDT', 'dirk_baeumer'), ('WONTFIX', '2009-08-30 02:38:34 EDT', 'webmaster')]</t>
  </si>
  <si>
    <t>2002-03-13 11:47:24 EST</t>
  </si>
  <si>
    <t>2002-01-24 06:57 EST</t>
  </si>
  <si>
    <t>2002-01-24 08:16:39 EST</t>
  </si>
  <si>
    <t>[('CREATED', '2002-01-24 06:57 EST'), ('Adam_Kiezun', '2002-01-24 08:16:39 EST', 'erich_gamma'), ('P2', '2002-01-24 08:16:39 EST', 'erich_gamma'), ('ASSIGNED', '2002-01-24 09:09:19 EST', 'akiezun'), ('2.0 M5', '2002-03-07 11:10:13 EST', 'akiezun'), ('RESOLVED', '2002-03-13 11:47:24 EST', 'akiezun'), ('FIXED', '2002-03-13 11:47:24 EST', 'akiezun')]</t>
  </si>
  <si>
    <t>RESOLVED  DUPLICATE  of bug 15305</t>
  </si>
  <si>
    <t>18905 (view as bug list)</t>
  </si>
  <si>
    <t>9381 9382</t>
  </si>
  <si>
    <t>2002-09-05 09:20:43 EDT</t>
  </si>
  <si>
    <t>2002-09-05 09:20:28 EDT</t>
  </si>
  <si>
    <t>2002-01-24 13:40 EST</t>
  </si>
  <si>
    <t>2002-01-24 18:11:41 EST</t>
  </si>
  <si>
    <t>2003-03-17 12:14:30 EST</t>
  </si>
  <si>
    <t>jerome_lanneluc</t>
  </si>
  <si>
    <t>[('CREATED', '2002-01-24 13:40 EST'), ('Olivier_Thomann', '2002-01-24 18:11:41 EST', 'philippe_mulet'), ('ASSIGNED', '2002-01-25 09:49:55 EST', 'Olivier_Thomann'), ('Erich_Gamma', '2002-02-08 11:48:23 EST', 'Olivier_Thomann'), ('NEW', '2002-02-08 11:48:23 EST', 'Olivier_Thomann'), ('UI', '2002-02-08 11:48:23 EST', 'Olivier_Thomann'), ('Adam_Kiezun', '2002-02-08 16:44:40 EST', 'erich_gamma'), ('P2', '2002-02-08 16:44:40 EST', 'erich_gamma'), ('9381, 9382', '2002-02-08 16:44:40 EST', 'akiezun'), ('ASSIGNED', '2002-03-07 11:14:55 EST', 'akiezun'), ('2.0 M6', '2002-03-07 11:14:55 EST', 'akiezun'), ('RESOLVED', '2002-04-02 12:28:37 EST', 'akiezun'), ('LATER', '2002-04-02 12:28:37 EST', 'akiezun'), ("curtis_d'entremont", '2002-06-03 17:07:32 EDT', "curtis_d'entremont"), ('REOPENED', '2002-09-05 09:20:28 EDT', 'akiezun'), ('---', '2002-09-05 09:20:28 EDT', 'akiezun'), ('RESOLVED', '2002-09-05 09:20:43 EDT', 'akiezun'), ('DUPLICATE', '2002-09-05 09:20:43 EDT', 'akiezun'), ('---', '2003-03-17 12:14:30 EST', 'jerome_lanneluc')]</t>
  </si>
  <si>
    <t>2002-01-28 05:02:40 EST</t>
  </si>
  <si>
    <t>2002-01-27 19:17 EST</t>
  </si>
  <si>
    <t>[('CREATED', '2002-01-27 19:17 EST'), ('RESOLVED', '2002-01-28 05:02:40 EST', 'akiezun'), ('INVALID', '2002-01-28 05:02:40 EST', 'akiezun')]</t>
  </si>
  <si>
    <t>11571 (view as bug list)</t>
  </si>
  <si>
    <t>2002-04-11 08:24:52 EDT</t>
  </si>
  <si>
    <t>2002-01-29 07:07 EST</t>
  </si>
  <si>
    <t>2002-01-29 08:21:54 EST</t>
  </si>
  <si>
    <t>[('CREATED', '2002-01-29 07:07 EST'), ('Adam_Kiezun', '2002-01-29 08:21:54 EST', 'erich_gamma'), ('P2', '2002-01-29 08:21:54 EST', 'erich_gamma'), ('ASSIGNED', '2002-03-07 11:08:21 EST', 'akiezun'), ('2.0 M6', '2002-03-07 11:08:21 EST', 'akiezun'), ('Daniel_Megert', '2002-03-21 06:16:36 EST', 'akiezun'), ('RESOLVED', '2002-04-11 08:24:52 EDT', 'akiezun'), ('FIXED', '2002-04-11 08:24:52 EDT', 'akiezun')]</t>
  </si>
  <si>
    <t>RESOLVED  DUPLICATE  of bug 4210</t>
  </si>
  <si>
    <t>2002-05-11 15:12:29 EDT</t>
  </si>
  <si>
    <t>2002-01-29 07:23 EST</t>
  </si>
  <si>
    <t>2002-01-30 09:18:46 EST</t>
  </si>
  <si>
    <t>[('CREATED', '2002-01-29 07:23 EST'), ('wegener', '2002-01-30 09:18:46 EST', 'dpwegener'), ('Erich_Gamma', '2002-01-30 09:18:46 EST', 'dj.houghton'), ('UI', '2002-01-30 09:18:46 EST', 'dj.houghton'), ('JDT', '2002-01-30 09:18:46 EST', 'dj.houghton'), ('Adam_Kiezun', '2002-02-04 12:10:17 EST', 'akiezun'), ('RESOLVED', '2002-05-11 15:12:29 EDT', 'erich_gamma'), ('DUPLICATE', '2002-05-11 15:12:29 EDT', 'erich_gamma')]</t>
  </si>
  <si>
    <t>2003-04-24 11:38:36 EDT</t>
  </si>
  <si>
    <t>2002-01-29 10:42 EST</t>
  </si>
  <si>
    <t>2002-01-30 19:31:04 EST</t>
  </si>
  <si>
    <t>[('CREATED', '2002-01-29 10:42 EST'), ('RESOLVED', '2002-01-30 19:31:04 EST', 'erich_gamma'), ('LATER', '2002-01-30 19:31:04 EST', 'erich_gamma'), ('investigate', '2002-07-25 05:46:44 EDT', 'dirk_baeumer'), ('Drag &amp; drop inner class [refactoring] [dnd]', '2002-07-25 05:46:44 EDT', 'dirk_baeumer'), ('jdt-ui-inbox', '2002-09-12 09:39:48 EDT', 'dirk_baeumer'), ('NEW', '2002-09-12 09:39:48 EDT', 'dirk_baeumer'), ('ASSIGNED', '2002-09-12 10:04:54 EDT', 'dirk_baeumer'), ('Adam_Kiezun', '2002-09-12 10:04:54 EDT', 'akiezun'), ('RESOLVED', '2003-04-24 11:38:36 EDT', 'dirk_baeumer'), ('WONTFIX', '2003-04-24 11:38:36 EDT', 'dirk_baeumer')]</t>
  </si>
  <si>
    <t>2002-02-12 07:01:50 EST</t>
  </si>
  <si>
    <t>2002-01-29 19:16 EST</t>
  </si>
  <si>
    <t>2002-01-30 09:48:28 EST</t>
  </si>
  <si>
    <t>[('CREATED', '2002-01-29 19:16 EST'), ('erich_gamma', '2002-01-30 09:48:28 EST', 'erich_gamma'), ('Dirk_Baeumer', '2002-01-30 09:48:28 EST', 'erich_gamma'), ('2.0 M3', '2002-01-30 17:31:33 EST', 'erich_gamma'), ('FIXED', '2002-02-12 07:01:50 EST', 'dirk_baeumer'), ('RESOLVED', '2002-02-12 07:01:50 EST', 'dirk_baeumer')]</t>
  </si>
  <si>
    <t>2002-01-31 05:12:03 EST</t>
  </si>
  <si>
    <t>2002-01-30 11:03 EST</t>
  </si>
  <si>
    <t>2002-01-30 14:31:33 EST</t>
  </si>
  <si>
    <t>[('CREATED', '2002-01-30 11:03 EST'), ('Erich_Gamma', '2002-01-30 14:31:33 EST', 'philippe_mulet'), ('UI', '2002-01-30 14:31:33 EST', 'philippe_mulet'), ('Dirk_Baeumer', '2002-01-30 16:31:04 EST', 'erich_gamma'), ('WORKSFORME', '2002-01-31 05:12:03 EST', 'dirk_baeumer'), ('RESOLVED', '2002-01-31 05:12:03 EST', 'dirk_baeumer')]</t>
  </si>
  <si>
    <t>RESOLVED  DUPLICATE  of bug 6947</t>
  </si>
  <si>
    <t>2002-02-01 05:30:12 EST</t>
  </si>
  <si>
    <t>2002-01-31 11:06 EST</t>
  </si>
  <si>
    <t>2002-01-31 11:15:34 EST</t>
  </si>
  <si>
    <t>[('CREATED', '2002-01-31 11:06 EST'), ('Refactor(rename) of array-datamember renames references but not definition', '2002-01-31 11:15:34 EST', 'rolarenfan'), ('Adam_Kiezun', '2002-01-31 18:25:19 EST', 'erich_gamma'), ('P2', '2002-01-31 18:25:19 EST', 'erich_gamma'), ('RESOLVED', '2002-02-01 05:30:12 EST', 'akiezun'), ('DUPLICATE', '2002-02-01 05:30:12 EST', 'akiezun')]</t>
  </si>
  <si>
    <t>2002-05-03 09:42:09 EDT</t>
  </si>
  <si>
    <t>2009-08-30 02:20:19 EDT</t>
  </si>
  <si>
    <t>2002-02-01 04:47 EST</t>
  </si>
  <si>
    <t>2002-02-01 05:42:57 EST</t>
  </si>
  <si>
    <t>[('CREATED', '2002-02-01 04:47 EST'), ('Dirk_Baeumer', '2002-02-01 05:42:57 EST', 'erich_gamma'), ('preuss', '2002-02-01 05:42:57 EST', 'preuss'), ('LATER', '2002-05-03 09:42:09 EDT', 'dirk_baeumer'), ('RESOLVED', '2002-05-03 09:42:09 EDT', 'dirk_baeumer'), ('Refactoring by code change [refactoring]', '2002-08-14 08:18:45 EDT', 'dirk_baeumer'), (nan, '2004-05-26 07:22:11 EDT', 'preuss'), ('WONTFIX', '2009-08-30 02:20:19 EDT', 'denis.roy'), ('jdt-ui-inbox', '2009-08-30 02:20:19 EDT', 'denis.roy')]</t>
  </si>
  <si>
    <t>18756 (view as bug list)</t>
  </si>
  <si>
    <t>2009-08-30 02:22:19 EDT</t>
  </si>
  <si>
    <t>2002-02-01 12:01 EST</t>
  </si>
  <si>
    <t>2002-05-11 15:13:44 EDT</t>
  </si>
  <si>
    <t>[('CREATED', '2002-02-01 12:01 EST'), ('ASSIGNED', '2002-05-11 15:13:44 EDT', 'erich_gamma'), ('RESOLVED', '2002-05-29 10:24:46 EDT', 'erich_gamma'), ('LATER', '2002-05-29 10:24:46 EDT', 'erich_gamma'), ('hudsonr', '2002-06-03 11:30:08 EDT', 'hudsonr'), ('F2 for rename does not work in packages view [refactoring] [package explorer]', '2002-07-25 05:56:35 EDT', 'dirk_baeumer'), ('NEW', '2002-09-12 09:41:17 EDT', 'dirk_baeumer'), ('jdt-ui-inbox', '2002-09-12 09:41:17 EDT', 'dirk_baeumer'), ('ASSIGNED', '2002-09-12 10:08:10 EDT', 'dirk_baeumer'), ('enhancement', '2002-09-18 04:40:34 EDT', 'akiezun'), ('RESOLVED', '2003-04-28 06:03:02 EDT', 'dirk_baeumer'), ('CLOSED', '2004-08-13 11:52:07 EDT', 'dirk_baeumer'), ('3.0', '2004-08-13 12:30:54 EDT', 'hudsonr'), ('WONTFIX', '2009-08-30 02:22:19 EDT', 'denis.roy')]</t>
  </si>
  <si>
    <t>CLOSED  FIXED</t>
  </si>
  <si>
    <t>2002-02-04 05:41:18 EST</t>
  </si>
  <si>
    <t>2002-02-02 15:19 EST</t>
  </si>
  <si>
    <t>2002-02-03 15:22:59 EST</t>
  </si>
  <si>
    <t>2002-02-07 16:42:29 EST</t>
  </si>
  <si>
    <t>sdavids</t>
  </si>
  <si>
    <t>[('CREATED', '2002-02-02 15:19 EST'), ('Adam_Kiezun', '2002-02-03 15:22:59 EST', 'erich_gamma'), ('P2', '2002-02-03 15:22:59 EST', 'erich_gamma'), ('ASSIGNED', '2002-02-04 04:29:29 EST', 'akiezun'), ('RESOLVED', '2002-02-04 05:41:18 EST', 'akiezun'), ('FIXED', '2002-02-04 05:41:18 EST', 'akiezun'), ('CLOSED', '2002-02-07 16:42:29 EST', 'sdavids')]</t>
  </si>
  <si>
    <t>2002-02-06 09:03:07 EST</t>
  </si>
  <si>
    <t>2002-03-28 11:11:55 EST</t>
  </si>
  <si>
    <t>2002-02-04 12:17 EST</t>
  </si>
  <si>
    <t>[('CREATED', '2002-02-04 12:17 EST'), ('RESOLVED', '2002-02-06 09:03:07 EST', 'akiezun'), ('FIXED', '2002-02-06 09:03:07 EST', 'akiezun'), ('VERIFIED', '2002-03-28 11:11:55 EST', 'andre_weinand')]</t>
  </si>
  <si>
    <t>10477 14497 (view as bug list)</t>
  </si>
  <si>
    <t>2002-08-12 10:36:05 EDT</t>
  </si>
  <si>
    <t>2002-02-05 10:44 EST</t>
  </si>
  <si>
    <t>2002-03-11 07:46:39 EST</t>
  </si>
  <si>
    <t>[('CREATED', '2002-02-05 10:44 EST'), ('ASSIGNED', '2002-03-11 07:46:39 EST', 'Claude_Knaus'), ('P3', '2002-03-11 07:46:39 EST', 'Claude_Knaus'), ('Veronika_Irvine', '2002-03-11 08:47:56 EST', 'Claude_Knaus'), ('mccull1', '2002-05-04 21:34:56 EDT', 'mccull1'), ('d92-jwa', '2002-06-10 10:43:20 EDT', 'johan.walles'), ('jcompagner', '2002-06-10 16:44:42 EDT', 'jcompagner'), ('chambery', '2002-08-06 09:41:50 EDT', 'Claude_Knaus'), ('RESOLVED', '2002-08-12 10:36:05 EDT', 'Claude_Knaus'), ('FIXED', '2002-08-12 10:36:05 EDT', 'Claude_Knaus')]</t>
  </si>
  <si>
    <t>2002-02-07 10:59:00 EST</t>
  </si>
  <si>
    <t>2002-02-05 21:52 EST</t>
  </si>
  <si>
    <t>2002-02-06 13:21:04 EST</t>
  </si>
  <si>
    <t>[('CREATED', '2002-02-05 21:52 EST'), ('Adam_Kiezun', '2002-02-06 13:21:04 EST', 'kai-uwe_maetzel'), ('RESOLVED', '2002-02-07 10:59:00 EST', 'akiezun'), ('WORKSFORME', '2002-02-07 10:59:00 EST', 'akiezun')]</t>
  </si>
  <si>
    <t>2002-02-11 13:09:49 EST</t>
  </si>
  <si>
    <t>2002-02-07 07:23 EST</t>
  </si>
  <si>
    <t>2002-02-07 09:09:53 EST</t>
  </si>
  <si>
    <t>[('CREATED', '2002-02-07 07:23 EST'), ('Erich_Gamma', '2002-02-07 09:09:53 EST', 'philippe_mulet'), ('UI', '2002-02-07 09:09:53 EST', 'philippe_mulet'), ('Adam_Kiezun', '2002-02-11 12:03:28 EST', 'akiezun'), ('RESOLVED', '2002-02-11 13:09:49 EST', 'akiezun'), ('FIXED', '2002-02-11 13:09:49 EST', 'akiezun')]</t>
  </si>
  <si>
    <t>2002-05-03 12:46:29 EDT</t>
  </si>
  <si>
    <t>2002-02-07 13:40 EST</t>
  </si>
  <si>
    <t>2002-02-07 13:40:32 EST</t>
  </si>
  <si>
    <t>[('CREATED', '2002-02-07 13:40 EST'), ('Dirk_Baeumer', '2002-02-07 13:40:32 EST', 'akiezun'), ('Dirk_Baeumer', '2002-04-14 10:09:13 EDT', 'erich_gamma'), ('RESOLVED', '2002-05-03 12:46:29 EDT', 'dirk_baeumer'), ('FIXED', '2002-05-03 12:46:29 EDT', 'dirk_baeumer'), ('2.0 M6', '2002-05-03 12:46:29 EDT', 'dirk_baeumer')]</t>
  </si>
  <si>
    <t>RESOLVED  DUPLICATE  of bug 8003</t>
  </si>
  <si>
    <t>2002-03-22 05:57:44 EST</t>
  </si>
  <si>
    <t>2002-02-07 18:34 EST</t>
  </si>
  <si>
    <t>2002-02-08 04:11:55 EST</t>
  </si>
  <si>
    <t>[('CREATED', '2002-02-07 18:34 EST'), ('ASSIGNED', '2002-02-08 04:11:55 EST', 'andre_weinand'), ('UI', '2002-02-08 04:12:43 EST', 'andre_weinand'), ('JDT', '2002-02-08 04:12:43 EST', 'andre_weinand'), ('critical', '2002-03-01 11:11:53 EST', 'sridhar'), ('Adam_Kiezun', '2002-03-21 03:11:32 EST', 'erich_gamma'), ('NEW', '2002-03-21 03:11:32 EST', 'erich_gamma'), ('ASSIGNED', '2002-03-21 04:54:49 EST', 'akiezun'), ('Adam_Kiezun', '2002-03-22 05:57:44 EST', 'akiezun'), ('RESOLVED', '2002-03-22 05:57:44 EST', 'akiezun'), ('DUPLICATE', '2002-03-22 05:57:44 EST', 'akiezun')]</t>
  </si>
  <si>
    <t>2002-05-07 12:12:19 EDT</t>
  </si>
  <si>
    <t>2009-08-30 02:35:21 EDT</t>
  </si>
  <si>
    <t>2002-02-07 21:34 EST</t>
  </si>
  <si>
    <t>2002-02-11 11:59:39 EST</t>
  </si>
  <si>
    <t>[('CREATED', '2002-02-07 21:34 EST'), ('Adam_Kiezun', '2002-02-11 11:59:39 EST', 'akiezun'), ('Dirk_Baeumer', '2002-02-11 12:09:18 EST', 'erich_gamma'), ('P4', '2002-05-07 12:12:19 EDT', 'dirk_baeumer'), ('LATER', '2002-05-07 12:12:19 EDT', 'dirk_baeumer'), ('RESOLVED', '2002-05-07 12:12:19 EDT', 'dirk_baeumer'), ('Package rename shows affected files in random order [refactoring]', '2002-08-14 08:19:23 EDT', 'dirk_baeumer'), ('WONTFIX', '2009-08-30 02:35:21 EDT', 'webmaster'), ('jdt-ui-inbox', '2009-08-30 02:35:21 EDT', 'webmaster')]</t>
  </si>
  <si>
    <t>RESOLVED  DUPLICATE  of bug 7995</t>
  </si>
  <si>
    <t>2002-02-08 05:30 EST</t>
  </si>
  <si>
    <t>[('CREATED', '2002-02-08 05:30 EST'), ('RESOLVED', '2002-02-11 12:47:15 EST', 'akiezun'), ('DUPLICATE', '2002-02-11 12:47:15 EST', 'akiezun')]</t>
  </si>
  <si>
    <t>2002-02-14 12:13:33 EST</t>
  </si>
  <si>
    <t>2002-02-11 05:57 EST</t>
  </si>
  <si>
    <t>2002-02-11 06:45:21 EST</t>
  </si>
  <si>
    <t>[('CREATED', '2002-02-11 05:57 EST'), ('Dirk_Baeumer', '2002-02-11 06:45:21 EST', 'erich_gamma'), ('P2', '2002-02-11 06:45:21 EST', 'erich_gamma'), ('extract method: NPE', '2002-02-11 06:45:21 EST', 'erich_gamma'), ('RESOLVED', '2002-02-14 12:13:33 EST', 'dirk_baeumer'), ('FIXED', '2002-02-14 12:13:33 EST', 'dirk_baeumer')]</t>
  </si>
  <si>
    <t>10555</t>
  </si>
  <si>
    <t>2002-07-25 06:11:19 EDT</t>
  </si>
  <si>
    <t>2002-07-25 06:10:56 EDT</t>
  </si>
  <si>
    <t>2002-02-12 04:57 EST</t>
  </si>
  <si>
    <t>2002-02-27 08:53:27 EST</t>
  </si>
  <si>
    <t>[('CREATED', '2002-02-12 04:57 EST'), ('RESOLVED', '2002-02-27 08:53:27 EST', 'erich_gamma'), ('LATER', '2002-02-27 08:53:27 EST', 'erich_gamma'), ('10555', '2002-03-04 08:56:40 EST', 'Olivier_Thomann'), ('REOPENED', '2002-07-25 06:10:56 EDT', 'dirk_baeumer'), ('---', '2002-07-25 06:10:56 EDT', 'dirk_baeumer'), ('RESOLVED', '2002-07-25 06:11:19 EDT', 'dirk_baeumer'), ('WORKSFORME', '2002-07-25 06:11:19 EDT', 'dirk_baeumer')]</t>
  </si>
  <si>
    <t>2002-08-14 11:51:53 EDT</t>
  </si>
  <si>
    <t>2002-08-14 08:19:55 EDT</t>
  </si>
  <si>
    <t>2002-02-12 09:03 EST</t>
  </si>
  <si>
    <t>2002-03-24 19:04:01 EST</t>
  </si>
  <si>
    <t>[('CREATED', '2002-02-12 09:03 EST'), ('Dirk_Baeumer', '2002-03-24 19:04:01 EST', 'erich_gamma'), ('RESOLVED', '2002-05-07 12:08:05 EDT', 'dirk_baeumer'), ('LATER', '2002-05-07 12:08:05 EDT', 'dirk_baeumer'), ('---', '2002-08-14 08:19:55 EDT', 'dirk_baeumer'), ('Improve layout and appearanceof the refactoring error page [refactoring]', '2002-08-14 08:19:55 EDT', 'dirk_baeumer'), ('REOPENED', '2002-08-14 08:19:55 EDT', 'dirk_baeumer'), ('RESOLVED', '2002-08-14 11:51:53 EDT', 'dirk_baeumer'), ('FIXED', '2002-08-14 11:51:53 EDT', 'dirk_baeumer'), ('2.1', '2002-08-14 11:51:53 EDT', 'dirk_baeumer')]</t>
  </si>
  <si>
    <t>23117</t>
  </si>
  <si>
    <t>2002-09-04 12:22:16 EDT</t>
  </si>
  <si>
    <t>2002-08-14 08:21:04 EDT</t>
  </si>
  <si>
    <t>2002-02-13 09:23 EST</t>
  </si>
  <si>
    <t>2002-02-13 14:50:24 EST</t>
  </si>
  <si>
    <t>[('CREATED', '2002-02-13 09:23 EST'), ('Dirk_Baeumer', '2002-02-13 14:50:24 EST', 'erich_gamma'), ('P4', '2002-02-13 14:50:24 EST', 'erich_gamma'), ('RESOLVED', '2002-06-17 10:24:59 EDT', 'dirk_baeumer'), ('LATER', '2002-06-17 10:24:59 EDT', 'dirk_baeumer'), ('REOPENED', '2002-08-14 08:21:04 EDT', 'dirk_baeumer'), ('---', '2002-08-14 08:21:04 EDT', 'dirk_baeumer'), ('Self encapsulate field: Renamed method might shadow existing method in base class [refactoring]', '2002-08-14 08:21:04 EDT', 'dirk_baeumer'), ('23117', '2002-08-14 08:21:04 EDT', 'dirk_baeumer'), ('RESOLVED', '2002-09-04 12:22:16 EDT', 'dirk_baeumer'), ('FIXED', '2002-09-04 12:22:16 EDT', 'dirk_baeumer'), ('2.1', '2002-09-04 12:22:16 EDT', 'dirk_baeumer')]</t>
  </si>
  <si>
    <t>2002-04-25 12:34:38 EDT</t>
  </si>
  <si>
    <t>2002-04-05 05:40:06 EST</t>
  </si>
  <si>
    <t>2002-02-13 10:10 EST</t>
  </si>
  <si>
    <t>2002-02-13 15:01:12 EST</t>
  </si>
  <si>
    <t>[('CREATED', '2002-02-13 10:10 EST'), ('Adam_Kiezun', '2002-02-13 15:01:12 EST', 'erich_gamma'), ('P2', '2002-02-13 15:01:12 EST', 'erich_gamma'), ('ASSIGNED', '2002-02-14 05:53:46 EST', 'akiezun'), ('P3', '2002-03-07 11:03:04 EST', 'akiezun'), ('RESOLVED', '2002-04-05 05:31:25 EST', 'akiezun'), ('LATER', '2002-04-05 05:31:25 EST', 'akiezun'), ('REOPENED', '2002-04-05 05:40:06 EST', 'martinae'), ('---', '2002-04-05 05:40:06 EST', 'martinae'), ('ASSIGNED', '2002-04-16 07:58:57 EDT', 'akiezun'), ('RESOLVED', '2002-04-25 12:34:38 EDT', 'akiezun'), ('FIXED', '2002-04-25 12:34:38 EDT', 'akiezun')]</t>
  </si>
  <si>
    <t>RESOLVED  DUPLICATE  of bug 6224</t>
  </si>
  <si>
    <t>2002-02-14 06:12:53 EST</t>
  </si>
  <si>
    <t>2002-02-13 11:13 EST</t>
  </si>
  <si>
    <t>2002-02-13 12:29:27 EST</t>
  </si>
  <si>
    <t>[('CREATED', '2002-02-13 11:13 EST'), ('Erich_Gamma', '2002-02-13 12:29:27 EST', 'philippe_mulet'), ('UI', '2002-02-13 12:29:27 EST', 'philippe_mulet'), ('Adam_Kiezun', '2002-02-13 15:14:53 EST', 'erich_gamma'), ('P2', '2002-02-13 15:14:53 EST', 'erich_gamma'), ('spjohnston', '2002-02-14 06:12:53 EST', 'spjohnston'), ('RESOLVED', '2002-02-14 06:12:53 EST', 'akiezun'), ('DUPLICATE', '2002-02-14 06:12:53 EST', 'akiezun')]</t>
  </si>
  <si>
    <t>2002-02-26 09:30:40 EST</t>
  </si>
  <si>
    <t>2002-02-13 11:37 EST</t>
  </si>
  <si>
    <t>2002-02-13 11:46:10 EST</t>
  </si>
  <si>
    <t>[('CREATED', '2002-02-13 11:37 EST'), ('Browser Perspective: No Code Generation Actions', '2002-02-13 11:46:10 EST', 'martinae'), ('Daniel_Megert', '2002-02-13 15:18:21 EST', 'erich_gamma'), ('RESOLVED', '2002-02-26 09:30:40 EST', 'daniel_megert'), ('FIXED', '2002-02-26 09:30:40 EST', 'daniel_megert'), ('2.0 M4', '2002-02-26 09:30:40 EST', 'daniel_megert')]</t>
  </si>
  <si>
    <t>9651 10137 (view as bug list)</t>
  </si>
  <si>
    <t>28993</t>
  </si>
  <si>
    <t>2002-04-08 13:17:15 EDT</t>
  </si>
  <si>
    <t>2002-02-13 11:44 EST</t>
  </si>
  <si>
    <t>2002-02-13 15:33:27 EST</t>
  </si>
  <si>
    <t>2003-06-08 08:31:08 EDT</t>
  </si>
  <si>
    <t>duraid</t>
  </si>
  <si>
    <t>[('CREATED', '2002-02-13 11:44 EST'), ('Andre_Weinand', '2002-02-13 15:33:27 EST', 'erich_gamma'), ('ASSIGNED', '2002-02-14 04:45:24 EST', 'andre_weinand'), ('dcorbin', '2002-02-27 11:49:13 EST', 'akiezun'), ('2.0 M5', '2002-02-27 12:03:18 EST', 'andre_weinand'), ('P1', '2002-02-27 12:03:18 EST', 'andre_weinand'), ('mqualizza', '2002-02-27 12:06:15 EST', 'akiezun'), ('RESOLVED', '2002-04-08 13:17:15 EDT', 'andre_weinand'), ('FIXED', '2002-04-08 13:17:15 EDT', 'andre_weinand'), ('28993', '2003-06-08 08:31:08 EDT', 'duraid')]</t>
  </si>
  <si>
    <t>10051 14293 (view as bug list)</t>
  </si>
  <si>
    <t>2002-08-28 11:49:50 EDT</t>
  </si>
  <si>
    <t>2002-08-14 08:21:35 EDT</t>
  </si>
  <si>
    <t>2002-02-13 18:10 EST</t>
  </si>
  <si>
    <t>2002-02-14 04:06:47 EST</t>
  </si>
  <si>
    <t>2005-04-27 12:28:10 EDT</t>
  </si>
  <si>
    <t>[('CREATED', '2002-02-13 18:10 EST'), ('Erich_Gamma', '2002-02-14 04:06:47 EST', 'philippe_mulet'), ('UI', '2002-02-14 04:06:47 EST', 'philippe_mulet'), ('Dirk_Baeumer', '2002-02-14 16:06:14 EST', 'erich_gamma'), ('P4', '2002-02-14 16:06:14 EST', 'erich_gamma'), ('mkm', '2002-02-27 11:53:47 EST', 'akiezun'), ('carl', '2002-04-22 04:32:33 EDT', 'akiezun'), ('ru', '2002-04-22 04:32:33 EDT', 'ru'), ('as', '2002-04-22 04:32:33 EDT', 'as'), ('sgeertgens', '2002-04-22 04:32:33 EDT', 'sgeertgens'), ('RESOLVED', '2002-05-03 09:19:20 EDT', 'dirk_baeumer'), ('helpwanted', '2002-05-03 09:19:20 EDT', 'dirk_baeumer'), ('LATER', '2002-05-03 09:19:20 EDT', 'dirk_baeumer'), ('mqualizza', '2002-05-03 09:19:20 EDT', 'mlq.eclipse'), ('Adam_Kiezun', '2002-05-03 09:19:20 EDT', 'akiezun'), ('renaud+eclipse', '2002-05-03 09:19:20 EDT', 'renaud+eclipse'), ('REOPENED', '2002-08-14 08:21:35 EDT', 'dirk_baeumer'), ('---', '2002-08-14 08:21:35 EDT', 'dirk_baeumer'), ('Request: Refactor should extract interface from class [refactoring]', '2002-08-14 08:21:35 EDT', 'dirk_baeumer'), ('Adam_Kiezun', '2002-08-14 08:22:34 EDT', 'dirk_baeumer'), ('NEW', '2002-08-14 08:22:34 EDT', 'dirk_baeumer'), ('P3', '2002-08-21 06:21:43 EDT', 'akiezun'), ('RESOLVED', '2002-08-28 11:49:50 EDT', 'akiezun'), ('FIXED', '2002-08-28 11:49:50 EDT', 'akiezun'), (nan, '2005-04-27 12:28:10 EDT', 'ru')]</t>
  </si>
  <si>
    <t>2002-03-11 10:50:04 EST</t>
  </si>
  <si>
    <t>2002-02-14 09:48 EST</t>
  </si>
  <si>
    <t>2002-02-14 16:08:39 EST</t>
  </si>
  <si>
    <t>[('CREATED', '2002-02-14 09:48 EST'), ('Dirk_Baeumer', '2002-02-14 16:08:39 EST', 'erich_gamma'), ('normal', '2002-02-14 16:08:39 EST', 'erich_gamma'), ('dcorbin', '2002-02-14 16:08:39 EST', 'dcorbin'), ('RESOLVED', '2002-03-11 10:50:04 EST', 'dirk_baeumer'), ('FIXED', '2002-03-11 10:50:04 EST', 'dirk_baeumer')]</t>
  </si>
  <si>
    <t>2002-02-15 08:20:46 EST</t>
  </si>
  <si>
    <t>2002-02-15 08:16 EST</t>
  </si>
  <si>
    <t>[('CREATED', '2002-02-15 08:16 EST'), ('RESOLVED', '2002-02-15 08:20:46 EST', 'akiezun'), ('FIXED', '2002-02-15 08:20:46 EST', 'akiezun')]</t>
  </si>
  <si>
    <t>2003-02-19 14:06:46 EST</t>
  </si>
  <si>
    <t>2002-07-26 12:42:47 EDT</t>
  </si>
  <si>
    <t>2002-02-15 08:52 EST</t>
  </si>
  <si>
    <t>2002-03-05 11:27:51 EST</t>
  </si>
  <si>
    <t>[('CREATED', '2002-02-15 08:52 EST'), ('Adam_Kiezun', '2002-03-05 11:27:51 EST', 'akiezun'), ('ASSIGNED', '2002-03-05 11:28:13 EST', 'akiezun'), ('P4', '2002-03-05 11:28:13 EST', 'akiezun'), ('RESOLVED', '2002-03-07 12:04:39 EST', 'akiezun'), ('LATER', '2002-03-07 12:04:39 EST', 'akiezun'), ('2.1', '2002-07-18 10:23:24 EDT', 'akiezun'), ('REOPENED', '2002-07-26 12:42:47 EDT', 'akiezun'), ('---', '2002-07-26 12:42:47 EDT', 'akiezun'), ('---', '2002-07-26 12:42:47 EDT', 'akiezun'), ('NLS wizard ignores preference settings [refactoring]', '2002-08-26 08:43:51 EDT', 'akiezun'), ('enhancement', '2002-09-03 06:40:57 EDT', 'akiezun'), ('ASSIGNED', '2002-09-23 13:24:17 EDT', 'akiezun'), ('RESOLVED', '2003-02-19 14:06:46 EST', 'akiezun'), ('FIXED', '2003-02-19 14:06:46 EST', 'akiezun'), ('2.1 RC1', '2003-02-19 14:06:46 EST', 'akiezun')]</t>
  </si>
  <si>
    <t>RESOLVED  DUPLICATE  of bug 9798</t>
  </si>
  <si>
    <t>2002-02-27 11:53:47 EST</t>
  </si>
  <si>
    <t>2002-02-21 08:13 EST</t>
  </si>
  <si>
    <t>2002-02-21 08:46:42 EST</t>
  </si>
  <si>
    <t>[('CREATED', '2002-02-21 08:13 EST'), ('Erich_Gamma', '2002-02-21 08:46:42 EST', 'philippe_mulet'), ('UI', '2002-02-21 08:46:42 EST', 'philippe_mulet'), ('RESOLVED', '2002-02-27 11:53:47 EST', 'akiezun'), ('DUPLICATE', '2002-02-27 11:53:47 EST', 'akiezun')]</t>
  </si>
  <si>
    <t>2002-02-27 12:37:54 EST</t>
  </si>
  <si>
    <t>2002-02-22 03:16 EST</t>
  </si>
  <si>
    <t>2002-02-27 11:51:49 EST</t>
  </si>
  <si>
    <t>[('CREATED', '2002-02-22 03:16 EST'), ('ASSIGNED', '2002-02-27 11:51:49 EST', 'akiezun'), ('RESOLVED', '2002-02-27 12:37:54 EST', 'akiezun'), ('WORKSFORME', '2002-02-27 12:37:54 EST', 'akiezun')]</t>
  </si>
  <si>
    <t>2002-03-25 10:18:34 EST</t>
  </si>
  <si>
    <t>2002-02-27 11:44:09 EST</t>
  </si>
  <si>
    <t>2002-02-27 12:13:09 EST</t>
  </si>
  <si>
    <t>2002-02-23 07:29 EST</t>
  </si>
  <si>
    <t>[('CREATED', '2002-02-23 07:29 EST'), ('RESOLVED', '2002-02-27 11:44:09 EST', 'akiezun'), ('WORKSFORME', '2002-02-27 11:44:09 EST', 'akiezun'), ('REOPENED', '2002-02-27 12:13:09 EST', 'dcorbin'), ('---', '2002-02-27 12:13:09 EST', 'dcorbin'), ('Selecting a symbol name should be the same as have the caret on it, with respect to what actions/context menus are available.', '2002-02-27 12:13:09 EST', 'dcorbin'), ('Philippe_Mulet', '2002-03-11 09:31:46 EST', 'erich_gamma'), ('NEW', '2002-03-11 09:31:46 EST', 'erich_gamma'), ('Core', '2002-03-11 09:31:46 EST', 'erich_gamma'), ('P1', '2002-03-11 09:31:46 EST', 'erich_gamma'), ('Selecting a symbol name should be the same as have the caret on it', '2002-03-11 09:33:55 EST', 'erich_gamma'), ('Erich_Gamma', '2002-03-11 10:46:03 EST', 'philippe_mulet'), ('UI', '2002-03-11 10:46:03 EST', 'philippe_mulet'), ('claude_knaus', '2002-03-11 10:46:03 EST', 'erich_gamma'), ('Adam_Kiezun', '2002-03-21 02:28:33 EST', 'erich_gamma'), ('ASSIGNED', '2002-03-21 04:50:09 EST', 'akiezun'), ('Adam_Kiezun', '2002-03-21 05:43:49 EST', 'akiezun'), ('Martin_Aeschlimann', '2002-03-21 05:43:49 EST', 'akiezun'), ('NEW', '2002-03-21 05:43:49 EST', 'akiezun'), ('Dirk_Baeumer', '2002-03-22 09:05:15 EST', 'erich_gamma'), ('RESOLVED', '2002-03-25 10:18:34 EST', 'dirk_baeumer'), ('FIXED', '2002-03-25 10:18:34 EST', 'dirk_baeumer')]</t>
  </si>
  <si>
    <t>RESOLVED  DUPLICATE  of bug 9673</t>
  </si>
  <si>
    <t>2002-02-27 11:49:13 EST</t>
  </si>
  <si>
    <t>2002-02-23 07:34 EST</t>
  </si>
  <si>
    <t>[('CREATED', '2002-02-23 07:34 EST'), ('RESOLVED', '2002-02-27 11:49:13 EST', 'akiezun'), ('DUPLICATE', '2002-02-27 11:49:13 EST', 'akiezun')]</t>
  </si>
  <si>
    <t>2002-02-28 06:00:36 EST</t>
  </si>
  <si>
    <t>2002-02-25 11:54 EST</t>
  </si>
  <si>
    <t>2002-02-27 13:10:28 EST</t>
  </si>
  <si>
    <t>[('CREATED', '2002-02-25 11:54 EST'), ('ASSIGNED', '2002-02-27 13:10:28 EST', 'akiezun'), ('P1', '2002-02-27 13:10:28 EST', 'akiezun'), ('Adam_Kiezun', '2002-02-28 05:10:46 EST', 'akiezun'), ('NEW', '2002-02-28 05:10:46 EST', 'akiezun'), ('RESOLVED', '2002-02-28 06:00:36 EST', 'akiezun'), ('FIXED', '2002-02-28 06:00:36 EST', 'akiezun')]</t>
  </si>
  <si>
    <t>2002-03-12 09:53:07 EST</t>
  </si>
  <si>
    <t>2002-02-26 23:28 EST</t>
  </si>
  <si>
    <t>2002-02-27 18:45:24 EST</t>
  </si>
  <si>
    <t>[('CREATED', '2002-02-26 23:28 EST'), ('Adam_Kiezun', '2002-02-27 18:45:24 EST', 'erich_gamma'), ('P2', '2002-02-27 18:45:24 EST', 'erich_gamma'), ('ASSIGNED', '2002-03-07 10:59:50 EST', 'akiezun'), ('2.0 M5', '2002-03-07 10:59:50 EST', 'akiezun'), ('RESOLVED', '2002-03-12 09:53:07 EST', 'akiezun'), ('FIXED', '2002-03-12 09:53:07 EST', 'akiezun')]</t>
  </si>
  <si>
    <t>2002-02-28 08:40:13 EST</t>
  </si>
  <si>
    <t>2002-02-27 08:05 EST</t>
  </si>
  <si>
    <t>2002-02-27 18:44:05 EST</t>
  </si>
  <si>
    <t>[('CREATED', '2002-02-27 08:05 EST'), ('Adam_Kiezun', '2002-02-27 18:44:05 EST', 'erich_gamma'), ('P1', '2002-02-27 18:44:05 EST', 'erich_gamma'), ('RESOLVED', '2002-02-28 08:40:13 EST', 'akiezun'), ('FIXED', '2002-02-28 08:40:13 EST', 'akiezun')]</t>
  </si>
  <si>
    <t>2003-02-19 05:16:13 EST</t>
  </si>
  <si>
    <t>2002-02-27 13:18 EST</t>
  </si>
  <si>
    <t>2002-02-28 06:12:07 EST</t>
  </si>
  <si>
    <t>[('CREATED', '2002-02-27 13:18 EST'), ('Erich_Gamma', '2002-02-28 06:12:07 EST', 'philippe_mulet'), ('UI', '2002-02-28 06:12:07 EST', 'philippe_mulet'), ('helpwanted', '2002-03-04 18:35:12 EST', 'erich_gamma'), ('LATER', '2002-03-04 18:35:12 EST', 'erich_gamma'), ('dcorbin', '2002-03-04 18:35:12 EST', 'dcorbin'), ('RESOLVED', '2002-03-04 18:35:12 EST', 'erich_gamma'), ('Implement and delegate to member [refactoring]', '2002-07-25 06:20:31 EDT', 'dirk_baeumer'), ('jdt-ui-inbox', '2002-09-12 09:39:23 EDT', 'dirk_baeumer'), ('NEW', '2002-09-12 09:39:23 EDT', 'dirk_baeumer'), ('ASSIGNED', '2002-09-12 10:04:35 EDT', 'dirk_baeumer'), ('RESOLVED', '2003-02-19 05:16:13 EST', 'erich_gamma'), ('FIXED', '2003-02-19 05:16:13 EST', 'erich_gamma')]</t>
  </si>
  <si>
    <t>2002-03-04 11:28:38 EST</t>
  </si>
  <si>
    <t>2002-02-28 08:51 EST</t>
  </si>
  <si>
    <t>2002-03-03 19:16:47 EST</t>
  </si>
  <si>
    <t>[('CREATED', '2002-02-28 08:51 EST'), ('Adam_Kiezun', '2002-03-03 19:16:47 EST', 'erich_gamma'), ('P1', '2002-03-03 19:16:47 EST', 'erich_gamma'), ('RESOLVED', '2002-03-04 11:28:38 EST', 'akiezun'), ('FIXED', '2002-03-04 11:28:38 EST', 'akiezun')]</t>
  </si>
  <si>
    <t>9443</t>
  </si>
  <si>
    <t>2002-07-23 08:57:19 EDT</t>
  </si>
  <si>
    <t>2002-07-23 08:56:49 EDT</t>
  </si>
  <si>
    <t>2002-02-28 19:45 EST</t>
  </si>
  <si>
    <t>2002-03-04 08:31:11 EST</t>
  </si>
  <si>
    <t>[('CREATED', '2002-02-28 19:45 EST'), ('Olivier_Thomann', '2002-03-04 08:31:11 EST', 'philippe_mulet'), ('9443', '2002-03-04 08:56:40 EST', 'Olivier_Thomann'), ('Erich_Gamma', '2002-03-04 08:56:40 EST', 'Olivier_Thomann'), ('UI', '2002-03-04 08:56:40 EST', 'Olivier_Thomann'), ('RESOLVED', '2002-03-04 09:41:34 EST', 'dirk_baeumer'), ('LATER', '2002-03-04 09:41:34 EST', 'dirk_baeumer'), ('REOPENED', '2002-07-23 08:56:49 EDT', 'dirk_baeumer'), ('---', '2002-07-23 08:56:49 EDT', 'dirk_baeumer'), ('RESOLVED', '2002-07-23 08:57:19 EDT', 'dirk_baeumer'), ('WORKSFORME', '2002-07-23 08:57:19 EDT', 'dirk_baeumer')]</t>
  </si>
  <si>
    <t>2002-03-07 11:20:04 EST</t>
  </si>
  <si>
    <t>2002-03-01 12:38 EST</t>
  </si>
  <si>
    <t>2002-03-03 18:27:37 EST</t>
  </si>
  <si>
    <t>[('CREATED', '2002-03-01 12:38 EST'), ('Martin_Aeschlimann', '2002-03-03 18:27:37 EST', 'erich_gamma'), ('P2', '2002-03-03 18:27:37 EST', 'erich_gamma'), ('RESOLVED', '2002-03-07 11:20:04 EST', 'martinae'), ('FIXED', '2002-03-07 11:20:04 EST', 'martinae')]</t>
  </si>
  <si>
    <t>2002-03-05 11:20:36 EST</t>
  </si>
  <si>
    <t>2002-03-01 13:07 EST</t>
  </si>
  <si>
    <t>2002-03-03 18:19:57 EST</t>
  </si>
  <si>
    <t>[('CREATED', '2002-03-01 13:07 EST'), ('Adam_Kiezun', '2002-03-03 18:19:57 EST', 'erich_gamma'), ('ASSIGNED', '2002-03-05 10:56:37 EST', 'akiezun'), ('FIXED', '2002-03-05 11:20:36 EST', 'akiezun'), ('RESOLVED', '2002-03-05 11:20:36 EST', 'akiezun')]</t>
  </si>
  <si>
    <t>2003-04-28 06:03:11 EDT</t>
  </si>
  <si>
    <t>2009-08-30 02:13:06 EDT</t>
  </si>
  <si>
    <t>2002-03-01 14:02 EST</t>
  </si>
  <si>
    <t>2002-03-03 18:18:42 EST</t>
  </si>
  <si>
    <t>[('CREATED', '2002-03-01 14:02 EST'), ('dirk_baeumer', '2002-03-03 18:18:42 EST', 'erich_gamma'), ('RESOLVED', '2002-03-03 18:18:42 EST', 'erich_gamma'), ('helpwanted', '2002-03-03 18:18:42 EST', 'erich_gamma'), ('LATER', '2002-03-03 18:18:42 EST', 'erich_gamma'), ('Request New Refactorings: Inner Classes [refactoring]', '2002-07-25 06:22:40 EDT', 'dirk_baeumer'), ('jdt-ui-inbox', '2002-09-12 09:41:11 EDT', 'dirk_baeumer'), ('NEW', '2002-09-12 09:41:11 EDT', 'dirk_baeumer'), ('ASSIGNED', '2002-09-12 10:07:42 EDT', 'dirk_baeumer'), ('RESOLVED', '2003-04-28 06:03:11 EDT', 'dirk_baeumer'), ('WONTFIX', '2009-08-30 02:13:06 EDT', 'denis.roy')]</t>
  </si>
  <si>
    <t>24288 483995 (view as bug list)</t>
  </si>
  <si>
    <t>2007-04-25 05:12:38 EDT</t>
  </si>
  <si>
    <t>2010-06-08 07:15:09 EDT</t>
  </si>
  <si>
    <t>2002-03-01 14:03 EST</t>
  </si>
  <si>
    <t>2002-03-03 18:16:59 EST</t>
  </si>
  <si>
    <t>2016-12-10 06:18:30 EST</t>
  </si>
  <si>
    <t>eclipse</t>
  </si>
  <si>
    <t>[('CREATED', '2002-03-01 14:03 EST'), ('dirk_baeumer', '2002-03-03 18:16:59 EST', 'erich_gamma'), ('RESOLVED', '2002-03-03 18:16:59 EST', 'erich_gamma'), ('helpwanted', '2002-03-03 18:16:59 EST', 'erich_gamma'), ('LATER', '2002-03-03 18:16:59 EST', 'erich_gamma'), ('2.1', '2002-07-23 09:09:06 EDT', 'dirk_baeumer'), ('Request New Refactorings: Make Static Methods [refactoring]', '2002-07-24 08:35:43 EDT', 'dirk_baeumer'), ('investigate', '2002-07-25 05:02:42 EDT', 'dirk_baeumer'), ('---', '2002-07-25 05:02:42 EDT', 'dirk_baeumer'), ('jdt-ui-inbox', '2002-09-12 09:41:12 EDT', 'dirk_baeumer'), ('NEW', '2002-09-12 09:41:12 EDT', 'dirk_baeumer'), ('ASSIGNED', '2002-09-12 10:07:44 EDT', 'dirk_baeumer'), ('jared-eclipse', '2002-11-11 07:12:27 EST', 'akiezun'), ('RESOLVED', '2003-04-28 06:03:51 EDT', 'dirk_baeumer'), ('[refactoring] Make method static', '2005-11-28 04:08:12 EST', 'martinae'), ('eclipse', '2005-11-28 04:09:50 EST', 'martinae'), ('REOPENED', '2007-04-25 05:12:27 EDT', 'martinae'), ('---', '2007-04-25 05:12:27 EDT', 'martinae'), ('RESOLVED', '2007-04-25 05:12:38 EDT', 'martinae'), ('DUPLICATE', '2007-04-25 05:12:38 EDT', 'martinae'), ('REOPENED', '2010-06-08 07:15:09 EDT', 'daniel_megert'), ('daniel_megert', '2010-06-08 07:15:09 EDT', 'daniel_megert'), ('---', '2010-06-08 07:15:09 EDT', 'daniel_megert'), ('ASSIGNED', '2010-06-08 07:19:58 EDT', 'daniel_megert'), ('[refactoring] Convert instance method to static', '2010-06-08 07:19:58 EDT', 'daniel_megert'), ('markus_keller', '2010-06-09 02:10:31 EDT', 'markus.kell.r'), ('[clean up] Convert instance methods to static', '2010-06-09 02:10:31 EDT', 'markus.kell.r'), ('[refactoring] Convert instance methods to static', '2010-06-09 03:14:02 EDT', 'daniel_megert'), ('albzey+eclipsebugs', '2011-03-01 02:19:20 EST', 'daniel_megert'), ("[refactoring] Convert instance methods to static if they don't refer to non-static members", '2011-12-01 10:48:34 EST', 'markus.kell.r'), ('reprogrammer', '2011-12-01 11:50:17 EST', 'reprogrammer'), ('luke.hutch', '2015-12-18 10:11:34 EST', 'noopur_gupta'), ('timo.kinnunen', '2015-12-20 02:22:09 EST', 'timo.kinnunen'), ('gautier.desaintmartinlacaze', '2015-12-22 16:02:27 EST', 'gautier.desaintmartinlacaze'), (nan, '2016-12-10 06:18:30 EST', 'eclipse')]</t>
  </si>
  <si>
    <t>2003-04-28 06:02:22 EDT</t>
  </si>
  <si>
    <t>2009-08-30 02:20:22 EDT</t>
  </si>
  <si>
    <t>2002-03-04 03:17 EST</t>
  </si>
  <si>
    <t>2002-03-04 04:42:51 EST</t>
  </si>
  <si>
    <t>[('CREATED', '2002-03-04 03:17 EST'), ('UI', '2002-03-04 04:42:51 EST', 'akiezun'), ('Erich_Gamma', '2002-03-04 04:42:58 EST', 'akiezun'), ('RESOLVED', '2002-03-04 05:09:09 EST', 'akiezun'), ('LATER', '2002-03-04 05:09:09 EST', 'akiezun'), ('2.1', '2002-07-23 09:16:24 EDT', 'dirk_baeumer'), ('extend "extract method" refactoring [refactoring]', '2002-07-24 08:35:51 EDT', 'dirk_baeumer'), ('investigate', '2002-07-25 05:02:49 EDT', 'dirk_baeumer'), ('---', '2002-07-25 05:02:49 EDT', 'dirk_baeumer'), ('jdt-ui-inbox', '2002-09-12 09:42:07 EDT', 'dirk_baeumer'), ('NEW', '2002-09-12 09:42:07 EDT', 'dirk_baeumer'), ('ASSIGNED', '2002-09-12 10:10:30 EDT', 'dirk_baeumer'), ('RESOLVED', '2003-04-28 06:02:22 EDT', 'dirk_baeumer'), ('WONTFIX', '2009-08-30 02:20:22 EDT', 'denis.roy')]</t>
  </si>
  <si>
    <t>RESOLVED  DUPLICATE  of bug 52791</t>
  </si>
  <si>
    <t>21807 (view as bug list)</t>
  </si>
  <si>
    <t>2007-06-21 04:25:22 EDT</t>
  </si>
  <si>
    <t>2003-04-11 10:19:34 EDT</t>
  </si>
  <si>
    <t>2007-06-21 04:24:59 EDT</t>
  </si>
  <si>
    <t>2002-03-04 03:24 EST</t>
  </si>
  <si>
    <t>2002-03-04 05:15:15 EST</t>
  </si>
  <si>
    <t>[('CREATED', '2002-03-04 03:24 EST'), ('UI', '2002-03-04 05:15:15 EST', 'preuss'), ('Erich_Gamma', '2002-04-05 05:47:26 EST', 'akiezun'), ('LATER', '2002-04-14 09:55:31 EDT', 'erich_gamma'), ('RESOLVED', '2002-04-14 09:55:31 EDT', 'erich_gamma'), ('2.1', '2002-07-23 09:17:20 EDT', 'dirk_baeumer'), ('peter_burka', '2002-07-23 10:41:04 EDT', 'peter_burka'), ('provide "extract field" refactoring [refactoring]', '2002-07-24 08:35:58 EDT', 'dirk_baeumer'), ('investigate', '2002-07-25 05:02:57 EDT', 'dirk_baeumer'), ('---', '2002-07-25 05:02:57 EDT', 'dirk_baeumer'), ('jdt-ui-inbox', '2002-09-12 09:42:09 EDT', 'dirk_baeumer'), ('NEW', '2002-09-12 09:42:09 EDT', 'dirk_baeumer'), ('ASSIGNED', '2002-09-12 10:10:34 EDT', 'dirk_baeumer'), ('Adam_Kiezun', '2002-09-12 10:10:34 EDT', 'akiezun'), ('RESOLVED', '2003-04-11 10:19:34 EDT', 'akiezun'), ('WONTFIX', '2003-04-11 10:19:34 EDT', 'akiezun'), ('REOPENED', '2007-06-21 04:24:59 EDT', 'martinae'), ('---', '2007-06-21 04:24:59 EDT', 'martinae'), ('[refactoring] [dcr] provide "extract field" refactoring', '2007-06-21 04:24:59 EDT', 'martinae'), ('DUPLICATE', '2007-06-21 04:25:22 EDT', 'martinae'), ('RESOLVED', '2007-06-21 04:25:22 EDT', 'martinae')]</t>
  </si>
  <si>
    <t>6666 (view as bug list)</t>
  </si>
  <si>
    <t>2003-02-12 13:16:39 EST</t>
  </si>
  <si>
    <t>2002-08-13 10:57:11 EDT</t>
  </si>
  <si>
    <t>2002-03-04 03:25 EST</t>
  </si>
  <si>
    <t>2002-03-04 06:22:06 EST</t>
  </si>
  <si>
    <t>[('CREATED', '2002-03-04 03:25 EST'), ('Erich_Gamma', '2002-03-04 06:22:06 EST', 'philippe_mulet'), ('UI', '2002-03-04 06:22:06 EST', 'philippe_mulet'), ('Dirk_Baeumer', '2002-03-07 05:55:32 EST', 'erich_gamma'), ('P4', '2002-03-07 05:55:32 EST', 'erich_gamma'), ('RESOLVED', '2002-06-17 10:25:35 EDT', 'dirk_baeumer'), ('LATER', '2002-06-17 10:25:35 EDT', 'dirk_baeumer'), ('tammo.freese', '2002-07-26 06:19:06 EDT', 'dirk_baeumer'), ('REOPENED', '2002-08-13 10:57:11 EDT', 'dirk_baeumer'), ('---', '2002-08-13 10:57:11 EDT', 'dirk_baeumer'), ('provide "inline method call" refactoring [refactoring]', '2002-08-13 10:57:11 EDT', 'dirk_baeumer'), ('RESOLVED', '2003-02-12 13:16:39 EST', 'dirk_baeumer'), ('FIXED', '2003-02-12 13:16:39 EST', 'dirk_baeumer'), ('2.1 M5', '2003-02-12 13:16:39 EST', 'dirk_baeumer')]</t>
  </si>
  <si>
    <t>RESOLVED  DUPLICATE  of bug 21516</t>
  </si>
  <si>
    <t>2002-07-18 10:54:04 EDT</t>
  </si>
  <si>
    <t>2002-07-18 10:53:56 EDT</t>
  </si>
  <si>
    <t>2002-03-04 03:28 EST</t>
  </si>
  <si>
    <t>2002-03-04 06:25:31 EST</t>
  </si>
  <si>
    <t>[('CREATED', '2002-03-04 03:28 EST'), ('UI', '2002-03-04 06:25:31 EST', 'philippe_mulet'), ('Erich_Gamma', '2002-03-04 06:25:39 EST', 'philippe_mulet'), ('Adam_Kiezun', '2002-03-08 06:52:42 EST', 'erich_gamma'), ('P4', '2002-03-08 06:52:42 EST', 'erich_gamma'), ('ASSIGNED', '2002-03-21 04:48:02 EST', 'akiezun'), ('RESOLVED', '2002-03-21 05:55:21 EST', 'akiezun'), ('LATER', '2002-03-21 05:55:21 EST', 'akiezun'), ('2.1', '2002-07-18 10:24:14 EDT', 'akiezun'), ('REOPENED', '2002-07-18 10:53:56 EDT', 'akiezun'), ('---', '2002-07-18 10:53:56 EDT', 'akiezun'), ('RESOLVED', '2002-07-18 10:54:04 EDT', 'akiezun'), ('DUPLICATE', '2002-07-18 10:54:04 EDT', 'akiezun')]</t>
  </si>
  <si>
    <t>2003-02-22 14:19:58 EST</t>
  </si>
  <si>
    <t>2002-03-04 03:31 EST</t>
  </si>
  <si>
    <t>2002-03-04 03:38:55 EST</t>
  </si>
  <si>
    <t>[('CREATED', '2002-03-04 03:31 EST'), ('provide "anonymous inner to named inner class" refactoring', '2002-03-04 03:38:55 EST', 'preuss'), ('Erich_Gamma', '2002-03-04 06:28:13 EST', 'philippe_mulet'), ('UI', '2002-03-04 06:28:13 EST', 'philippe_mulet'), ('RESOLVED', '2002-03-04 18:27:34 EST', 'erich_gamma'), ('LATER', '2002-03-04 18:27:34 EST', 'erich_gamma'), ('nickell', '2002-03-04 18:27:34 EST', 'nickell'), ('dirk_baeumer', '2002-03-04 18:27:34 EST', 'erich_gamma'), ('2.1', '2002-07-23 09:18:09 EDT', 'dirk_baeumer'), ('provide "anonymous inner to named inner class" refactoring [refactoring]', '2002-07-24 08:36:04 EDT', 'dirk_baeumer'), ('investigate', '2002-07-25 05:03:03 EDT', 'dirk_baeumer'), ('---', '2002-07-25 05:03:03 EDT', 'dirk_baeumer'), ('jdt-ui-inbox', '2002-09-12 09:42:11 EDT', 'dirk_baeumer'), ('NEW', '2002-09-12 09:42:11 EDT', 'dirk_baeumer'), ('ASSIGNED', '2002-09-12 10:10:37 EDT', 'dirk_baeumer'), ('RESOLVED', '2003-02-22 14:19:58 EST', 'akiezun'), ('FIXED', '2003-02-22 14:19:58 EST', 'akiezun'), ('2.1', '2003-02-22 14:19:58 EST', 'akiezun')]</t>
  </si>
  <si>
    <t>12105 (view as bug list)</t>
  </si>
  <si>
    <t>2002-03-22 09:08:59 EST</t>
  </si>
  <si>
    <t>2002-03-04 03:33 EST</t>
  </si>
  <si>
    <t>2002-03-04 04:43:34 EST</t>
  </si>
  <si>
    <t>[('CREATED', '2002-03-04 03:33 EST'), ('Adam_Kiezun', '2002-03-04 04:43:34 EST', 'akiezun'), ('UI', '2002-03-04 04:43:34 EST', 'akiezun'), ('ASSIGNED', '2002-03-04 09:00:13 EST', 'akiezun'), ('P4', '2002-03-04 09:00:13 EST', 'akiezun'), ('dcorbin', '2002-03-22 08:53:55 EST', 'akiezun'), ('RESOLVED', '2002-03-22 09:08:59 EST', 'akiezun'), ('FIXED', '2002-03-22 09:08:59 EST', 'akiezun')]</t>
  </si>
  <si>
    <t>2002-03-14 13:40:27 EST</t>
  </si>
  <si>
    <t>2002-03-04 03:37 EST</t>
  </si>
  <si>
    <t>2002-03-04 04:42:13 EST</t>
  </si>
  <si>
    <t>[('CREATED', '2002-03-04 03:37 EST'), ('Adam_Kiezun', '2002-03-04 04:42:13 EST', 'akiezun'), ('UI', '2002-03-04 04:42:13 EST', 'akiezun'), ('ASSIGNED', '2002-03-04 05:15:12 EST', 'akiezun'), ('P4', '2002-03-05 10:53:30 EST', 'akiezun'), ('RESOLVED', '2002-03-14 13:40:27 EST', 'akiezun'), ('FIXED', '2002-03-14 13:40:27 EST', 'akiezun')]</t>
  </si>
  <si>
    <t>2002-03-13 08:42:05 EST</t>
  </si>
  <si>
    <t>2002-03-04 06:27 EST</t>
  </si>
  <si>
    <t>2002-03-04 06:28:43 EST</t>
  </si>
  <si>
    <t>[('CREATED', '2002-03-04 06:27 EST'), ('Erich_Gamma', '2002-03-04 06:28:43 EST', 'philippe_mulet'), ('UI', '2002-03-04 06:28:43 EST', 'philippe_mulet'), ('Adam_Kiezun', '2002-03-05 09:23:55 EST', 'erich_gamma'), ('P2', '2002-03-05 09:23:55 EST', 'erich_gamma'), ('ASSIGNED', '2002-03-05 10:52:40 EST', 'akiezun'), ('2.0 M6', '2002-03-05 10:52:40 EST', 'akiezun'), ('All', '2002-03-12 08:49:09 EST', 'akiezun'), ('2.0 M5', '2002-03-12 13:06:03 EST', 'akiezun'), ('RESOLVED', '2002-03-13 08:42:05 EST', 'akiezun'), ('FIXED', '2002-03-13 08:42:05 EST', 'akiezun')]</t>
  </si>
  <si>
    <t>RESOLVED  DUPLICATE  of bug 7330</t>
  </si>
  <si>
    <t>2002-05-04 15:12:55 EDT</t>
  </si>
  <si>
    <t>2002-03-04 10:23 EST</t>
  </si>
  <si>
    <t>2002-03-04 18:22:50 EST</t>
  </si>
  <si>
    <t>[('CREATED', '2002-03-04 10:23 EST'), ('ASSIGNED', '2002-03-04 18:22:50 EST', 'erich_gamma'), ('RESOLVED', '2002-05-04 15:12:55 EDT', 'erich_gamma'), ('DUPLICATE', '2002-05-04 15:12:55 EDT', 'erich_gamma')]</t>
  </si>
  <si>
    <t>2002-03-07 12:43:09 EST</t>
  </si>
  <si>
    <t>2002-03-05 13:03 EST</t>
  </si>
  <si>
    <t>2002-03-07 05:37:01 EST</t>
  </si>
  <si>
    <t>[('CREATED', '2002-03-05 13:03 EST'), ('Adam_Kiezun', '2002-03-07 05:37:01 EST', 'erich_gamma'), ('P2', '2002-03-07 05:37:01 EST', 'erich_gamma'), ('ASSIGNED', '2002-03-07 10:57:47 EST', 'akiezun'), ('2.0 M4', '2002-03-07 10:57:47 EST', 'akiezun'), ('RESOLVED', '2002-03-07 12:43:09 EST', 'akiezun'), ('FIXED', '2002-03-07 12:43:09 EST', 'akiezun')]</t>
  </si>
  <si>
    <t>2003-06-06 10:10:52 EDT</t>
  </si>
  <si>
    <t>2009-08-30 02:13:34 EDT</t>
  </si>
  <si>
    <t>2003-04-01 05:32:32 EST</t>
  </si>
  <si>
    <t>2003-06-06 09:11:51 EDT</t>
  </si>
  <si>
    <t>2002-03-06 10:05 EST</t>
  </si>
  <si>
    <t>2002-03-07 05:05:30 EST</t>
  </si>
  <si>
    <t>[('CREATED', '2002-03-06 10:05 EST'), ('RESOLVED', '2002-03-07 05:05:30 EST', 'erich_gamma'), ('LATER', '2002-03-07 05:05:30 EST', 'erich_gamma'), ('Generation of methods (i.e. getters and setters) does not sort [code manipulation]', '2002-07-24 08:40:32 EDT', 'dirk_baeumer'), ('jdt-ui-inbox', '2002-09-12 09:39:54 EDT', 'dirk_baeumer'), ('NEW', '2002-09-12 09:39:54 EDT', 'dirk_baeumer'), ('ASSIGNED', '2002-09-12 10:04:57 EDT', 'dirk_baeumer'), ('enhancement', '2002-09-18 07:56:02 EDT', 'martinae'), ('DUPLICATE', '2003-04-01 05:32:32 EST', 'martinae'), ('RESOLVED', '2003-04-01 05:32:32 EST', 'martinae'), ('normal', '2003-06-06 09:11:51 EDT', 'hudsonr'), ('REOPENED', '2003-06-06 09:11:51 EDT', 'hudsonr'), ('---', '2003-06-06 09:11:51 EDT', 'hudsonr'), ('mlq.eclipse', '2003-06-06 09:31:30 EDT', 'mlq.eclipse'), ('RESOLVED', '2003-06-06 10:10:52 EDT', 'martinae'), ('LATER', '2003-06-06 10:10:52 EDT', 'martinae'), ('WONTFIX', '2009-08-30 02:13:34 EDT', 'denis.roy')]</t>
  </si>
  <si>
    <t>2002-05-31 13:18:50 EDT</t>
  </si>
  <si>
    <t>2002-03-06 12:35 EST</t>
  </si>
  <si>
    <t>2002-03-07 04:59:39 EST</t>
  </si>
  <si>
    <t>dlewis</t>
  </si>
  <si>
    <t>[('CREATED', '2002-03-06 12:35 EST'), ('Kai-Uwe_Maetzel', '2002-03-07 04:59:39 EST', 'erich_gamma'), ('ASSIGNED', '2002-03-07 08:51:55 EST', 'kai-uwe_maetzel'), ('P1', '2002-03-07 08:51:55 EST', 'kai-uwe_maetzel'), ('FIXED', '2002-05-31 13:18:50 EDT', 'dlewis'), ('RESOLVED', '2002-05-31 13:18:50 EDT', 'dlewis')]</t>
  </si>
  <si>
    <t>11014 (view as bug list)</t>
  </si>
  <si>
    <t>2002-03-27 10:57:06 EST</t>
  </si>
  <si>
    <t>2002-03-06 13:37 EST</t>
  </si>
  <si>
    <t>2002-03-07 04:57:48 EST</t>
  </si>
  <si>
    <t>[('CREATED', '2002-03-06 13:37 EST'), ('Adam_Kiezun', '2002-03-07 04:57:48 EST', 'erich_gamma'), ('Martin_Aeschlimann', '2002-03-11 05:25:45 EST', 'akiezun'), ('ASSIGNED', '2002-03-12 07:57:11 EST', 'akiezun'), ('FIXED', '2002-03-27 10:57:06 EST', 'akiezun'), ('RESOLVED', '2002-03-27 10:57:06 EST', 'akiezun')]</t>
  </si>
  <si>
    <t>2003-04-24 11:42:38 EDT</t>
  </si>
  <si>
    <t>2002-03-07 05:50 EST</t>
  </si>
  <si>
    <t>2002-03-08 06:49:04 EST</t>
  </si>
  <si>
    <t>[('CREATED', '2002-03-07 05:50 EST'), ('dirk_baeumer', '2002-03-08 06:49:04 EST', 'erich_gamma'), ('RESOLVED', '2002-03-08 06:49:04 EST', 'erich_gamma'), ('helpwanted', '2002-03-08 06:49:04 EST', 'erich_gamma'), ('LATER', '2002-03-08 06:49:04 EST', 'erich_gamma'), ('New Refactoring: Hide/Create Delegate [refactoring]', '2002-07-24 08:36:11 EDT', 'dirk_baeumer'), ('NEW', '2002-09-12 09:40:14 EDT', 'dirk_baeumer'), ('jdt-ui-inbox', '2002-09-12 09:40:14 EDT', 'dirk_baeumer'), ('ASSIGNED', '2002-09-12 10:05:17 EDT', 'dirk_baeumer'), ('RESOLVED', '2003-04-24 11:42:38 EDT', 'dirk_baeumer'), ('WONTFIX', '2003-04-24 11:42:38 EDT', 'dirk_baeumer')]</t>
  </si>
  <si>
    <t>RESOLVED  DUPLICATE  of bug 10888</t>
  </si>
  <si>
    <t>2002-03-11 05:25:45 EST</t>
  </si>
  <si>
    <t>2002-03-08 05:47 EST</t>
  </si>
  <si>
    <t>2002-03-08 06:18:08 EST</t>
  </si>
  <si>
    <t>[('CREATED', '2002-03-08 05:47 EST'), ('Adam_Kiezun', '2002-03-08 06:18:08 EST', 'erich_gamma'), ('RESOLVED', '2002-03-11 05:25:45 EST', 'akiezun'), ('DUPLICATE', '2002-03-11 05:25:45 EST', 'akiezun')]</t>
  </si>
  <si>
    <t>RESOLVED  DUPLICATE  of bug 6887</t>
  </si>
  <si>
    <t>2002-03-18 09:19:25 EST</t>
  </si>
  <si>
    <t>2002-03-08 06:07 EST</t>
  </si>
  <si>
    <t>2002-03-11 08:40:06 EST</t>
  </si>
  <si>
    <t>[('CREATED', '2002-03-08 06:07 EST'), ('Martin_Aeschlimann', '2002-03-11 08:40:06 EST', 'erich_gamma'), ('RESOLVED', '2002-03-18 09:19:25 EST', 'martinae'), ('DUPLICATE', '2002-03-18 09:19:25 EST', 'martinae')]</t>
  </si>
  <si>
    <t>2003-04-24 11:44:15 EDT</t>
  </si>
  <si>
    <t>2002-03-09 08:23 EST</t>
  </si>
  <si>
    <t>2002-03-10 17:02:34 EST</t>
  </si>
  <si>
    <t>[('CREATED', '2002-03-09 08:23 EST'), ('dirk_baeumer', '2002-03-10 17:02:34 EST', 'erich_gamma'), ('RESOLVED', '2002-03-10 17:02:34 EST', 'erich_gamma'), ('LATER', '2002-03-10 17:02:34 EST', 'erich_gamma'), ('2.1', '2002-07-23 09:35:06 EDT', 'dirk_baeumer'), ('Surround with try/catch: change/remove [code manipulation] [refactoring]', '2002-07-24 08:41:36 EDT', 'dirk_baeumer'), ('investigate', '2002-07-25 05:03:17 EDT', 'dirk_baeumer'), ('---', '2002-07-25 05:03:17 EDT', 'dirk_baeumer'), ('jdt-ui-inbox', '2002-09-12 09:39:26 EDT', 'dirk_baeumer'), ('NEW', '2002-09-12 09:39:26 EDT', 'dirk_baeumer'), ('ASSIGNED', '2002-09-12 10:04:37 EDT', 'dirk_baeumer'), ('RESOLVED', '2003-04-24 11:44:15 EDT', 'dirk_baeumer'), ('WORKSFORME', '2003-04-24 11:44:15 EDT', 'dirk_baeumer')]</t>
  </si>
  <si>
    <t>2002-03-17 09:53:14 EST</t>
  </si>
  <si>
    <t>2009-08-30 02:18:02 EDT</t>
  </si>
  <si>
    <t>2002-03-11 10:55 EST</t>
  </si>
  <si>
    <t>2002-03-11 19:57:23 EST</t>
  </si>
  <si>
    <t>[('CREATED', '2002-03-11 10:55 EST'), ('Kai-Uwe_Maetzel', '2002-03-11 19:57:23 EST', 'erich_gamma'), ('RESOLVED', '2002-03-17 09:53:14 EST', 'kai-uwe_maetzel'), ('LATER', '2002-03-17 09:53:14 EST', 'kai-uwe_maetzel'), ('WONTFIX', '2009-08-30 02:18:02 EDT', 'denis.roy'), ('jdt-ui-inbox', '2009-08-30 02:18:02 EDT', 'denis.roy')]</t>
  </si>
  <si>
    <t>2002-04-14 09:51:59 EDT</t>
  </si>
  <si>
    <t>2002-03-12 09:35 EST</t>
  </si>
  <si>
    <t>2002-03-12 09:35:54 EST</t>
  </si>
  <si>
    <t>[('CREATED', '2002-03-12 09:35 EST'), ('Adam_Kiezun', '2002-03-12 09:35:54 EST', 'akiezun'), ('RESOLVED', '2002-04-14 09:51:59 EDT', 'erich_gamma'), ('FIXED', '2002-04-14 09:51:59 EDT', 'erich_gamma')]</t>
  </si>
  <si>
    <t>2002-04-18 08:32:34 EDT</t>
  </si>
  <si>
    <t>2002-03-12 18:24 EST</t>
  </si>
  <si>
    <t>2002-03-19 12:17:34 EST</t>
  </si>
  <si>
    <t>[('CREATED', '2002-03-12 18:24 EST'), ('Dirk_Baeumer', '2002-03-19 12:17:34 EST', 'erich_gamma'), ('P2', '2002-03-19 12:17:45 EST', 'erich_gamma'), ('WORKSFORME', '2002-04-18 08:32:34 EDT', 'dirk_baeumer'), ('RESOLVED', '2002-04-18 08:32:34 EDT', 'dirk_baeumer')]</t>
  </si>
  <si>
    <t>2002-03-19 12:14:38 EST</t>
  </si>
  <si>
    <t>2002-03-12 21:33 EST</t>
  </si>
  <si>
    <t>dlwhiteman</t>
  </si>
  <si>
    <t>[('CREATED', '2002-03-12 21:33 EST'), ('RESOLVED', '2002-03-19 12:14:38 EST', 'erich_gamma'), ('WONTFIX', '2002-03-19 12:14:38 EST', 'erich_gamma'), ('Patrick_Mueller', '2002-03-19 12:14:38 EST', 'dlwhiteman')]</t>
  </si>
  <si>
    <t>2002-03-19 12:13:11 EST</t>
  </si>
  <si>
    <t>2002-03-12 21:37 EST</t>
  </si>
  <si>
    <t>[('CREATED', '2002-03-12 21:37 EST'), ('RESOLVED', '2002-03-19 12:13:11 EST', 'erich_gamma'), ('WONTFIX', '2002-03-19 12:13:11 EST', 'erich_gamma'), ('Patrick_Mueller', '2002-03-19 12:13:11 EST', 'dlwhiteman')]</t>
  </si>
  <si>
    <t>2002-04-15 03:48:58 EDT</t>
  </si>
  <si>
    <t>2002-03-13 03:56 EST</t>
  </si>
  <si>
    <t>2002-04-14 09:50:24 EDT</t>
  </si>
  <si>
    <t>[('CREATED', '2002-03-13 03:56 EST'), ('Martin_Aeschlimann', '2002-04-14 09:50:24 EDT', 'erich_gamma'), ('RESOLVED', '2002-04-15 03:48:58 EDT', 'martinae'), ('WONTFIX', '2002-04-15 03:48:58 EDT', 'martinae')]</t>
  </si>
  <si>
    <t>2002-05-03 10:21:44 EDT</t>
  </si>
  <si>
    <t>2002-03-13 11:56 EST</t>
  </si>
  <si>
    <t>2002-03-19 11:48:10 EST</t>
  </si>
  <si>
    <t>[('CREATED', '2002-03-13 11:56 EST'), ('Dirk_Baeumer', '2002-03-19 11:48:10 EST', 'erich_gamma'), ('P2', '2002-03-19 11:48:10 EST', 'erich_gamma'), ('RESOLVED', '2002-05-03 10:21:44 EDT', 'dirk_baeumer'), ('FIXED', '2002-05-03 10:21:44 EDT', 'dirk_baeumer'), ('2.0 M6', '2002-05-03 10:21:44 EDT', 'dirk_baeumer')]</t>
  </si>
  <si>
    <t>24827 (view as bug list)</t>
  </si>
  <si>
    <t>2002-10-09 03:32:06 EDT</t>
  </si>
  <si>
    <t>2002-08-13 10:57:55 EDT</t>
  </si>
  <si>
    <t>2002-03-14 04:18 EST</t>
  </si>
  <si>
    <t>2002-03-20 06:12:38 EST</t>
  </si>
  <si>
    <t>2002-11-06 11:23:35 EST</t>
  </si>
  <si>
    <t>[('CREATED', '2002-03-14 04:18 EST'), ('Erich_Gamma', '2002-03-20 06:12:38 EST', 'philippe_mulet'), ('UI', '2002-03-20 06:12:38 EST', 'philippe_mulet'), ('Dirk_Baeumer', '2002-04-09 13:25:23 EDT', 'erich_gamma'), ('P4', '2002-04-09 13:25:23 EDT', 'erich_gamma'), ('RESOLVED', '2002-06-17 10:27:17 EDT', 'dirk_baeumer'), ('LATER', '2002-06-17 10:27:17 EDT', 'dirk_baeumer'), ('REOPENED', '2002-08-13 10:57:55 EDT', 'dirk_baeumer'), ('---', '2002-08-13 10:57:55 EDT', 'dirk_baeumer'), ('Extract method and java doc comment [refactoring]', '2002-08-13 10:57:55 EDT', 'dirk_baeumer'), ('RESOLVED', '2002-10-09 03:32:06 EDT', 'dirk_baeumer'), ('WONTFIX', '2002-10-09 03:32:06 EDT', 'dirk_baeumer'), ('jennifer_thorsley', '2002-11-06 11:23:35 EST', 'dirk_baeumer')]</t>
  </si>
  <si>
    <t>11363</t>
  </si>
  <si>
    <t>2002-06-05 13:26:09 EDT</t>
  </si>
  <si>
    <t>2002-03-14 11:20 EST</t>
  </si>
  <si>
    <t>2002-03-14 11:33:57 EST</t>
  </si>
  <si>
    <t>[('CREATED', '2002-03-14 11:20 EST'), ('11363', '2002-03-14 11:33:57 EST', 'sidney.monteiro'), ('Erich_Gamma', '2002-03-15 16:09:02 EST', 'Kevin_Haaland'), ('JDT', '2002-03-15 16:09:02 EST', 'Kevin_Haaland'), ('Dirk_Baeumer', '2002-03-19 11:32:45 EST', 'erich_gamma'), ('Kai-Uwe_Maetzel', '2002-05-10 05:24:19 EDT', 'dirk_baeumer'), ('RESOLVED', '2002-06-05 13:26:09 EDT', 'kai-uwe_maetzel'), ('FIXED', '2002-06-05 13:26:09 EDT', 'kai-uwe_maetzel')]</t>
  </si>
  <si>
    <t>RESOLVED  DUPLICATE  of bug 11441</t>
  </si>
  <si>
    <t>2002-03-15 08:03:26 EST</t>
  </si>
  <si>
    <t>2002-03-14 15:33 EST</t>
  </si>
  <si>
    <t>[('CREATED', '2002-03-14 15:33 EST'), ('RESOLVED', '2002-03-15 08:03:26 EST', 'dirk_baeumer'), ('DUPLICATE', '2002-03-15 08:03:26 EST', 'dirk_baeumer')]</t>
  </si>
  <si>
    <t>2002-03-15 10:31:35 EST</t>
  </si>
  <si>
    <t>2002-03-28 04:00:52 EST</t>
  </si>
  <si>
    <t>2002-03-14 20:16 EST</t>
  </si>
  <si>
    <t>2002-03-15 09:15:58 EST</t>
  </si>
  <si>
    <t>[('CREATED', '2002-03-14 20:16 EST'), ('Adam_Kiezun', '2002-03-15 09:15:58 EST', 'erich_gamma'), ('P1', '2002-03-15 09:15:58 EST', 'erich_gamma'), ('ASSIGNED', '2002-03-15 09:37:44 EST', 'akiezun'), ('RESOLVED', '2002-03-15 10:31:35 EST', 'akiezun'), ('FIXED', '2002-03-15 10:31:35 EST', 'akiezun'), ('VERIFIED', '2002-03-28 04:00:52 EST', 'andre_weinand')]</t>
  </si>
  <si>
    <t>11397 11649 (view as bug list)</t>
  </si>
  <si>
    <t>2002-03-15 08:55:40 EST</t>
  </si>
  <si>
    <t>2002-03-15 05:35 EST</t>
  </si>
  <si>
    <t>2002-03-15 05:35:05 EST</t>
  </si>
  <si>
    <t>2002-03-19 11:43:15 EST</t>
  </si>
  <si>
    <t>[('CREATED', '2002-03-15 05:35 EST'), ('Dirk_Baeumer', '2002-03-15 05:35:05 EST', 'akiezun'), ('Rodrigo_Peretti', '2002-03-15 08:03:26 EST', 'dirk_baeumer'), ('2.0 M4', '2002-03-15 08:03:37 EST', 'dirk_baeumer'), ('FIXED', '2002-03-15 08:55:40 EST', 'erich_gamma'), ('RESOLVED', '2002-03-15 08:55:40 EST', 'erich_gamma'), ('James_Moody', '2002-03-19 11:43:15 EST', 'akiezun')]</t>
  </si>
  <si>
    <t>23088 (view as bug list)</t>
  </si>
  <si>
    <t>2003-07-28 05:14:42 EDT</t>
  </si>
  <si>
    <t>2003-07-28 05:14:26 EDT</t>
  </si>
  <si>
    <t>2002-03-15 07:03 EST</t>
  </si>
  <si>
    <t>2002-03-15 08:49:12 EST</t>
  </si>
  <si>
    <t>[('CREATED', '2002-03-15 07:03 EST'), ('RESOLVED', '2002-03-15 08:49:12 EST', 'erich_gamma'), ('LATER', '2002-03-15 08:49:12 EST', 'erich_gamma'), ('2.1', '2002-07-23 09:45:15 EDT', 'dirk_baeumer'), ('extract method: could replace all occurrences of expression [refactoring]', '2002-07-24 08:36:19 EDT', 'dirk_baeumer'), ('investigate', '2002-07-25 05:03:24 EDT', 'dirk_baeumer'), ('---', '2002-07-25 05:03:24 EDT', 'dirk_baeumer'), ('jdt-ui-inbox', '2002-09-12 09:42:01 EDT', 'dirk_baeumer'), ('NEW', '2002-09-12 09:42:01 EDT', 'dirk_baeumer'), ('ASSIGNED', '2002-09-12 10:10:22 EDT', 'dirk_baeumer'), ('Erich_Gamma', '2002-10-08 12:15:55 EDT', 'dirk_baeumer'), ('preuss', '2003-02-25 08:26:26 EST', 'preuss'), ('simon.giesecke', '2003-02-25 13:09:25 EST', 'simon.giesecke'), ('N.Metchev', '2003-03-11 07:18:35 EST', 'nikolaymetchev'), ('d92-jwa', '2003-03-18 06:43:08 EST', 'johan.walles'), ('RESOLVED', '2003-04-28 06:02:26 EDT', 'dirk_baeumer'), ('REOPENED', '2003-07-28 05:14:26 EDT', 'dirk_baeumer'), ('---', '2003-07-28 05:14:26 EDT', 'dirk_baeumer'), ('RESOLVED', '2003-07-28 05:14:42 EDT', 'dirk_baeumer'), ('FIXED', '2003-07-28 05:14:42 EDT', 'dirk_baeumer'), ('3.0 M2', '2003-07-28 05:14:42 EDT', 'dirk_baeumer')]</t>
  </si>
  <si>
    <t>2002-03-21 06:14:03 EST</t>
  </si>
  <si>
    <t>2002-03-18 03:34 EST</t>
  </si>
  <si>
    <t>2002-03-18 09:17:36 EST</t>
  </si>
  <si>
    <t>[('CREATED', '2002-03-18 03:34 EST'), ('Erich_Gamma', '2002-03-18 09:17:36 EST', 'philippe_mulet'), ('UI', '2002-03-18 09:17:36 EST', 'philippe_mulet'), ('ASSIGNED', '2002-03-18 12:19:50 EST', 'akiezun'), ('Adam_Kiezun', '2002-03-18 12:21:17 EST', 'akiezun'), ('NEW', '2002-03-18 12:21:17 EST', 'akiezun'), ('ASSIGNED', '2002-03-18 12:23:53 EST', 'akiezun'), ('RESOLVED', '2002-03-21 06:14:03 EST', 'akiezun'), ('WORKSFORME', '2002-03-21 06:14:03 EST', 'akiezun')]</t>
  </si>
  <si>
    <t>2002-03-22 06:02:10 EST</t>
  </si>
  <si>
    <t>2002-03-18 09:56 EST</t>
  </si>
  <si>
    <t>2002-03-18 12:20:05 EST</t>
  </si>
  <si>
    <t>[('CREATED', '2002-03-18 09:56 EST'), ('ASSIGNED', '2002-03-18 12:20:05 EST', 'akiezun'), ('RESOLVED', '2002-03-22 06:02:10 EST', 'akiezun'), ('INVALID', '2002-03-22 06:02:10 EST', 'akiezun')]</t>
  </si>
  <si>
    <t>2002-03-19 05:59:50 EST</t>
  </si>
  <si>
    <t>2002-03-18 09:57 EST</t>
  </si>
  <si>
    <t>2002-03-18 11:18:35 EST</t>
  </si>
  <si>
    <t>[('CREATED', '2002-03-18 09:57 EST'), ('Erich_Gamma', '2002-03-18 11:18:35 EST', 'philippe_mulet'), ('UI', '2002-03-18 11:18:35 EST', 'philippe_mulet'), ('ASSIGNED', '2002-03-18 12:18:10 EST', 'akiezun'), ('NEW', '2002-03-18 12:21:28 EST', 'akiezun'), ('Adam_Kiezun', '2002-03-18 12:21:28 EST', 'akiezun'), ('ASSIGNED', '2002-03-18 12:23:38 EST', 'akiezun'), ('P2', '2002-03-18 12:23:38 EST', 'akiezun'), ('2.0 M5', '2002-03-18 12:23:38 EST', 'akiezun'), ('RESOLVED', '2002-03-19 05:59:50 EST', 'akiezun'), ('FIXED', '2002-03-19 05:59:50 EST', 'akiezun')]</t>
  </si>
  <si>
    <t>RESOLVED  DUPLICATE  of bug 8662</t>
  </si>
  <si>
    <t>2002-03-21 06:16:36 EST</t>
  </si>
  <si>
    <t>2002-03-18 12:18 EST</t>
  </si>
  <si>
    <t>2002-03-18 12:35:03 EST</t>
  </si>
  <si>
    <t>[('CREATED', '2002-03-18 12:18 EST'), ('critical', '2002-03-18 12:35:03 EST', 'daniel_megert'), ('Refactoring on read-only files gives bad results', '2002-03-18 12:35:03 EST', 'daniel_megert'), ('Adam_Kiezun', '2002-03-19 11:18:37 EST', 'erich_gamma'), ('P2', '2002-03-19 11:18:37 EST', 'erich_gamma'), ('ASSIGNED', '2002-03-21 04:56:00 EST', 'akiezun'), ('RESOLVED', '2002-03-21 06:16:36 EST', 'akiezun'), ('DUPLICATE', '2002-03-21 06:16:36 EST', 'akiezun')]</t>
  </si>
  <si>
    <t>12205 (view as bug list)</t>
  </si>
  <si>
    <t>2002-03-19 05:49:19 EST</t>
  </si>
  <si>
    <t>2002-03-19 04:42 EST</t>
  </si>
  <si>
    <t>2002-03-19 05:36:03 EST</t>
  </si>
  <si>
    <t>2002-03-25 09:29:13 EST</t>
  </si>
  <si>
    <t>[('CREATED', '2002-03-19 04:42 EST'), ('2.0 M5', '2002-03-19 05:36:03 EST', 'akiezun'), ('ASSIGNED', '2002-03-19 05:45:03 EST', 'akiezun'), ('RESOLVED', '2002-03-19 05:49:19 EST', 'akiezun'), ('FIXED', '2002-03-19 05:49:19 EST', 'akiezun'), ('preuss', '2002-03-25 09:29:13 EST', 'akiezun')]</t>
  </si>
  <si>
    <t>2002-03-19 11:29 EST</t>
  </si>
  <si>
    <t>[('CREATED', '2002-03-19 11:29 EST'), ('RESOLVED', '2002-03-19 11:43:15 EST', 'akiezun'), ('DUPLICATE', '2002-03-19 11:43:15 EST', 'akiezun')]</t>
  </si>
  <si>
    <t>2006-11-13 10:14:21 EST</t>
  </si>
  <si>
    <t>2006-11-13 10:13:48 EST</t>
  </si>
  <si>
    <t>2002-03-19 13:16 EST</t>
  </si>
  <si>
    <t>2002-03-19 13:52:16 EST</t>
  </si>
  <si>
    <t>[('CREATED', '2002-03-19 13:16 EST'), ('ASSIGNED', '2002-03-19 13:52:16 EST', 'akiezun'), ('RESOLVED', '2002-06-09 12:26:37 EDT', 'akiezun'), ('LATER', '2002-06-09 12:26:37 EDT', 'akiezun'), ('2.1', '2002-07-18 10:24:46 EDT', 'akiezun'), ('REOPENED', '2002-08-28 12:04:59 EDT', 'akiezun'), ('---', '2002-08-28 12:04:59 EDT', 'akiezun'), ('---', '2002-08-28 12:04:59 EDT', 'akiezun'), ('enhancement', '2002-09-03 06:40:44 EDT', 'akiezun'), ('RESOLVED', '2002-09-05 09:38:30 EDT', 'akiezun'), ('LATER', '2002-09-05 09:38:30 EDT', 'akiezun'), ('CLOSED', '2003-04-25 10:40:04 EDT', 'akiezun'), ('inline temp: incorrect on multi-declarations [refactoring]', '2003-04-25 10:40:04 EDT', 'akiezun'), ('REOPENED', '2006-11-13 10:13:48 EST', 'martinae'), ('---', '2006-11-13 10:13:48 EST', 'martinae'), ('RESOLVED', '2006-11-13 10:14:21 EST', 'martinae'), ('FIXED', '2006-11-13 10:14:21 EST', 'martinae'), ('3.3 M4', '2006-11-13 10:14:21 EST', 'martinae')]</t>
  </si>
  <si>
    <t>RESOLVED  DUPLICATE  of bug 26186</t>
  </si>
  <si>
    <t>2002-11-16 17:21:25 EST</t>
  </si>
  <si>
    <t>2002-03-19 15:33 EST</t>
  </si>
  <si>
    <t>2002-04-09 13:22:43 EDT</t>
  </si>
  <si>
    <t>[('CREATED', '2002-03-19 15:33 EST'), ('Martin_Aeschlimann', '2002-04-09 13:22:43 EDT', 'erich_gamma'), ('enhancement', '2002-09-18 06:41:15 EDT', 'martinae'), ('RESOLVED', '2002-11-16 17:21:25 EST', 'erich_gamma'), ('DUPLICATE', '2002-11-16 17:21:25 EST', 'erich_gamma')]</t>
  </si>
  <si>
    <t>2002-03-27 09:50:42 EST</t>
  </si>
  <si>
    <t>2002-03-19 16:50 EST</t>
  </si>
  <si>
    <t>[('CREATED', '2002-03-19 16:50 EST'), ('RESOLVED', '2002-03-27 09:50:42 EST', 'akiezun'), ('FIXED', '2002-03-27 09:50:42 EST', 'akiezun')]</t>
  </si>
  <si>
    <t>2003-04-28 06:02:36 EDT</t>
  </si>
  <si>
    <t>2009-08-30 02:21:58 EDT</t>
  </si>
  <si>
    <t>2002-03-20 08:53 EST</t>
  </si>
  <si>
    <t>2002-03-20 10:20:12 EST</t>
  </si>
  <si>
    <t>[('CREATED', '2002-03-20 08:53 EST'), ('Philippe_Mulet', '2002-03-20 10:20:12 EST', 'erich_gamma'), ('Core', '2002-03-20 10:20:12 EST', 'erich_gamma'), ('Erich_Gamma', '2002-03-21 13:42:21 EST', 'philippe_mulet'), ('UI', '2002-03-21 13:42:21 EST', 'philippe_mulet'), ('RESOLVED', '2002-03-22 05:01:01 EST', 'erich_gamma'), ('LATER', '2002-03-22 05:01:01 EST', 'erich_gamma'), ('2.1', '2002-07-23 10:17:02 EDT', 'dirk_baeumer'), ('rename package shows up on a folder [refactoring]', '2002-07-24 08:36:26 EDT', 'dirk_baeumer'), ('investigate', '2002-07-25 05:03:31 EDT', 'dirk_baeumer'), ('---', '2002-07-25 05:03:31 EDT', 'dirk_baeumer'), ('jdt-ui-inbox', '2002-09-12 09:41:06 EDT', 'dirk_baeumer'), ('NEW', '2002-09-12 09:41:06 EDT', 'dirk_baeumer'), ('ASSIGNED', '2002-09-12 10:07:29 EDT', 'dirk_baeumer'), ('enhancement', '2002-09-18 04:41:46 EDT', 'akiezun'), ('RESOLVED', '2003-04-28 06:02:36 EDT', 'dirk_baeumer'), ('WONTFIX', '2009-08-30 02:21:58 EDT', 'denis.roy')]</t>
  </si>
  <si>
    <t>RESOLVED  DUPLICATE  of bug 11627</t>
  </si>
  <si>
    <t>2002-03-20 10:03:35 EST</t>
  </si>
  <si>
    <t>2002-03-20 09:52 EST</t>
  </si>
  <si>
    <t>2002-03-20 14:29:06 EST</t>
  </si>
  <si>
    <t>[('CREATED', '2002-03-20 09:52 EST'), ('RESOLVED', '2002-03-20 10:03:35 EST', 'akiezun'), ('DUPLICATE', '2002-03-20 10:03:35 EST', 'akiezun'), ('2.0 M4', '2002-03-20 14:29:06 EST', 'jerome_lanneluc')]</t>
  </si>
  <si>
    <t>2003-05-08 06:06:38 EDT</t>
  </si>
  <si>
    <t>2009-08-30 02:22:28 EDT</t>
  </si>
  <si>
    <t>2003-04-25 10:41:33 EDT</t>
  </si>
  <si>
    <t>2002-03-21 05:22 EST</t>
  </si>
  <si>
    <t>2002-03-21 05:34:35 EST</t>
  </si>
  <si>
    <t>[('CREATED', '2002-03-21 05:22 EST'), ('RESOLVED', '2002-03-21 05:34:35 EST', 'akiezun'), ('LATER', '2002-03-21 05:34:35 EST', 'akiezun'), ('REOPENED', '2003-04-25 10:40:41 EDT', 'akiezun'), ('P4', '2003-04-25 10:40:41 EDT', 'akiezun'), ('---', '2003-04-25 10:40:41 EDT', 'akiezun'), ('Rename instance variable refactoring could be smarter[refactoring]', '2003-04-25 10:40:41 EDT', 'akiezun'), ('adam_kiezun', '2003-04-25 10:41:12 EDT', 'akiezun'), ('RESOLVED', '2003-04-25 10:41:12 EDT', 'akiezun'), ('LATER', '2003-04-25 10:41:12 EDT', 'akiezun'), ('REOPENED', '2003-04-25 10:41:33 EDT', 'akiezun'), ('---', '2003-04-25 10:41:33 EDT', 'akiezun'), ('NEW', '2003-04-25 10:41:40 EDT', 'akiezun'), ('jdt-ui-inbox', '2003-04-25 10:41:40 EDT', 'akiezun'), ('RESOLVED', '2003-05-08 06:06:38 EDT', 'dirk_baeumer'), ('helpwanted', '2003-05-08 06:06:38 EDT', 'dirk_baeumer'), ('LATER', '2003-05-08 06:06:38 EDT', 'dirk_baeumer'), ('WONTFIX', '2009-08-30 02:22:28 EDT', 'denis.roy')]</t>
  </si>
  <si>
    <t>2002-05-07 05:48:41 EDT</t>
  </si>
  <si>
    <t>2002-03-21 11:13 EST</t>
  </si>
  <si>
    <t>2002-03-21 19:17:41 EST</t>
  </si>
  <si>
    <t>[('CREATED', '2002-03-21 11:13 EST'), ('Dirk_Baeumer', '2002-03-21 19:17:41 EST', 'erich_gamma'), ('Adam_Kiezun', '2002-05-06 12:34:58 EDT', 'dirk_baeumer'), ('RESOLVED', '2002-05-07 05:48:41 EDT', 'akiezun'), ('FIXED', '2002-05-07 05:48:41 EDT', 'akiezun')]</t>
  </si>
  <si>
    <t>12414 22462 (view as bug list)</t>
  </si>
  <si>
    <t>2002-09-17 18:31:18 EDT</t>
  </si>
  <si>
    <t>2002-03-21 19:17 EST</t>
  </si>
  <si>
    <t>2002-03-22 03:24:56 EST</t>
  </si>
  <si>
    <t>2003-02-17 08:20:22 EST</t>
  </si>
  <si>
    <t>neil</t>
  </si>
  <si>
    <t>[('CREATED', '2002-03-21 19:17 EST'), ('dirk_baeumer', '2002-03-22 03:24:56 EST', 'erich_gamma'), ('RESOLVED', '2002-03-22 03:24:56 EST', 'erich_gamma'), ('LATER', '2002-03-22 03:24:56 EST', 'erich_gamma'), ('nickell', '2002-03-22 03:24:56 EST', 'nickell'), ('2.1', '2002-07-23 10:22:17 EDT', 'dirk_baeumer'), ('preuss', '2002-07-23 10:35:24 EDT', 'dirk_baeumer'), ('Refactoring - extensions to Move class [refactoring]', '2002-07-24 08:36:32 EDT', 'dirk_baeumer'), ('investigate', '2002-07-25 05:03:38 EDT', 'dirk_baeumer'), ('---', '2002-07-25 05:03:38 EDT', 'dirk_baeumer'), ('neil_swingler', '2002-08-21 05:49:26 EDT', 'dirk_baeumer'), ('jdt-ui-inbox', '2002-09-12 09:41:30 EDT', 'dirk_baeumer'), ('NEW', '2002-09-12 09:41:30 EDT', 'dirk_baeumer'), ('ASSIGNED', '2002-09-12 10:09:02 EDT', 'dirk_baeumer'), ('Adam_Kiezun', '2002-09-17 18:31:18 EDT', 'akiezun'), ('RESOLVED', '2002-09-17 18:31:18 EDT', 'akiezun'), ('FIXED', '2002-09-17 18:31:18 EDT', 'akiezun'), (nan, '2003-02-17 08:20:22 EST', 'neil')]</t>
  </si>
  <si>
    <t>RESOLVED  DUPLICATE  of bug 28022</t>
  </si>
  <si>
    <t>2003-04-25 13:26:46 EDT</t>
  </si>
  <si>
    <t>2003-04-25 12:27:47 EDT</t>
  </si>
  <si>
    <t>2002-03-21 19:20 EST</t>
  </si>
  <si>
    <t>2002-03-22 03:24:05 EST</t>
  </si>
  <si>
    <t>[('CREATED', '2002-03-21 19:20 EST'), ('Adam_Kiezun', '2002-03-22 03:24:05 EST', 'erich_gamma'), ('P2', '2002-03-22 03:24:05 EST', 'erich_gamma'), ('enhancement', '2002-03-22 04:45:46 EST', 'akiezun'), ('ASSIGNED', '2002-03-22 04:45:46 EST', 'akiezun'), ('P3', '2002-03-25 05:24:35 EST', 'akiezun'), ('RESOLVED', '2002-04-05 05:32:06 EST', 'akiezun'), ('LATER', '2002-04-05 05:32:06 EST', 'akiezun'), ('REOPENED', '2003-04-25 12:27:47 EDT', 'akiezun'), ('---', '2003-04-25 12:27:47 EDT', 'akiezun'), ('Move static field does not allow interfaces as target type [refactoring]', '2003-04-25 13:13:54 EDT', 'akiezun'), ('RESOLVED', '2003-04-25 13:26:46 EDT', 'akiezun'), ('DUPLICATE', '2003-04-25 13:26:46 EDT', 'akiezun')]</t>
  </si>
  <si>
    <t>2002-04-18 06:26:55 EDT</t>
  </si>
  <si>
    <t>2002-03-22 05:21 EST</t>
  </si>
  <si>
    <t>2002-03-25 07:12:39 EST</t>
  </si>
  <si>
    <t>[('CREATED', '2002-03-22 05:21 EST'), ('Dirk_Baeumer', '2002-03-25 07:12:39 EST', 'erich_gamma'), ('P2', '2002-03-25 07:12:39 EST', 'erich_gamma'), ('RESOLVED', '2002-04-18 06:26:55 EDT', 'dirk_baeumer'), ('FIXED', '2002-04-18 06:26:55 EDT', 'dirk_baeumer'), ('2.0 M6', '2002-04-18 06:26:55 EDT', 'dirk_baeumer')]</t>
  </si>
  <si>
    <t>RESOLVED  DUPLICATE  of bug 10660</t>
  </si>
  <si>
    <t>2002-03-22 08:53:55 EST</t>
  </si>
  <si>
    <t>2002-03-22 08:40 EST</t>
  </si>
  <si>
    <t>[('CREATED', '2002-03-22 08:40 EST'), ('RESOLVED', '2002-03-22 08:53:55 EST', 'akiezun'), ('DUPLICATE', '2002-03-22 08:53:55 EST', 'akiezun')]</t>
  </si>
  <si>
    <t>2002-05-11 15:40:52 EDT</t>
  </si>
  <si>
    <t>2002-03-22 15:07 EST</t>
  </si>
  <si>
    <t>2002-05-01 19:06:08 EDT</t>
  </si>
  <si>
    <t>[('CREATED', '2002-03-22 15:07 EST'), ('erich_gamma', '2002-05-01 19:06:08 EDT', 'Kevin_Haaland'), ('Tod_Creasey', '2002-05-01 19:06:08 EDT', 'Kevin_Haaland'), ('JDT', '2002-05-02 10:47:27 EDT', 'Tod_Creasey'), ('Adam_Kiezun', '2002-05-02 10:47:27 EDT', 'akiezun'), ('Erich_Gamma', '2002-05-02 10:47:27 EDT', 'Tod_Creasey'), ('RESOLVED', '2002-05-11 15:40:52 EDT', 'erich_gamma'), ('INVALID', '2002-05-11 15:40:52 EDT', 'erich_gamma')]</t>
  </si>
  <si>
    <t>2003-08-20 06:44:35 EDT</t>
  </si>
  <si>
    <t>2003-04-25 13:10:42 EDT</t>
  </si>
  <si>
    <t>2002-03-24 01:38 EST</t>
  </si>
  <si>
    <t>2002-03-25 10:37:45 EST</t>
  </si>
  <si>
    <t>[('CREATED', '2002-03-24 01:38 EST'), ('Erich_Gamma', '2002-03-25 10:37:45 EST', 'philippe_mulet'), ('UI', '2002-03-25 10:37:45 EST', 'philippe_mulet'), ('Adam_Kiezun', '2002-03-27 09:52:03 EST', 'akiezun'), ('RESOLVED', '2002-03-27 09:57:11 EST', 'akiezun'), ('LATER', '2002-03-27 09:57:11 EST', 'akiezun'), ('ispeters', '2002-03-27 09:57:11 EST', 'Ian_Petersen'), ('Rename method complains if the new name is overloaded [refactoring]', '2003-04-25 10:42:34 EDT', 'akiezun'), ('REOPENED', '2003-04-25 13:10:42 EDT', 'akiezun'), ('---', '2003-04-25 13:10:42 EDT', 'akiezun'), ('ASSIGNED', '2003-07-11 09:17:15 EDT', 'akiezun'), ('3.0 M3', '2003-07-11 09:17:15 EDT', 'akiezun'), ('FIXED', '2003-08-20 06:44:35 EDT', 'akiezun'), ('RESOLVED', '2003-08-20 06:44:35 EDT', 'akiezun')]</t>
  </si>
  <si>
    <t>2002-03-25 09:37:32 EST</t>
  </si>
  <si>
    <t>2002-03-25 06:53 EST</t>
  </si>
  <si>
    <t>2002-03-25 07:10:19 EST</t>
  </si>
  <si>
    <t>2002-03-25 10:45:38 EST</t>
  </si>
  <si>
    <t>philippe_mulet</t>
  </si>
  <si>
    <t>[('CREATED', '2002-03-25 06:53 EST'), ('Philippe_Mulet', '2002-03-25 07:10:19 EST', 'erich_gamma'), ('Core', '2002-03-25 07:10:19 EST', 'erich_gamma'), ('Adam_Kiezun', '2002-03-25 07:45:54 EST', 'akiezun'), ('ASSIGNED', '2002-03-25 07:46:30 EST', 'akiezun'), ('RESOLVED', '2002-03-25 09:37:32 EST', 'akiezun'), ('FIXED', '2002-03-25 09:37:32 EST', 'akiezun'), ('UI', '2002-03-25 10:45:38 EST', 'philippe_mulet')]</t>
  </si>
  <si>
    <t>RESOLVED  DUPLICATE  of bug 11622</t>
  </si>
  <si>
    <t>2002-03-25 09:08 EST</t>
  </si>
  <si>
    <t>2002-03-25 09:18:34 EST</t>
  </si>
  <si>
    <t>[('CREATED', '2002-03-25 09:08 EST'), ('ASSIGNED', '2002-03-25 09:18:34 EST', 'akiezun'), ('RESOLVED', '2002-03-25 09:29:13 EST', 'akiezun'), ('DUPLICATE', '2002-03-25 09:29:13 EST', 'akiezun')]</t>
  </si>
  <si>
    <t>RESOLVED  DUPLICATE  of bug 13268</t>
  </si>
  <si>
    <t>2002-04-24 06:48:56 EDT</t>
  </si>
  <si>
    <t>2002-03-26 11:23 EST</t>
  </si>
  <si>
    <t>2002-03-30 07:24:58 EST</t>
  </si>
  <si>
    <t>[('CREATED', '2002-03-26 11:23 EST'), ('Dirk_Baeumer', '2002-03-30 07:24:58 EST', 'erich_gamma'), ('P2', '2002-03-30 07:24:58 EST', 'erich_gamma'), ('RESOLVED', '2002-04-24 06:48:56 EDT', 'dirk_baeumer'), ('DUPLICATE', '2002-04-24 06:48:56 EDT', 'dirk_baeumer')]</t>
  </si>
  <si>
    <t>RESOLVED  DUPLICATE  of bug 12082</t>
  </si>
  <si>
    <t>2002-07-23 10:35:24 EDT</t>
  </si>
  <si>
    <t>2002-07-23 10:34:41 EDT</t>
  </si>
  <si>
    <t>2002-03-28 05:56 EST</t>
  </si>
  <si>
    <t>2002-03-28 08:08:39 EST</t>
  </si>
  <si>
    <t>[('CREATED', '2002-03-28 05:56 EST'), ('Adam_Kiezun', '2002-03-28 08:08:39 EST', 'akiezun'), ('RESOLVED', '2002-03-28 08:08:39 EST', 'akiezun'), ('LATER', '2002-03-28 08:08:39 EST', 'akiezun'), ('nickell', '2002-03-28 08:08:39 EST', 'nickell'), ('REOPENED', '2002-07-23 10:34:41 EDT', 'dirk_baeumer'), ('---', '2002-07-23 10:34:41 EDT', 'dirk_baeumer'), ('RESOLVED', '2002-07-23 10:35:24 EDT', 'dirk_baeumer'), ('DUPLICATE', '2002-07-23 10:35:24 EDT', 'dirk_baeumer')]</t>
  </si>
  <si>
    <t>2002-04-02 05:11:04 EST</t>
  </si>
  <si>
    <t>2002-03-30 11:33 EST</t>
  </si>
  <si>
    <t>2002-03-30 11:48:31 EST</t>
  </si>
  <si>
    <t>[('CREATED', '2002-03-30 11:33 EST'), ('Adam_Kiezun', '2002-03-30 11:48:31 EST', 'akiezun'), ('UI', '2002-03-30 11:48:31 EST', 'akiezun'), ('ASSIGNED', '2002-03-30 11:49:47 EST', 'akiezun'), ('RESOLVED', '2002-04-02 05:11:04 EST', 'akiezun'), ('FIXED', '2002-04-02 05:11:04 EST', 'akiezun')]</t>
  </si>
  <si>
    <t>2002-04-09 03:49:44 EDT</t>
  </si>
  <si>
    <t>2002-03-31 16:32 EST</t>
  </si>
  <si>
    <t>[('CREATED', '2002-03-31 16:32 EST'), ('RESOLVED', '2002-04-09 03:49:44 EDT', 'dirk_baeumer'), ('FIXED', '2002-04-09 03:49:44 EDT', 'dirk_baeumer')]</t>
  </si>
  <si>
    <t>12590</t>
  </si>
  <si>
    <t>2002-04-04 06:39:53 EST</t>
  </si>
  <si>
    <t>2002-04-02 04:24:07 EST</t>
  </si>
  <si>
    <t>2002-04-02 05:38:20 EST</t>
  </si>
  <si>
    <t>2002-04-01 04:57 EST</t>
  </si>
  <si>
    <t>2002-04-01 13:48:39 EST</t>
  </si>
  <si>
    <t>[('CREATED', '2002-04-01 04:57 EST'), ('Adam_Kiezun', '2002-04-01 13:48:39 EST', 'akiezun'), ('RESOLVED', '2002-04-02 04:24:07 EST', 'akiezun'), ('WORKSFORME', '2002-04-02 04:24:07 EST', 'akiezun'), ('---', '2002-04-02 05:38:20 EST', 'Konstantin.Scheglov'), ('REOPENED', '2002-04-02 05:38:20 EST', 'Konstantin.Scheglov'), ('12590', '2002-04-02 05:41:29 EST', 'akiezun'), ('ASSIGNED', '2002-04-02 05:41:29 EST', 'akiezun'), ('RESOLVED', '2002-04-04 06:39:53 EST', 'akiezun'), ('FIXED', '2002-04-04 06:39:53 EST', 'akiezun')]</t>
  </si>
  <si>
    <t>2003-04-08 13:54:37 EDT</t>
  </si>
  <si>
    <t>2003-04-08 13:54:23 EDT</t>
  </si>
  <si>
    <t>2002-04-02 05:12 EST</t>
  </si>
  <si>
    <t>2002-04-02 05:34:10 EST</t>
  </si>
  <si>
    <t>[('CREATED', '2002-04-02 05:12 EST'), ('ASSIGNED', '2002-04-02 05:34:10 EST', 'akiezun'), ('RESOLVED', '2002-04-05 03:40:30 EST', 'akiezun'), ('LATER', '2002-04-05 03:40:30 EST', 'akiezun'), ('2.1', '2002-07-18 10:26:42 EDT', 'akiezun'), ('REOPENED', '2002-07-26 12:44:30 EDT', 'akiezun'), ('---', '2002-07-26 12:44:30 EDT', 'akiezun'), ('---', '2002-07-26 12:45:13 EDT', 'akiezun'), ('enable rename temp on temps in initializers [refactoring]', '2002-08-26 08:44:07 EDT', 'akiezun'), ('enhancement', '2002-09-03 06:40:21 EDT', 'akiezun'), ('RESOLVED', '2002-09-05 09:38:06 EDT', 'akiezun'), ('LATER', '2002-09-05 09:38:06 EDT', 'akiezun'), ('REOPENED', '2003-04-08 13:54:23 EDT', 'akiezun'), ('---', '2003-04-08 13:54:23 EDT', 'akiezun'), ('RESOLVED', '2003-04-08 13:54:37 EDT', 'akiezun'), ('FIXED', '2003-04-08 13:54:37 EDT', 'akiezun'), ('2.1 RC4', '2003-04-08 13:54:37 EDT', 'akiezun')]</t>
  </si>
  <si>
    <t>2002-04-02 08:30:47 EST</t>
  </si>
  <si>
    <t>2002-04-02 08:06 EST</t>
  </si>
  <si>
    <t>2002-04-02 08:08:21 EST</t>
  </si>
  <si>
    <t>[('CREATED', '2002-04-02 08:06 EST'), ('Adam_Kiezun', '2002-04-02 08:08:21 EST', 'akiezun'), ('ASSIGNED', '2002-04-02 08:12:34 EST', 'akiezun'), ('P1', '2002-04-02 08:12:34 EST', 'akiezun'), ('RESOLVED', '2002-04-02 08:30:47 EST', 'akiezun'), ('FIXED', '2002-04-02 08:30:47 EST', 'akiezun')]</t>
  </si>
  <si>
    <t>2002-04-15 12:46:30 EDT</t>
  </si>
  <si>
    <t>2002-04-02 09:41 EST</t>
  </si>
  <si>
    <t>2002-04-03 09:09:51 EST</t>
  </si>
  <si>
    <t>[('CREATED', '2002-04-02 09:41 EST'), ('P2', '2002-04-03 09:09:51 EST', 'erich_gamma'), ('Dirk_Baeumer', '2002-04-04 14:09:06 EST', 'erich_gamma'), ('Erich_Gamma', '2002-04-05 02:00:44 EST', 'dirk_baeumer'), ('Adam_Kiezun', '2002-04-05 02:00:44 EST', 'dirk_baeumer'), ('RESOLVED', '2002-04-15 12:46:30 EDT', 'akiezun'), ('FIXED', '2002-04-15 12:46:30 EDT', 'akiezun')]</t>
  </si>
  <si>
    <t>2003-04-09 05:33:44 EDT</t>
  </si>
  <si>
    <t>2003-04-08 13:55:07 EDT</t>
  </si>
  <si>
    <t>2002-04-02 11:21 EST</t>
  </si>
  <si>
    <t>2002-04-09 12:04:25 EDT</t>
  </si>
  <si>
    <t>[('CREATED', '2002-04-02 11:21 EST'), ('Adam_Kiezun', '2002-04-09 12:04:25 EDT', 'erich_gamma'), ('P2', '2002-04-09 12:04:25 EDT', 'erich_gamma'), ('ASSIGNED', '2002-04-11 08:13:54 EDT', 'akiezun'), ('P3', '2002-04-16 07:55:28 EDT', 'akiezun'), ('RESOLVED', '2002-06-09 12:27:04 EDT', 'akiezun'), ('LATER', '2002-06-09 12:27:04 EDT', 'akiezun'), ('REOPENED', '2003-04-08 13:55:07 EDT', 'akiezun'), ('---', '2003-04-08 13:55:07 EDT', 'akiezun'), ('RESOLVED', '2003-04-09 05:33:44 EDT', 'akiezun'), ('FIXED', '2003-04-09 05:33:44 EDT', 'akiezun'), ('2.1 RC4', '2003-04-09 05:33:44 EDT', 'akiezun')]</t>
  </si>
  <si>
    <t>RESOLVED  DUPLICATE  of bug 12649</t>
  </si>
  <si>
    <t>2002-04-04 12:04:59 EST</t>
  </si>
  <si>
    <t>2002-04-02 11:27 EST</t>
  </si>
  <si>
    <t>2002-04-03 03:23:40 EST</t>
  </si>
  <si>
    <t>[('CREATED', '2002-04-02 11:27 EST'), ('Adam_Kiezun', '2002-04-03 03:23:40 EST', 'akiezun'), ('ASSIGNED', '2002-04-04 03:38:18 EST', 'akiezun'), ('RESOLVED', '2002-04-04 12:04:59 EST', 'akiezun'), ('DUPLICATE', '2002-04-04 12:04:59 EST', 'akiezun')]</t>
  </si>
  <si>
    <t>2003-04-25 10:44:18 EDT</t>
  </si>
  <si>
    <t>2009-08-30 02:21:33 EDT</t>
  </si>
  <si>
    <t>2003-04-25 10:42:55 EDT</t>
  </si>
  <si>
    <t>2002-04-03 11:18 EST</t>
  </si>
  <si>
    <t>2002-04-03 11:40:22 EST</t>
  </si>
  <si>
    <t>[('CREATED', '2002-04-03 11:18 EST'), ('Adam_Kiezun', '2002-04-03 11:40:22 EST', 'akiezun'), ('RESOLVED', '2002-04-03 11:40:42 EST', 'akiezun'), ('LATER', '2002-04-03 11:40:42 EST', 'akiezun'), ('REOPENED', '2003-04-25 10:42:55 EDT', 'akiezun'), ('---', '2003-04-25 10:42:55 EDT', 'akiezun'), ('jdt-ui-inbox', '2003-04-25 10:43:12 EDT', 'akiezun'), ('NEW', '2003-04-25 10:43:12 EDT', 'akiezun'), ('P4', '2003-04-25 10:43:12 EDT', 'akiezun'), ('RESOLVED', '2003-04-25 10:44:18 EDT', 'akiezun'), ('LATER', '2003-04-25 10:44:18 EDT', 'akiezun'), ('Refactoring: drop down with previous values [refactoring]', '2003-04-25 10:45:31 EDT', 'dirk_baeumer'), ('ggregory', '2003-04-25 11:32:24 EDT', 'akiezun'), ('WONTFIX', '2009-08-30 02:21:33 EDT', 'denis.roy')]</t>
  </si>
  <si>
    <t>2002-04-04 03:36:25 EST</t>
  </si>
  <si>
    <t>2002-04-03 17:19 EST</t>
  </si>
  <si>
    <t>2002-04-04 03:27:44 EST</t>
  </si>
  <si>
    <t>[('CREATED', '2002-04-03 17:19 EST'), ('Adam_Kiezun', '2002-04-04 03:27:44 EST', 'akiezun'), ('P1', '2002-04-04 03:28:00 EST', 'akiezun'), ('ASSIGNED', '2002-04-04 03:28:00 EST', 'akiezun'), ('RESOLVED', '2002-04-04 03:36:25 EST', 'akiezun'), ('FIXED', '2002-04-04 03:36:25 EST', 'akiezun')]</t>
  </si>
  <si>
    <t>2002-08-26 09:38:35 EDT</t>
  </si>
  <si>
    <t>2002-07-26 12:44:56 EDT</t>
  </si>
  <si>
    <t>2002-04-04 10:59 EST</t>
  </si>
  <si>
    <t>2002-04-04 12:07:31 EST</t>
  </si>
  <si>
    <t>[('CREATED', '2002-04-04 10:59 EST'), ('Adam_Kiezun', '2002-04-04 12:07:31 EST', 'akiezun'), ('RESOLVED', '2002-04-05 03:40:12 EST', 'akiezun'), ('LATER', '2002-04-05 03:40:12 EST', 'akiezun'), ('2.1', '2002-07-18 10:27:27 EDT', 'akiezun'), ('REOPENED', '2002-07-26 12:44:56 EDT', 'akiezun'), ('---', '2002-07-26 12:44:56 EDT', 'akiezun'), ('---', '2002-07-26 12:45:25 EDT', 'akiezun'), ('P4', '2002-08-20 09:32:16 EDT', 'akiezun'), ('modify parameters: should be enabled if a parameter is selected in the editor [refactoring]', '2002-08-26 08:44:23 EDT', 'akiezun'), ('RESOLVED', '2002-08-26 09:38:35 EDT', 'akiezun'), ('FIXED', '2002-08-26 09:38:35 EDT', 'akiezun')]</t>
  </si>
  <si>
    <t>2002-04-05 14:40:11 EST</t>
  </si>
  <si>
    <t>2002-04-05 14:10 EST</t>
  </si>
  <si>
    <t>2002-04-05 14:22:57 EST</t>
  </si>
  <si>
    <t>jsefler</t>
  </si>
  <si>
    <t>[('CREATED', '2002-04-05 14:10 EST'), ('Erich_Gamma', '2002-04-05 14:22:57 EST', 'dj.houghton'), ('UI', '2002-04-05 14:22:57 EST', 'dj.houghton'), ('JDT', '2002-04-05 14:22:57 EST', 'dj.houghton'), ('RESOLVED', '2002-04-05 14:40:11 EST', 'jsefler'), ('INVALID', '2002-04-05 14:40:11 EST', 'jsefler')]</t>
  </si>
  <si>
    <t>RESOLVED  DUPLICATE  of bug 13741</t>
  </si>
  <si>
    <t>2002-04-24 07:05:08 EDT</t>
  </si>
  <si>
    <t>2002-04-05 18:01 EST</t>
  </si>
  <si>
    <t>2002-04-08 05:48:04 EDT</t>
  </si>
  <si>
    <t>[('CREATED', '2002-04-05 18:01 EST'), ('Adam_Kiezun', '2002-04-08 05:48:04 EDT', 'akiezun'), ('ASSIGNED', '2002-04-11 08:20:34 EDT', 'akiezun'), ('RESOLVED', '2002-04-24 07:05:08 EDT', 'akiezun'), ('DUPLICATE', '2002-04-24 07:05:08 EDT', 'akiezun')]</t>
  </si>
  <si>
    <t>2002-04-08 12:49:40 EDT</t>
  </si>
  <si>
    <t>2002-04-08 12:36 EDT</t>
  </si>
  <si>
    <t>2002-04-08 12:36:40 EDT</t>
  </si>
  <si>
    <t>[('CREATED', '2002-04-08 12:36 EDT'), ('Adam_Kiezun', '2002-04-08 12:36:40 EDT', 'dirk_baeumer'), ('RESOLVED', '2002-04-08 12:49:40 EDT', 'akiezun'), ('FIXED', '2002-04-08 12:49:40 EDT', 'akiezun')]</t>
  </si>
  <si>
    <t>2002-04-16 10:03:38 EDT</t>
  </si>
  <si>
    <t>2002-04-09 10:29 EDT</t>
  </si>
  <si>
    <t>2002-04-09 11:46:32 EDT</t>
  </si>
  <si>
    <t>[('CREATED', '2002-04-09 10:29 EDT'), ('Adam_Kiezun', '2002-04-09 11:46:32 EDT', 'akiezun'), ('ASSIGNED', '2002-04-11 08:22:34 EDT', 'akiezun'), ('P2', '2002-04-11 08:22:34 EDT', 'akiezun'), ('2.0 M6', '2002-04-11 11:47:13 EDT', 'akiezun'), ('RESOLVED', '2002-04-16 10:03:38 EDT', 'akiezun'), ('FIXED', '2002-04-16 10:03:38 EDT', 'akiezun')]</t>
  </si>
  <si>
    <t>2002-04-16 10:03:51 EDT</t>
  </si>
  <si>
    <t>2002-04-09 12:18 EDT</t>
  </si>
  <si>
    <t>2002-04-14 09:09:52 EDT</t>
  </si>
  <si>
    <t>[('CREATED', '2002-04-09 12:18 EDT'), ('Adam_Kiezun', '2002-04-14 09:09:52 EDT', 'erich_gamma'), ('P2', '2002-04-14 09:09:52 EDT', 'erich_gamma'), ('ASSIGNED', '2002-04-16 04:48:04 EDT', 'akiezun'), ('2.0 M6', '2002-04-16 07:34:29 EDT', 'akiezun'), ('RESOLVED', '2002-04-16 10:03:51 EDT', 'akiezun'), ('FIXED', '2002-04-16 10:03:51 EDT', 'akiezun')]</t>
  </si>
  <si>
    <t>2002-05-11 06:31:44 EDT</t>
  </si>
  <si>
    <t>2002-04-09 12:21 EDT</t>
  </si>
  <si>
    <t>2002-04-30 04:22:55 EDT</t>
  </si>
  <si>
    <t>[('CREATED', '2002-04-09 12:21 EDT'), ('Adam_Kiezun', '2002-04-30 04:22:55 EDT', 'martinae'), ('Dirk_Baeumer', '2002-05-11 06:31:19 EDT', 'dirk_baeumer'), ('FIXED', '2002-05-11 06:31:44 EDT', 'dirk_baeumer'), ('2.0 M6', '2002-05-11 06:31:44 EDT', 'dirk_baeumer'), ('RESOLVED', '2002-05-11 06:31:44 EDT', 'dirk_baeumer')]</t>
  </si>
  <si>
    <t>2004-08-13 13:13:00 EDT</t>
  </si>
  <si>
    <t>2004-08-13 13:12:42 EDT</t>
  </si>
  <si>
    <t>2002-04-09 14:59 EDT</t>
  </si>
  <si>
    <t>2002-04-10 04:09:56 EDT</t>
  </si>
  <si>
    <t>[('CREATED', '2002-04-09 14:59 EDT'), ('Adam_Kiezun', '2002-04-10 04:09:56 EDT', 'erich_gamma'), ('ASSIGNED', '2002-04-11 08:12:57 EDT', 'akiezun'), ('P4', '2002-04-16 08:04:09 EDT', 'akiezun'), ('RESOLVED', '2002-04-24 09:18:31 EDT', 'akiezun'), ('LATER', '2002-04-24 09:18:31 EDT', 'akiezun'), ('REOPENED', '2002-07-26 12:45:50 EDT', 'akiezun'), ('---', '2002-07-26 12:45:50 EDT', 'akiezun'), ('String externalization tool does not support the default package [refactoring]', '2002-08-26 08:44:42 EDT', 'akiezun'), ('enhancement', '2002-09-03 06:40:10 EDT', 'akiezun'), ('ASSIGNED', '2002-09-23 13:24:40 EDT', 'akiezun'), ('LATER', '2003-02-20 09:43:34 EST', 'akiezun'), ('RESOLVED', '2003-02-20 09:43:34 EST', 'akiezun'), ('REOPENED', '2003-04-25 10:48:27 EDT', 'akiezun'), ('---', '2003-04-25 10:48:27 EDT', 'akiezun'), ('jdt-ui-inbox', '2003-04-25 10:48:38 EDT', 'akiezun'), ('NEW', '2003-04-25 10:48:38 EDT', 'akiezun'), ('adam_kiezun', '2003-04-25 10:49:26 EDT', 'akiezun'), ('RESOLVED', '2003-04-25 10:49:26 EDT', 'akiezun'), ('LATER', '2003-04-25 10:49:26 EDT', 'akiezun'), ('REOPENED', '2004-08-13 13:12:42 EDT', 'dirk_baeumer'), ('---', '2004-08-13 13:12:42 EDT', 'dirk_baeumer'), ('RESOLVED', '2004-08-13 13:13:00 EDT', 'dirk_baeumer'), ('FIXED', '2004-08-13 13:13:00 EDT', 'dirk_baeumer'), ('3.0', '2004-08-13 13:13:00 EDT', 'dirk_baeumer')]</t>
  </si>
  <si>
    <t>2003-02-20 09:04:17 EST</t>
  </si>
  <si>
    <t>2003-02-26 11:13:09 EST</t>
  </si>
  <si>
    <t>2002-04-10 05:43 EDT</t>
  </si>
  <si>
    <t>2002-05-11 19:05:20 EDT</t>
  </si>
  <si>
    <t>[('CREATED', '2002-04-10 05:43 EDT'), ('ASSIGNED', '2002-05-11 19:05:20 EDT', 'erich_gamma'), ('P2', '2003-02-19 05:18:54 EST', 'erich_gamma'), ('jdt-ui-inbox', '2003-02-19 05:18:54 EST', 'erich_gamma'), ('NEW', '2003-02-19 05:18:54 EST', 'erich_gamma'), ('dirk_baeumer', '2003-02-20 09:02:04 EST', 'dirk_baeumer'), ('RESOLVED', '2003-02-20 09:04:17 EST', 'dirk_baeumer'), ('FIXED', '2003-02-20 09:04:17 EST', 'dirk_baeumer'), ('2.1 RC1', '2003-02-20 09:04:26 EST', 'dirk_baeumer'), ('VERIFIED', '2003-02-26 11:13:09 EST', 'daniel_megert')]</t>
  </si>
  <si>
    <t>13369 (view as bug list)</t>
  </si>
  <si>
    <t>2002-04-11 05:53:26 EDT</t>
  </si>
  <si>
    <t>2002-04-10 06:24 EDT</t>
  </si>
  <si>
    <t>2002-04-10 06:26:51 EDT</t>
  </si>
  <si>
    <t>[('CREATED', '2002-04-10 06:24 EDT'), ('Adam_Kiezun', '2002-04-10 06:26:51 EDT', 'akiezun'), ('critical', '2002-04-10 06:26:51 EDT', 'akiezun'), ('Randy_Giffen', '2002-04-10 11:59:28 EDT', 'akiezun'), ('Adam_Kiezun', '2002-04-10 19:24:17 EDT', 'erich_gamma'), ('P1', '2002-04-10 19:24:17 EDT', 'erich_gamma'), ('2.0 M5', '2002-04-10 19:24:17 EDT', 'erich_gamma'), ('RESOLVED', '2002-04-11 05:53:26 EDT', 'akiezun'), ('FIXED', '2002-04-11 05:53:26 EDT', 'akiezun')]</t>
  </si>
  <si>
    <t>2002-04-10 19:23:23 EDT</t>
  </si>
  <si>
    <t>2002-04-10 06:33 EDT</t>
  </si>
  <si>
    <t>[('CREATED', '2002-04-10 06:33 EDT'), ('RESOLVED', '2002-04-10 19:23:23 EDT', 'erich_gamma'), ('INVALID', '2002-04-10 19:23:23 EDT', 'erich_gamma')]</t>
  </si>
  <si>
    <t>2002-05-02 10:00:22 EDT</t>
  </si>
  <si>
    <t>2002-04-10 07:52 EDT</t>
  </si>
  <si>
    <t>2002-04-10 19:19:19 EDT</t>
  </si>
  <si>
    <t>[('CREATED', '2002-04-10 07:52 EDT'), ('Adam_Kiezun', '2002-04-10 19:19:19 EDT', 'erich_gamma'), ('ASSIGNED', '2002-04-11 08:12:37 EDT', 'akiezun'), ('RESOLVED', '2002-05-02 10:00:22 EDT', 'akiezun'), ('FIXED', '2002-05-02 10:00:22 EDT', 'akiezun')]</t>
  </si>
  <si>
    <t>2002-05-02 06:42:54 EDT</t>
  </si>
  <si>
    <t>2002-04-10 07:59 EDT</t>
  </si>
  <si>
    <t>2002-04-10 08:19:21 EDT</t>
  </si>
  <si>
    <t>[('CREATED', '2002-04-10 07:59 EDT'), ('Adam_Kiezun', '2002-04-10 08:19:21 EDT', 'akiezun'), ('Adam_Kiezun', '2002-05-01 06:46:40 EDT', 'martinae'), ('RESOLVED', '2002-05-02 06:42:54 EDT', 'akiezun'), ('WONTFIX', '2002-05-02 06:42:54 EDT', 'akiezun')]</t>
  </si>
  <si>
    <t>RESOLVED  DUPLICATE  of bug 3926</t>
  </si>
  <si>
    <t>2002-05-02 08:17:49 EDT</t>
  </si>
  <si>
    <t>2002-04-10 08:05 EDT</t>
  </si>
  <si>
    <t>2002-04-30 13:01:43 EDT</t>
  </si>
  <si>
    <t>[('CREATED', '2002-04-10 08:05 EDT'), ('Adam_Kiezun', '2002-04-30 13:01:43 EDT', 'martinae'), ('RESOLVED', '2002-05-02 08:17:49 EDT', 'akiezun'), ('DUPLICATE', '2002-05-02 08:17:49 EDT', 'akiezun')]</t>
  </si>
  <si>
    <t>2002-04-10 10:01:38 EDT</t>
  </si>
  <si>
    <t>2002-04-10 09:31 EDT</t>
  </si>
  <si>
    <t>[('CREATED', '2002-04-10 09:31 EDT'), ('RESOLVED', '2002-04-10 10:01:38 EDT', 'dirk_baeumer'), ('WORKSFORME', '2002-04-10 10:01:38 EDT', 'dirk_baeumer')]</t>
  </si>
  <si>
    <t>12293 (view as bug list)</t>
  </si>
  <si>
    <t>2002-05-16 11:00:05 EDT</t>
  </si>
  <si>
    <t>2002-04-10 09:39 EDT</t>
  </si>
  <si>
    <t>2002-04-10 18:54:24 EDT</t>
  </si>
  <si>
    <t>[('CREATED', '2002-04-10 09:39 EDT'), ('Dirk_Baeumer', '2002-04-10 18:54:24 EDT', 'erich_gamma'), ('P2', '2002-04-10 18:54:24 EDT', 'erich_gamma'), ('preuss', '2002-04-24 06:48:56 EDT', 'dirk_baeumer'), ('Adam_Kiezun', '2002-04-26 13:37:21 EDT', 'dirk_baeumer'), ('Adam_Kiezun', '2002-04-26 13:45:20 EDT', 'akiezun'), ('Claude_Knaus', '2002-04-26 13:45:20 EDT', 'akiezun'), ('ASSIGNED', '2002-04-29 11:46:36 EDT', 'Claude_Knaus'), ('RESOLVED', '2002-05-16 11:00:05 EDT', 'Claude_Knaus'), ('FIXED', '2002-05-16 11:00:05 EDT', 'Claude_Knaus')]</t>
  </si>
  <si>
    <t>2002-04-11 11:59:16 EDT</t>
  </si>
  <si>
    <t>2002-04-10 10:50 EDT</t>
  </si>
  <si>
    <t>2002-04-10 11:08:21 EDT</t>
  </si>
  <si>
    <t>[('CREATED', '2002-04-10 10:50 EDT'), ('critical', '2002-04-10 11:08:21 EDT', 'daniel_megert'), ('Problem in Search/Decorating labelproviders - was: Java Browsing: Package disapears after rename', '2002-04-10 11:08:21 EDT', 'daniel_megert'), ('Daniel_Megert', '2002-04-10 18:26:49 EDT', 'erich_gamma'), ('P1', '2002-04-10 18:26:49 EDT', 'erich_gamma'), ('2.0 M5', '2002-04-10 18:26:49 EDT', 'erich_gamma'), ('RESOLVED', '2002-04-11 11:59:16 EDT', 'daniel_megert'), ('FIXED', '2002-04-11 11:59:16 EDT', 'daniel_megert')]</t>
  </si>
  <si>
    <t>2002-04-26 13:34:15 EDT</t>
  </si>
  <si>
    <t>2002-04-11 08:09 EDT</t>
  </si>
  <si>
    <t>2002-04-12 03:24:48 EDT</t>
  </si>
  <si>
    <t>[('CREATED', '2002-04-11 08:09 EDT'), ('P2', '2002-04-12 03:24:48 EDT', 'erich_gamma'), ('Dirk_Baeumer', '2002-04-13 12:01:36 EDT', 'erich_gamma'), ('RESOLVED', '2002-04-26 13:34:15 EDT', 'dirk_baeumer'), ('FIXED', '2002-04-26 13:34:15 EDT', 'dirk_baeumer'), ('2.0 M6', '2002-04-26 13:34:15 EDT', 'dirk_baeumer')]</t>
  </si>
  <si>
    <t>13533 (view as bug list)</t>
  </si>
  <si>
    <t>2002-04-16 04:47:37 EDT</t>
  </si>
  <si>
    <t>2002-04-11 09:41 EDT</t>
  </si>
  <si>
    <t>2002-04-11 09:47:17 EDT</t>
  </si>
  <si>
    <t>[('CREATED', '2002-04-11 09:41 EDT'), ('Adam_Kiezun', '2002-04-11 09:47:17 EDT', 'akiezun'), ('Adam_Kiezun', '2002-04-11 12:38:20 EDT', 'akiezun'), ('RESOLVED', '2002-04-16 04:47:37 EDT', 'akiezun'), ('FIXED', '2002-04-16 04:47:37 EDT', 'akiezun')]</t>
  </si>
  <si>
    <t>2002-04-15 08:55:39 EDT</t>
  </si>
  <si>
    <t>2002-04-11 11:22 EDT</t>
  </si>
  <si>
    <t>2002-04-13 12:00:57 EDT</t>
  </si>
  <si>
    <t>[('CREATED', '2002-04-11 11:22 EDT'), ('Dirk_Baeumer', '2002-04-13 12:00:57 EDT', 'erich_gamma'), ('RESOLVED', '2002-04-15 08:55:39 EDT', 'dirk_baeumer'), ('FIXED', '2002-04-15 08:55:39 EDT', 'dirk_baeumer')]</t>
  </si>
  <si>
    <t>RESOLVED  DUPLICATE  of bug 13512</t>
  </si>
  <si>
    <t>2002-04-11 12:38:02 EDT</t>
  </si>
  <si>
    <t>2002-04-11 11:52 EDT</t>
  </si>
  <si>
    <t>[('CREATED', '2002-04-11 11:52 EDT'), ('RESOLVED', '2002-04-11 12:38:02 EDT', 'akiezun'), ('DUPLICATE', '2002-04-11 12:38:02 EDT', 'akiezun')]</t>
  </si>
  <si>
    <t>2002-04-29 06:34:53 EDT</t>
  </si>
  <si>
    <t>2002-04-11 14:01 EDT</t>
  </si>
  <si>
    <t>2002-04-11 14:02:40 EDT</t>
  </si>
  <si>
    <t>[('CREATED', '2002-04-11 14:01 EDT'), ('move cu with ref update broken', '2002-04-11 14:02:40 EDT', 'akiezun'), ('critical', '2002-04-11 14:09:08 EDT', 'akiezun'), ('Adam_Kiezun', '2002-04-13 12:00:07 EDT', 'erich_gamma'), ('P1', '2002-04-13 12:00:07 EDT', 'erich_gamma'), ('ASSIGNED', '2002-04-23 10:26:23 EDT', 'akiezun'), ('RESOLVED', '2002-04-29 06:34:53 EDT', 'akiezun'), ('FIXED', '2002-04-29 06:34:53 EDT', 'akiezun')]</t>
  </si>
  <si>
    <t>2002-04-12 08:33:00 EDT</t>
  </si>
  <si>
    <t>2002-04-12 04:56 EDT</t>
  </si>
  <si>
    <t>2002-04-12 04:56:36 EDT</t>
  </si>
  <si>
    <t>[('CREATED', '2002-04-12 04:56 EDT'), ('Adam_Kiezun', '2002-04-12 04:56:36 EDT', 'akiezun'), ('RESOLVED', '2002-04-12 08:33:00 EDT', 'erich_gamma'), ('INVALID', '2002-04-12 08:33:00 EDT', 'erich_gamma')]</t>
  </si>
  <si>
    <t>2002-04-16 11:45:41 EDT</t>
  </si>
  <si>
    <t>2002-04-12 05:44 EDT</t>
  </si>
  <si>
    <t>2002-04-12 06:20:11 EDT</t>
  </si>
  <si>
    <t>[('CREATED', '2002-04-12 05:44 EDT'), ('ASSIGNED', '2002-04-12 06:20:11 EDT', 'akiezun'), ('2.0 M6', '2002-04-12 06:20:24 EDT', 'akiezun'), ('RESOLVED', '2002-04-16 11:45:41 EDT', 'akiezun'), ('FIXED', '2002-04-16 11:45:41 EDT', 'akiezun')]</t>
  </si>
  <si>
    <t>2004-08-13 13:13:58 EDT</t>
  </si>
  <si>
    <t>2004-08-13 13:13:42 EDT</t>
  </si>
  <si>
    <t>2002-04-12 09:16 EDT</t>
  </si>
  <si>
    <t>2002-04-16 04:47:05 EDT</t>
  </si>
  <si>
    <t>[('CREATED', '2002-04-12 09:16 EDT'), ('ASSIGNED', '2002-04-16 04:47:05 EDT', 'akiezun'), ('P4', '2002-04-16 07:48:07 EDT', 'akiezun'), ('RESOLVED', '2002-04-24 09:16:27 EDT', 'akiezun'), ('LATER', '2002-04-24 09:16:27 EDT', 'akiezun'), ('REOPENED', '2002-07-26 12:37:42 EDT', 'akiezun'), ('---', '2002-07-26 12:37:42 EDT', 'akiezun'), ('nls tool: insert leading new line in .properties [refactoring]', '2002-08-26 08:45:07 EDT', 'akiezun'), ('RESOLVED', '2002-09-05 09:37:08 EDT', 'akiezun'), ('LATER', '2002-09-05 09:37:08 EDT', 'akiezun'), ('CLOSED', '2003-04-09 05:52:58 EDT', 'akiezun'), ('REOPENED', '2004-08-13 13:13:42 EDT', 'dirk_baeumer'), ('---', '2004-08-13 13:13:42 EDT', 'dirk_baeumer'), ('RESOLVED', '2004-08-13 13:13:58 EDT', 'dirk_baeumer'), ('WONTFIX', '2004-08-13 13:13:58 EDT', 'dirk_baeumer')]</t>
  </si>
  <si>
    <t>2002-04-24 08:02:36 EDT</t>
  </si>
  <si>
    <t>2002-04-12 14:26 EDT</t>
  </si>
  <si>
    <t>2002-04-13 08:50:13 EDT</t>
  </si>
  <si>
    <t>[('CREATED', '2002-04-12 14:26 EDT'), ('Adam_Kiezun', '2002-04-13 08:50:13 EDT', 'erich_gamma'), ('P1', '2002-04-13 08:50:13 EDT', 'erich_gamma'), ('ASSIGNED', '2002-04-13 09:29:28 EDT', 'akiezun'), ('P2', '2002-04-16 07:51:15 EDT', 'akiezun'), ('RESOLVED', '2002-04-24 08:02:36 EDT', 'akiezun'), ('WORKSFORME', '2002-04-24 08:02:36 EDT', 'akiezun')]</t>
  </si>
  <si>
    <t>2003-04-28 06:03:15 EDT</t>
  </si>
  <si>
    <t>2009-08-30 02:36:58 EDT</t>
  </si>
  <si>
    <t>2002-04-12 14:39 EDT</t>
  </si>
  <si>
    <t>2002-04-12 15:19:09 EDT</t>
  </si>
  <si>
    <t>[('CREATED', '2002-04-12 14:39 EDT'), ('Erich_Gamma', '2002-04-12 15:19:09 EDT', 'dj.houghton'), ('UI', '2002-04-12 15:19:09 EDT', 'dj.houghton'), ('JDT', '2002-04-12 15:19:09 EDT', 'dj.houghton'), ('RESOLVED', '2002-04-13 08:42:10 EDT', 'erich_gamma'), ('LATER', '2002-04-13 08:42:10 EDT', 'erich_gamma'), ('helpwanted', '2002-07-23 12:32:59 EDT', 'dirk_baeumer'), ('Design Pattern Refactorings [refactoring]', '2002-07-24 08:37:41 EDT', 'dirk_baeumer'), ('jdt-ui-inbox', '2002-09-12 09:39:57 EDT', 'dirk_baeumer'), ('NEW', '2002-09-12 09:39:57 EDT', 'dirk_baeumer'), ('ASSIGNED', '2002-09-12 10:04:59 EDT', 'dirk_baeumer'), ('RESOLVED', '2003-04-28 06:03:15 EDT', 'dirk_baeumer'), ('gunnar', '2005-10-02 09:19:57 EDT', 'gunnar'), ('WONTFIX', '2009-08-30 02:36:58 EDT', 'webmaster')]</t>
  </si>
  <si>
    <t>12913 (view as bug list)</t>
  </si>
  <si>
    <t>2002-04-30 08:46:28 EDT</t>
  </si>
  <si>
    <t>2002-04-13 08:48 EDT</t>
  </si>
  <si>
    <t>2002-04-16 04:46:50 EDT</t>
  </si>
  <si>
    <t>[('CREATED', '2002-04-13 08:48 EDT'), ('ASSIGNED', '2002-04-16 04:46:50 EDT', 'akiezun'), ('sridhar', '2002-04-24 07:05:08 EDT', 'akiezun'), ('RESOLVED', '2002-04-30 08:46:28 EDT', 'akiezun'), ('FIXED', '2002-04-30 08:46:28 EDT', 'akiezun')]</t>
  </si>
  <si>
    <t>14138 (view as bug list)</t>
  </si>
  <si>
    <t>2002-04-29 06:44:12 EDT</t>
  </si>
  <si>
    <t>2002-04-15 23:18 EDT</t>
  </si>
  <si>
    <t>2002-04-15 23:18:59 EDT</t>
  </si>
  <si>
    <t>[('CREATED', '2002-04-15 23:18 EDT'), ('paulacox', '2002-04-15 23:18:59 EDT', 'paulacox'), ('Jerome_Lanneluc', '2002-04-16 03:21:23 EDT', 'philippe_mulet'), ('2.0 M6', '2002-04-16 03:21:23 EDT', 'philippe_mulet'), ('Erich_Gamma', '2002-04-19 06:24:34 EDT', 'jerome_lanneluc'), ('UI', '2002-04-19 06:24:34 EDT', 'jerome_lanneluc'), ('Adam_Kiezun', '2002-04-26 12:57:12 EDT', 'martinae'), ('bberkow', '2002-04-26 13:38:52 EDT', 'akiezun'), ('RESOLVED', '2002-04-29 06:44:12 EDT', 'akiezun'), ('WORKSFORME', '2002-04-29 06:44:12 EDT', 'akiezun')]</t>
  </si>
  <si>
    <t>2003-05-05 10:14:57 EDT</t>
  </si>
  <si>
    <t>2003-04-08 13:56:36 EDT</t>
  </si>
  <si>
    <t>2002-04-16 10:02 EDT</t>
  </si>
  <si>
    <t>2002-04-16 10:02:06 EDT</t>
  </si>
  <si>
    <t>[('CREATED', '2002-04-16 10:02 EDT'), ('Adam_Kiezun', '2002-04-16 10:02:06 EDT', 'akiezun'), ('Andre_Weinand', '2002-04-23 06:10:58 EDT', 'erich_gamma'), ('Adam_Kiezun', '2002-04-23 06:17:21 EDT', 'akiezun'), ('LATER', '2002-04-25 09:17:42 EDT', 'akiezun'), ('RESOLVED', '2002-04-25 09:17:42 EDT', 'akiezun'), ('REOPENED', '2003-04-08 13:56:36 EDT', 'akiezun'), ('---', '2003-04-08 13:56:36 EDT', 'akiezun'), ('NLS tool - not optimized for self hosting [refactoring]', '2003-04-25 13:14:13 EDT', 'akiezun'), ('ASSIGNED', '2003-04-25 13:23:56 EDT', 'akiezun'), ('P2', '2003-04-25 13:25:17 EDT', 'akiezun'), ('RESOLVED', '2003-05-05 10:14:57 EDT', 'akiezun'), ('FIXED', '2003-05-05 10:14:57 EDT', 'akiezun')]</t>
  </si>
  <si>
    <t>2002-04-19 12:10:54 EDT</t>
  </si>
  <si>
    <t>2002-04-18 07:03 EDT</t>
  </si>
  <si>
    <t>2002-04-18 12:00:12 EDT</t>
  </si>
  <si>
    <t>[('CREATED', '2002-04-18 07:03 EDT'), ('Daniel_Megert', '2002-04-18 12:00:12 EDT', 'erich_gamma'), ('P2', '2002-04-18 12:00:12 EDT', 'erich_gamma'), ('RESOLVED', '2002-04-19 12:10:54 EDT', 'daniel_megert'), ('FIXED', '2002-04-19 12:10:54 EDT', 'daniel_megert'), ('2.0 M6', '2002-04-19 12:10:54 EDT', 'daniel_megert')]</t>
  </si>
  <si>
    <t>2002-04-18 11:34:42 EDT</t>
  </si>
  <si>
    <t>2002-04-18 09:53 EDT</t>
  </si>
  <si>
    <t>[('CREATED', '2002-04-18 09:53 EDT'), ('RESOLVED', '2002-04-18 11:34:42 EDT', 'akiezun'), ('DUPLICATE', '2002-04-18 11:34:42 EDT', 'akiezun')]</t>
  </si>
  <si>
    <t>14031 14629 (view as bug list)</t>
  </si>
  <si>
    <t>2002-04-24 12:38:04 EDT</t>
  </si>
  <si>
    <t>2002-04-18 12:55 EDT</t>
  </si>
  <si>
    <t>2002-04-23 05:54:56 EDT</t>
  </si>
  <si>
    <t>2002-04-25 12:03:36 EDT</t>
  </si>
  <si>
    <t>[('CREATED', '2002-04-18 12:55 EDT'), ('hudsonr', '2002-04-23 05:54:56 EDT', 'erich_gamma'), ('ASSIGNED', '2002-04-23 10:25:47 EDT', 'akiezun'), ('RESOLVED', '2002-04-24 12:38:04 EDT', 'akiezun'), ('FIXED', '2002-04-24 12:38:04 EDT', 'akiezun'), ('david_whiteman', '2002-04-25 12:03:36 EDT', 'akiezun')]</t>
  </si>
  <si>
    <t>RESOLVED  DUPLICATE  of bug 13856</t>
  </si>
  <si>
    <t>2002-04-26 13:38:52 EDT</t>
  </si>
  <si>
    <t>2002-04-18 13:09 EDT</t>
  </si>
  <si>
    <t>2002-04-18 13:09:12 EDT</t>
  </si>
  <si>
    <t>[('CREATED', '2002-04-18 13:09 EDT'), ('jcagle', '2002-04-18 13:09:12 EDT', 'jcagle'), ('adam_kiezun', '2002-04-18 16:16:11 EDT', 'akiezun'), ('paulacox', '2002-04-18 18:05:12 EDT', 'paulacox'), ('Adam_Kiezun', '2002-04-26 12:41:44 EDT', 'martinae'), ('RESOLVED', '2002-04-26 13:38:52 EDT', 'akiezun'), ('DUPLICATE', '2002-04-26 13:38:52 EDT', 'akiezun')]</t>
  </si>
  <si>
    <t>5171 (view as bug list)</t>
  </si>
  <si>
    <t>2003-02-05 10:49:14 EST</t>
  </si>
  <si>
    <t>2009-08-30 02:13:41 EDT</t>
  </si>
  <si>
    <t>2002-08-13 10:59:32 EDT</t>
  </si>
  <si>
    <t>2002-04-19 11:10 EDT</t>
  </si>
  <si>
    <t>2002-04-23 04:27:54 EDT</t>
  </si>
  <si>
    <t>[('CREATED', '2002-04-19 11:10 EDT'), ('Dirk_Baeumer', '2002-04-23 04:27:54 EDT', 'erich_gamma'), ('RESOLVED', '2002-04-23 04:37:12 EDT', 'dirk_baeumer'), ('LATER', '2002-04-23 04:37:12 EDT', 'dirk_baeumer'), ('Erich_Gamma', '2002-04-23 04:37:12 EDT', 'dirk_baeumer'), ('REOPENED', '2002-08-13 10:59:32 EDT', 'dirk_baeumer'), ('---', '2002-08-13 10:59:32 EDT', 'dirk_baeumer'), ('JavaModelException wrapping JavaModelExceptions [refactoring]', '2002-08-13 10:59:32 EDT', 'dirk_baeumer'), ('Erich_Gamma', '2002-08-13 10:59:51 EDT', 'dirk_baeumer'), ('NEW', '2002-08-13 10:59:51 EDT', 'dirk_baeumer'), ('jdt-ui-inbox', '2002-09-12 09:32:04 EDT', 'dirk_baeumer'), ('ASSIGNED', '2002-09-12 10:06:55 EDT', 'dirk_baeumer'), ('Dirk_Baeumer', '2002-09-18 11:16:23 EDT', 'dirk_baeumer'), ('RESOLVED', '2003-02-05 10:49:14 EST', 'dirk_baeumer'), ('LATER', '2003-02-05 10:49:14 EST', 'dirk_baeumer'), ('WONTFIX', '2009-08-30 02:13:41 EDT', 'denis.roy')]</t>
  </si>
  <si>
    <t>2002-04-22 04:32:33 EDT</t>
  </si>
  <si>
    <t>2002-04-21 20:02 EDT</t>
  </si>
  <si>
    <t>2002-04-21 20:02:19 EDT</t>
  </si>
  <si>
    <t>[('CREATED', '2002-04-21 20:02 EDT'), ('k_scheglov', '2002-04-21 20:02:19 EDT', 'Konstantin.Scheglov'), ('Erich_Gamma', '2002-04-22 04:30:32 EDT', 'akiezun'), ('UI', '2002-04-22 04:30:32 EDT', 'akiezun'), ('RESOLVED', '2002-04-22 04:32:33 EDT', 'akiezun'), ('DUPLICATE', '2002-04-22 04:32:33 EDT', 'akiezun')]</t>
  </si>
  <si>
    <t>2003-04-01 05:41:35 EST</t>
  </si>
  <si>
    <t>2002-04-21 20:08 EDT</t>
  </si>
  <si>
    <t>2002-04-21 20:08:13 EDT</t>
  </si>
  <si>
    <t>[('CREATED', '2002-04-21 20:08 EDT'), ('k_scheglov', '2002-04-21 20:08:13 EDT', 'Konstantin.Scheglov'), ('UI', '2002-04-22 04:30:52 EDT', 'akiezun'), ('Erich_Gamma', '2002-04-22 04:30:52 EDT', 'akiezun'), ('dirk_baeumer', '2002-04-23 03:55:48 EDT', 'erich_gamma'), ('RESOLVED', '2002-04-23 03:55:48 EDT', 'erich_gamma'), ('helpwanted', '2002-04-23 03:55:48 EDT', 'erich_gamma'), ('LATER', '2002-04-23 03:55:48 EDT', 'erich_gamma'), ('hklingsp', '2002-04-23 03:55:48 EDT', 'hklingsp'), ('mqualizza', '2002-04-23 03:55:48 EDT', 'mlq.eclipse'), ('dulci', '2002-04-23 03:55:48 EDT', 'dulci'), ('Refactoring: Create and maintain delegate methods [refactoring]', '2002-07-24 08:37:48 EDT', 'dirk_baeumer'), ('jdt-ui-inbox', '2002-09-12 09:42:15 EDT', 'dirk_baeumer'), ('NEW', '2002-09-12 09:42:15 EDT', 'dirk_baeumer'), ('ASSIGNED', '2002-09-12 10:10:45 EDT', 'dirk_baeumer'), ('RESOLVED', '2003-04-01 05:41:35 EST', 'martinae'), ('FIXED', '2003-04-01 05:41:35 EST', 'martinae')]</t>
  </si>
  <si>
    <t>2003-02-20 13:59:57 EST</t>
  </si>
  <si>
    <t>2003-02-20 04:13:56 EST</t>
  </si>
  <si>
    <t>2003-02-20 09:18:57 EST</t>
  </si>
  <si>
    <t>2002-04-22 05:56 EDT</t>
  </si>
  <si>
    <t>2002-04-23 18:41:23 EDT</t>
  </si>
  <si>
    <t>[('CREATED', '2002-04-22 05:56 EDT'), ('Platform', '2002-04-23 18:41:23 EDT', 'philippe_mulet'), ('Erich_Gamma', '2002-04-23 18:41:58 EDT', 'philippe_mulet'), ('UI', '2002-04-23 18:41:58 EDT', 'philippe_mulet'), ('JDT', '2002-04-23 18:41:58 EDT', 'philippe_mulet'), ('ASSIGNED', '2002-05-11 15:41:29 EDT', 'erich_gamma'), ('preuss', '2002-05-11 15:41:29 EDT', 'preuss'), ('RESOLVED', '2003-02-20 04:13:56 EST', 'erich_gamma'), ('INVALID', '2003-02-20 04:13:56 EST', 'erich_gamma'), ('JUnit - TestSuite recreation not available in Browsing Perspective', '2003-02-20 04:13:56 EST', 'erich_gamma'), ('REOPENED', '2003-02-20 09:18:57 EST', 'erich_gamma'), ('---', '2003-02-20 09:18:57 EST', 'erich_gamma'), ('JUnit - TestSuite should not include Abstract classes', '2003-02-20 09:18:57 EST', 'erich_gamma'), ('adam_kiezun', '2003-02-20 09:19:36 EST', 'erich_gamma'), ('NEW', '2003-02-20 09:19:36 EST', 'erich_gamma'), ('ASSIGNED', '2003-02-20 09:38:12 EST', 'akiezun'), ('2.1 RC2', '2003-02-20 09:38:12 EST', 'akiezun'), ('adam_kiezun', '2003-02-20 10:50:29 EST', 'akiezun'), ('erich_gamma', '2003-02-20 10:50:29 EST', 'akiezun'), ('NEW', '2003-02-20 10:50:29 EST', 'akiezun'), ('RESOLVED', '2003-02-20 13:59:57 EST', 'erich_gamma'), ('FIXED', '2003-02-20 13:59:57 EST', 'erich_gamma'), ('2.1 RC1', '2003-02-20 13:59:57 EST', 'erich_gamma')]</t>
  </si>
  <si>
    <t>2002-04-23 09:08:00 EDT</t>
  </si>
  <si>
    <t>2002-04-23 03:26 EDT</t>
  </si>
  <si>
    <t>[('CREATED', '2002-04-23 03:26 EDT'), ('RESOLVED', '2002-04-23 09:08:00 EDT', 'daniel_megert'), ('WORKSFORME', '2002-04-23 09:08:00 EDT', 'daniel_megert')]</t>
  </si>
  <si>
    <t>2002-04-26 13:08:42 EDT</t>
  </si>
  <si>
    <t>2002-04-23 04:22 EDT</t>
  </si>
  <si>
    <t>2002-04-26 12:22:54 EDT</t>
  </si>
  <si>
    <t>[('CREATED', '2002-04-23 04:22 EDT'), ('Dirk_Baeumer', '2002-04-26 12:22:54 EDT', 'martinae'), ('WORKSFORME', '2002-04-26 13:08:42 EDT', 'dirk_baeumer'), ('RESOLVED', '2002-04-26 13:08:42 EDT', 'dirk_baeumer')]</t>
  </si>
  <si>
    <t>2002-05-02 08:03:23 EDT</t>
  </si>
  <si>
    <t>2002-04-23 10:28 EDT</t>
  </si>
  <si>
    <t>2002-04-26 12:18:53 EDT</t>
  </si>
  <si>
    <t>[('CREATED', '2002-04-23 10:28 EDT'), ('Martin_Aeschlimann', '2002-04-26 12:18:53 EDT', 'martinae'), ('Adam_Kiezun', '2002-04-30 13:28:25 EDT', 'martinae'), ('Dirk_Baeumer', '2002-05-02 06:29:27 EDT', 'akiezun'), ('RESOLVED', '2002-05-02 08:03:23 EDT', 'dirk_baeumer'), ('FIXED', '2002-05-02 08:03:23 EDT', 'dirk_baeumer')]</t>
  </si>
  <si>
    <t>2002-05-29 11:40:46 EDT</t>
  </si>
  <si>
    <t>2002-04-23 12:54 EDT</t>
  </si>
  <si>
    <t>2002-04-26 12:13:55 EDT</t>
  </si>
  <si>
    <t>[('CREATED', '2002-04-23 12:54 EDT'), ('Adam_Kiezun', '2002-04-26 12:13:55 EDT', 'martinae'), ('ASSIGNED', '2002-04-29 05:26:37 EDT', 'akiezun'), ('RESOLVED', '2002-05-29 11:40:46 EDT', 'akiezun'), ('WORKSFORME', '2002-05-29 11:40:46 EDT', 'akiezun')]</t>
  </si>
  <si>
    <t>14470 14505 14631 (view as bug list)</t>
  </si>
  <si>
    <t>2002-04-24 04:35:43 EDT</t>
  </si>
  <si>
    <t>2002-04-23 19:28 EDT</t>
  </si>
  <si>
    <t>2002-04-24 04:29:58 EDT</t>
  </si>
  <si>
    <t>2002-04-25 12:14:15 EDT</t>
  </si>
  <si>
    <t>[('CREATED', '2002-04-23 19:28 EDT'), ('Adam_Kiezun', '2002-04-24 04:29:58 EDT', 'akiezun'), ('P1', '2002-04-24 04:29:58 EDT', 'akiezun'), ('dejan', '2002-04-24 04:30:53 EDT', 'akiezun'), ('RESOLVED', '2002-04-24 04:35:43 EDT', 'akiezun'), ('FIXED', '2002-04-24 04:35:43 EDT', 'akiezun'), ('Darin_Wright', '2002-04-24 09:50:12 EDT', 'akiezun'), ('jared-eclipse', '2002-04-25 12:14:15 EDT', 'akiezun')]</t>
  </si>
  <si>
    <t>RESOLVED  DUPLICATE  of bug 14465</t>
  </si>
  <si>
    <t>2002-04-24 04:30:53 EDT</t>
  </si>
  <si>
    <t>2002-04-23 21:17 EDT</t>
  </si>
  <si>
    <t>[('CREATED', '2002-04-23 21:17 EDT'), ('RESOLVED', '2002-04-24 04:30:53 EDT', 'akiezun'), ('DUPLICATE', '2002-04-24 04:30:53 EDT', 'akiezun')]</t>
  </si>
  <si>
    <t>2002-04-24 09:50:12 EDT</t>
  </si>
  <si>
    <t>2002-04-24 09:46 EDT</t>
  </si>
  <si>
    <t>[('CREATED', '2002-04-24 09:46 EDT'), ('RESOLVED', '2002-04-24 09:50:12 EDT', 'akiezun'), ('DUPLICATE', '2002-04-24 09:50:12 EDT', 'akiezun')]</t>
  </si>
  <si>
    <t>2002-04-24 13:06:08 EDT</t>
  </si>
  <si>
    <t>2002-04-24 12:47 EDT</t>
  </si>
  <si>
    <t>2002-04-24 12:47:50 EDT</t>
  </si>
  <si>
    <t>[('CREATED', '2002-04-24 12:47 EDT'), ('2.0 M6', '2002-04-24 12:47:50 EDT', 'erich_gamma'), ('RESOLVED', '2002-04-24 13:06:08 EDT', 'akiezun'), ('FIXED', '2002-04-24 13:06:08 EDT', 'akiezun')]</t>
  </si>
  <si>
    <t>2002-04-29 05:21:44 EDT</t>
  </si>
  <si>
    <t>2002-04-25 05:36 EDT</t>
  </si>
  <si>
    <t>2002-04-26 10:35:43 EDT</t>
  </si>
  <si>
    <t>[('CREATED', '2002-04-25 05:36 EDT'), ('Adam_Kiezun', '2002-04-26 10:35:43 EDT', 'martinae'), ('ASSIGNED', '2002-04-26 13:32:12 EDT', 'akiezun'), ('P1', '2002-04-26 13:32:12 EDT', 'akiezun'), ('WORKSFORME', '2002-04-29 05:21:44 EDT', 'akiezun'), ('RESOLVED', '2002-04-29 05:21:44 EDT', 'akiezun')]</t>
  </si>
  <si>
    <t>2002-05-29 11:34:13 EDT</t>
  </si>
  <si>
    <t>2002-04-25 06:49 EDT</t>
  </si>
  <si>
    <t>2002-05-02 19:54:42 EDT</t>
  </si>
  <si>
    <t>[('CREATED', '2002-04-25 06:49 EDT'), ('Adam_Kiezun', '2002-05-02 19:54:42 EDT', 'erich_gamma'), ('ASSIGNED', '2002-05-06 10:53:50 EDT', 'akiezun'), ('RESOLVED', '2002-05-29 11:34:13 EDT', 'akiezun'), ('FIXED', '2002-05-29 11:34:13 EDT', 'akiezun')]</t>
  </si>
  <si>
    <t>RESOLVED  DUPLICATE  of bug 14135</t>
  </si>
  <si>
    <t>2002-04-25 12:00 EDT</t>
  </si>
  <si>
    <t>[('CREATED', '2002-04-25 12:00 EDT'), ('RESOLVED', '2002-04-25 12:03:36 EDT', 'akiezun'), ('DUPLICATE', '2002-04-25 12:03:36 EDT', 'akiezun')]</t>
  </si>
  <si>
    <t>2002-04-25 12:05 EDT</t>
  </si>
  <si>
    <t>[('CREATED', '2002-04-25 12:05 EDT'), ('RESOLVED', '2002-04-25 12:14:15 EDT', 'akiezun'), ('DUPLICATE', '2002-04-25 12:14:15 EDT', 'akiezun')]</t>
  </si>
  <si>
    <t>2002-09-05 08:17:52 EDT</t>
  </si>
  <si>
    <t>2002-04-25 12:50 EDT</t>
  </si>
  <si>
    <t>2002-05-02 06:55:02 EDT</t>
  </si>
  <si>
    <t>[('CREATED', '2002-04-25 12:50 EDT'), ('ASSIGNED', '2002-05-02 06:55:02 EDT', 'akiezun'), ('exception in log [ccp]', '2002-08-26 08:45:24 EDT', 'akiezun'), ('RESOLVED', '2002-09-05 08:17:52 EDT', 'akiezun'), ('WORKSFORME', '2002-09-05 08:17:52 EDT', 'akiezun')]</t>
  </si>
  <si>
    <t>2002-05-03 11:34:28 EDT</t>
  </si>
  <si>
    <t>2002-04-26 15:04 EDT</t>
  </si>
  <si>
    <t>2002-04-29 17:14:18 EDT</t>
  </si>
  <si>
    <t>[('CREATED', '2002-04-26 15:04 EDT'), ('Dirk_Baeumer', '2002-04-29 17:14:18 EDT', 'martinae'), ('RESOLVED', '2002-05-03 11:34:28 EDT', 'dirk_baeumer'), ('FIXED', '2002-05-03 11:34:28 EDT', 'dirk_baeumer'), ('2.0 M6', '2002-05-03 11:34:28 EDT', 'dirk_baeumer')]</t>
  </si>
  <si>
    <t>2002-06-04 12:26:40 EDT</t>
  </si>
  <si>
    <t>2002-04-29 05:09 EDT</t>
  </si>
  <si>
    <t>2002-04-30 04:52:20 EDT</t>
  </si>
  <si>
    <t>[('CREATED', '2002-04-29 05:09 EDT'), ('Kai-Uwe_Maetzel', '2002-04-30 04:52:20 EDT', 'martinae'), ('RESOLVED', '2002-06-04 12:26:40 EDT', 'kai-uwe_maetzel'), ('FIXED', '2002-06-04 12:26:40 EDT', 'kai-uwe_maetzel')]</t>
  </si>
  <si>
    <t>20201 (view as bug list)</t>
  </si>
  <si>
    <t>2002-10-22 10:11:24 EDT</t>
  </si>
  <si>
    <t>2002-11-14 06:33:44 EST</t>
  </si>
  <si>
    <t>2002-10-01 05:46:22 EDT</t>
  </si>
  <si>
    <t>2002-04-29 06:23 EDT</t>
  </si>
  <si>
    <t>2002-04-29 16:38:18 EDT</t>
  </si>
  <si>
    <t>[('CREATED', '2002-04-29 06:23 EDT'), ('Martin_Aeschlimann', '2002-04-29 16:38:18 EDT', 'martinae'), ('RESOLVED', '2002-05-31 04:35:50 EDT', 'erich_gamma'), ('LATER', '2002-05-31 04:35:50 EDT', 'erich_gamma'), ('---', '2002-10-01 05:46:22 EDT', 'daniel_megert'), ('REOPENED', '2002-10-01 05:46:22 EDT', 'daniel_megert'), ('Adam_Kiezun', '2002-10-01 05:46:37 EDT', 'daniel_megert'), ('NEW', '2002-10-01 05:46:37 EDT', 'daniel_megert'), ('Daniel_Megert', '2002-10-05 11:25:47 EDT', 'martinae'), ('Martin_Aeschlimann', '2002-10-11 10:56:02 EDT', 'akiezun'), ('Adam_Kiezun', '2002-10-14 10:36:29 EDT', 'martinae'), ('Martin_Aeschlimann', '2002-10-16 08:35:17 EDT', 'akiezun'), ('RESOLVED', '2002-10-22 10:11:24 EDT', 'martinae'), ('FIXED', '2002-10-22 10:11:24 EDT', 'martinae'), ('quick fix: offer marking strings as non-nls [quick fix]', '2002-10-22 10:11:24 EDT', 'martinae'), ('2.1 M3', '2002-10-22 10:11:24 EDT', 'martinae'), ('VERIFIED', '2002-11-14 06:33:44 EST', 'dirk_baeumer')]</t>
  </si>
  <si>
    <t>2002-05-03 08:52:06 EDT</t>
  </si>
  <si>
    <t>2002-04-29 11:40 EDT</t>
  </si>
  <si>
    <t>2002-04-29 16:21:31 EDT</t>
  </si>
  <si>
    <t>[('CREATED', '2002-04-29 11:40 EDT'), ('Dirk_Baeumer', '2002-04-29 16:21:31 EDT', 'martinae'), ('RESOLVED', '2002-05-03 08:52:06 EDT', 'dirk_baeumer'), ('FIXED', '2002-05-03 08:52:06 EDT', 'dirk_baeumer'), ('2.0 M6', '2002-05-03 08:52:06 EDT', 'dirk_baeumer')]</t>
  </si>
  <si>
    <t>36104 (view as bug list)</t>
  </si>
  <si>
    <t>38923</t>
  </si>
  <si>
    <t>2003-12-10 11:53:32 EST</t>
  </si>
  <si>
    <t>2002-04-29 12:34 EDT</t>
  </si>
  <si>
    <t>2002-04-29 16:17:32 EDT</t>
  </si>
  <si>
    <t>[('CREATED', '2002-04-29 12:34 EDT'), ('Claude_Knaus', '2002-04-29 16:17:32 EDT', 'martinae'), ('ASSIGNED', '2002-04-30 03:23:24 EDT', 'Claude_Knaus'), ('jdt-text-inbox', '2003-02-24 05:12:10 EST', 'kai-uwe_maetzel'), ('NEW', '2003-02-24 05:12:10 EST', 'kai-uwe_maetzel'), ('Text', '2003-02-24 05:12:10 EST', 'kai-uwe_maetzel'), ('bdeweese', '2003-04-07 18:35:58 EDT', 'brian'), ('pepblast', '2003-04-09 09:47:52 EDT', 'kai-uwe_maetzel'), ('40539', '2003-07-29 04:08:51 EDT', 'joerg.buchberger'), ('38923', '2003-07-29 04:10:53 EDT', 'joerg.buchberger'), (nan, '2003-10-05 03:55:22 EDT', 'eclipse'), ('ASSIGNED', '2003-10-06 05:16:35 EDT', 'daniel_megert'), ("[preferences] Template editor doesn't inherit Java editor's background color.", '2003-10-06 05:16:35 EDT', 'daniel_megert'), ('jdt-ui-inbox', '2003-10-14 05:45:41 EDT', 'daniel_megert'), ('NEW', '2003-10-14 05:45:41 EDT', 'daniel_megert'), ('UI', '2003-10-14 05:45:41 EDT', 'daniel_megert'), ('dirk_baeumer', '2003-12-10 11:52:50 EST', 'dirk_baeumer'), ('3.0 M6', '2003-12-10 11:52:50 EST', 'dirk_baeumer'), ('RESOLVED', '2003-12-10 11:53:32 EST', 'dirk_baeumer'), ('FIXED', '2003-12-10 11:53:32 EST', 'dirk_baeumer')]</t>
  </si>
  <si>
    <t>4849</t>
  </si>
  <si>
    <t>2002-06-04 12:21:42 EDT</t>
  </si>
  <si>
    <t>2009-08-30 02:38:33 EDT</t>
  </si>
  <si>
    <t>2002-04-29 21:57 EDT</t>
  </si>
  <si>
    <t>2001-10-29 16:43:25 EST</t>
  </si>
  <si>
    <t>[('CREATED', '2002-04-29 21:57 EDT'), ('4849', '2001-10-29 16:43:25 EST', 'hudsonr'), ('Kai-Uwe_Maetzel', '2002-05-01 06:15:35 EDT', 'martinae'), ('RESOLVED', '2002-06-04 12:21:42 EDT', 'kai-uwe_maetzel'), ('LATER', '2002-06-04 12:21:42 EDT', 'kai-uwe_maetzel'), ('WONTFIX', '2009-08-30 02:38:33 EDT', 'webmaster'), ('jdt-ui-inbox', '2009-08-30 02:38:33 EDT', 'webmaster')]</t>
  </si>
  <si>
    <t>28019 36566 (view as bug list)</t>
  </si>
  <si>
    <t>2003-08-21 11:30:00 EDT</t>
  </si>
  <si>
    <t>2003-04-25 12:28:17 EDT</t>
  </si>
  <si>
    <t>2002-04-30 14:11 EDT</t>
  </si>
  <si>
    <t>2002-05-01 06:10:09 EDT</t>
  </si>
  <si>
    <t>[('CREATED', '2002-04-30 14:11 EDT'), ('Adam_Kiezun', '2002-05-01 06:10:09 EDT', 'martinae'), ('ASSIGNED', '2002-05-02 06:21:40 EDT', 'akiezun'), ('RESOLVED', '2002-06-09 12:27:27 EDT', 'akiezun'), ('LATER', '2002-06-09 12:27:27 EDT', 'akiezun'), ('REOPENED', '2002-07-26 12:46:57 EDT', 'akiezun'), ('---', '2002-07-26 12:46:57 EDT', 'akiezun'), ('Refactor Pull-up promotes visibility when not needed [refactoring]', '2002-08-26 08:45:48 EDT', 'akiezun'), ('enhancement', '2002-09-03 06:39:51 EDT', 'akiezun'), ('ASSIGNED', '2002-09-23 13:24:53 EDT', 'akiezun'), ('jsparkes', '2002-12-10 10:36:41 EST', 'akiezun'), ('2.2', '2003-02-20 09:44:12 EST', 'akiezun'), ('RESOLVED', '2003-02-20 10:11:51 EST', 'akiezun'), ('LATER', '2003-02-20 10:11:51 EST', 'akiezun'), ('David_Whiteman', '2003-04-16 10:07:27 EDT', 'akiezun'), ('REOPENED', '2003-04-25 12:28:17 EDT', 'akiezun'), ('---', '2003-04-25 12:28:17 EDT', 'akiezun'), ('ASSIGNED', '2003-05-14 13:08:53 EDT', 'akiezun'), ('---', '2003-05-14 13:08:53 EDT', 'akiezun'), ('3.0 M3', '2003-07-11 09:18:00 EDT', 'akiezun'), ('FIXED', '2003-08-21 11:30:00 EDT', 'akiezun'), ('RESOLVED', '2003-08-21 11:30:00 EDT', 'akiezun')]</t>
  </si>
  <si>
    <t>2002-06-07 07:16:50 EDT</t>
  </si>
  <si>
    <t>2002-06-13 04:44:38 EDT</t>
  </si>
  <si>
    <t>2002-06-06 11:51:27 EDT</t>
  </si>
  <si>
    <t>2002-04-30 15:17 EDT</t>
  </si>
  <si>
    <t>2002-05-01 06:09:48 EDT</t>
  </si>
  <si>
    <t>[('CREATED', '2002-04-30 15:17 EDT'), ('Andre_Weinand', '2002-05-01 06:09:48 EDT', 'martinae'), ('ASSIGNED', '2002-05-02 05:58:51 EDT', 'andre_weinand'), ('2.0 M6', '2002-05-03 04:33:04 EDT', 'andre_weinand'), ('RESOLVED', '2002-05-16 11:48:58 EDT', 'andre_weinand'), ('FIXED', '2002-05-16 11:48:58 EDT', 'andre_weinand'), ('REOPENED', '2002-06-06 11:51:27 EDT', 'dave.ings'), ('---', '2002-06-06 11:51:27 EDT', 'dave.ings'), ('ASSIGNED', '2002-06-06 12:52:09 EDT', 'andre_weinand'), ('2.0 F3', '2002-06-07 06:32:38 EDT', 'andre_weinand'), ('RESOLVED', '2002-06-07 07:16:50 EDT', 'andre_weinand'), ('FIXED', '2002-06-07 07:16:50 EDT', 'andre_weinand'), ('VERIFIED', '2002-06-13 04:44:38 EDT', 'daniel_megert')]</t>
  </si>
  <si>
    <t>2002-05-02 09:42:02 EDT</t>
  </si>
  <si>
    <t>2002-05-02 09:28 EDT</t>
  </si>
  <si>
    <t>[('CREATED', '2002-05-02 09:28 EDT'), ('RESOLVED', '2002-05-02 09:42:02 EDT', 'akiezun'), ('WORKSFORME', '2002-05-02 09:42:02 EDT', 'akiezun')]</t>
  </si>
  <si>
    <t>2002-05-06 06:52:41 EDT</t>
  </si>
  <si>
    <t>2002-05-03 10:12 EDT</t>
  </si>
  <si>
    <t>2002-05-04 08:28:43 EDT</t>
  </si>
  <si>
    <t>[('CREATED', '2002-05-03 10:12 EDT'), ('Adam_Kiezun', '2002-05-04 08:28:43 EDT', 'erich_gamma'), ('P2', '2002-05-04 08:28:43 EDT', 'erich_gamma'), ('RESOLVED', '2002-05-06 06:52:41 EDT', 'akiezun'), ('FIXED', '2002-05-06 06:52:41 EDT', 'akiezun')]</t>
  </si>
  <si>
    <t>RESOLVED  DUPLICATE  of bug 17791</t>
  </si>
  <si>
    <t>2002-05-25 17:30:46 EDT</t>
  </si>
  <si>
    <t>2002-05-04 14:33 EDT</t>
  </si>
  <si>
    <t>2002-05-06 05:50:06 EDT</t>
  </si>
  <si>
    <t>[('CREATED', '2002-05-04 14:33 EDT'), ('Erich_Gamma', '2002-05-06 05:50:06 EDT', 'philippe_mulet'), ('UI', '2002-05-06 05:50:06 EDT', 'philippe_mulet'), ('RESOLVED', '2002-05-25 17:30:46 EDT', 'erich_gamma'), ('DUPLICATE', '2002-05-25 17:30:46 EDT', 'erich_gamma')]</t>
  </si>
  <si>
    <t>2002-05-04 15:36:18 EDT</t>
  </si>
  <si>
    <t>2002-05-04 15:24 EDT</t>
  </si>
  <si>
    <t>[('CREATED', '2002-05-04 15:24 EDT'), ('RESOLVED', '2002-05-04 15:36:18 EDT', 'erich_gamma'), ('INVALID', '2002-05-04 15:36:18 EDT', 'erich_gamma')]</t>
  </si>
  <si>
    <t>2002-05-07 11:59:09 EDT</t>
  </si>
  <si>
    <t>2002-05-06 08:17 EDT</t>
  </si>
  <si>
    <t>[('CREATED', '2002-05-06 08:17 EDT'), ('RESOLVED', '2002-05-07 11:59:09 EDT', 'dirk_baeumer'), ('FIXED', '2002-05-07 11:59:09 EDT', 'dirk_baeumer')]</t>
  </si>
  <si>
    <t>64677 (view as bug list)</t>
  </si>
  <si>
    <t>2003-04-01 05:45:01 EST</t>
  </si>
  <si>
    <t>2002-05-06 17:15 EDT</t>
  </si>
  <si>
    <t>2002-05-07 16:45:33 EDT</t>
  </si>
  <si>
    <t>2004-05-30 09:12:43 EDT</t>
  </si>
  <si>
    <t>[('CREATED', '2002-05-06 17:15 EDT'), ('RESOLVED', '2002-05-07 16:45:33 EDT', 'erich_gamma'), ('LATER', '2002-05-07 16:45:33 EDT', 'erich_gamma'), ('2.1', '2002-07-23 13:25:11 EDT', 'dirk_baeumer'), ('Surround with try/finally action [refactoring]', '2002-07-24 08:37:54 EDT', 'dirk_baeumer'), ('investigate', '2002-07-25 05:04:29 EDT', 'dirk_baeumer'), ('---', '2002-07-25 05:04:29 EDT', 'dirk_baeumer'), ('jdt-ui-inbox', '2002-09-12 09:40:22 EDT', 'dirk_baeumer'), ('NEW', '2002-09-12 09:40:22 EDT', 'dirk_baeumer'), ('ASSIGNED', '2002-09-12 10:05:43 EDT', 'dirk_baeumer'), ('RESOLVED', '2003-04-01 05:45:01 EST', 'martinae'), ('FIXED', '2003-04-01 05:45:01 EST', 'martinae'), ('binyan357', '2004-05-30 09:12:43 EDT', 'dirk_baeumer')]</t>
  </si>
  <si>
    <t>2002-05-11 08:07:55 EDT</t>
  </si>
  <si>
    <t>2002-05-07 10:43 EDT</t>
  </si>
  <si>
    <t>[('CREATED', '2002-05-07 10:43 EDT'), ('RESOLVED', '2002-05-11 08:07:55 EDT', 'erich_gamma'), ('WORKSFORME', '2002-05-11 08:07:55 EDT', 'erich_gamma')]</t>
  </si>
  <si>
    <t>2002-05-16 14:33:27 EDT</t>
  </si>
  <si>
    <t>2002-05-07 11:13 EDT</t>
  </si>
  <si>
    <t>2002-05-07 16:32:18 EDT</t>
  </si>
  <si>
    <t>[('CREATED', '2002-05-07 11:13 EDT'), ('Adam_Kiezun', '2002-05-07 16:32:18 EDT', 'erich_gamma'), ('P1', '2002-05-07 16:32:18 EDT', 'erich_gamma'), ('RESOLVED', '2002-05-16 14:33:27 EDT', 'akiezun'), ('WORKSFORME', '2002-05-16 14:33:27 EDT', 'akiezun')]</t>
  </si>
  <si>
    <t>2002-05-08 12:06:04 EDT</t>
  </si>
  <si>
    <t>2002-05-07 12:41 EDT</t>
  </si>
  <si>
    <t>2002-05-07 16:30:07 EDT</t>
  </si>
  <si>
    <t>[('CREATED', '2002-05-07 12:41 EDT'), ('Kai-Uwe_Maetzel', '2002-05-07 16:30:07 EDT', 'erich_gamma'), ('P1', '2002-05-07 16:30:07 EDT', 'erich_gamma'), ('RESOLVED', '2002-05-08 12:06:04 EDT', 'kai-uwe_maetzel'), ('FIXED', '2002-05-08 12:06:04 EDT', 'kai-uwe_maetzel')]</t>
  </si>
  <si>
    <t>2003-02-06 12:10:58 EST</t>
  </si>
  <si>
    <t>2002-05-07 12:51 EDT</t>
  </si>
  <si>
    <t>2002-05-07 16:29:29 EDT</t>
  </si>
  <si>
    <t>[('CREATED', '2002-05-07 12:51 EDT'), ('RESOLVED', '2002-05-07 16:29:29 EDT', 'erich_gamma'), ('LATER', '2002-05-07 16:29:29 EDT', 'erich_gamma'), ('2.1', '2002-07-23 13:28:48 EDT', 'dirk_baeumer'), ('extract method: could be allowed in void method even if not all returns selected [refactoring]', '2002-07-24 08:38:01 EDT', 'dirk_baeumer'), ('investigate', '2002-07-25 05:04:35 EDT', 'dirk_baeumer'), ('---', '2002-07-25 05:04:35 EDT', 'dirk_baeumer'), ('jdt-ui-inbox', '2002-09-12 09:40:19 EDT', 'dirk_baeumer'), ('NEW', '2002-09-12 09:40:19 EDT', 'dirk_baeumer'), ('ASSIGNED', '2002-09-12 10:05:33 EDT', 'dirk_baeumer'), ('enhancement', '2002-09-18 04:42:33 EDT', 'akiezun'), ('INVALID', '2003-02-06 12:10:58 EST', 'dirk_baeumer'), ('RESOLVED', '2003-02-06 12:10:58 EST', 'dirk_baeumer')]</t>
  </si>
  <si>
    <t>2002-05-17 06:06:41 EDT</t>
  </si>
  <si>
    <t>2002-05-09 21:11 EDT</t>
  </si>
  <si>
    <t>2002-05-10 05:05:43 EDT</t>
  </si>
  <si>
    <t>paulacox</t>
  </si>
  <si>
    <t>[('CREATED', '2002-05-09 21:11 EDT'), ('Adam_Kiezun', '2002-05-10 05:05:43 EDT', 'akiezun'), ('NPE undo rename resource', '2002-05-10 05:05:43 EDT', 'akiezun'), ('Dirk_Baeumer', '2002-05-12 08:11:09 EDT', 'erich_gamma'), ('P1', '2002-05-12 08:11:09 EDT', 'erich_gamma'), ('RESOLVED', '2002-05-17 06:06:41 EDT', 'dirk_baeumer'), ('FIXED', '2002-05-17 06:06:41 EDT', 'dirk_baeumer'), ('paulacox', '2002-05-17 06:06:41 EDT', 'paulacox')]</t>
  </si>
  <si>
    <t>2002-05-10 13:27:00 EDT</t>
  </si>
  <si>
    <t>2002-05-10 11:14 EDT</t>
  </si>
  <si>
    <t>[('CREATED', '2002-05-10 11:14 EDT'), ('RESOLVED', '2002-05-10 13:27:00 EDT', 'dirk_baeumer'), ('FIXED', '2002-05-10 13:27:00 EDT', 'dirk_baeumer')]</t>
  </si>
  <si>
    <t>2002-06-03 10:11:33 EDT</t>
  </si>
  <si>
    <t>2002-06-03 10:11:51 EDT</t>
  </si>
  <si>
    <t>2002-05-10 13:53 EDT</t>
  </si>
  <si>
    <t>2002-05-11 03:21:34 EDT</t>
  </si>
  <si>
    <t>[('CREATED', '2002-05-10 13:53 EDT'), ('Adam_Kiezun', '2002-05-11 03:21:34 EDT', 'erich_gamma'), ('P1', '2002-05-11 03:21:34 EDT', 'erich_gamma'), ('ASSIGNED', '2002-05-13 14:21:44 EDT', 'akiezun'), ('Adam_Kiezun', '2002-05-15 10:28:01 EDT', 'akiezun'), ('Kai-Uwe_Maetzel', '2002-05-15 10:28:01 EDT', 'akiezun'), ('NEW', '2002-05-15 10:28:01 EDT', 'akiezun'), ('2.0 F2', '2002-05-27 04:58:53 EDT', 'kai-uwe_maetzel'), ('FIXED', '2002-05-31 12:19:32 EDT', 'kai-uwe_maetzel'), ('RESOLVED', '2002-05-31 12:19:32 EDT', 'kai-uwe_maetzel'), ('Andre_Weinand', '2002-06-02 17:28:43 EDT', 'erich_gamma'), ('NEW', '2002-06-02 17:28:43 EDT', 'erich_gamma'), ('---', '2002-06-03 10:11:21 EDT', 'andre_weinand'), ('RESOLVED', '2002-06-03 10:11:33 EDT', 'andre_weinand'), ('FIXED', '2002-06-03 10:11:33 EDT', 'andre_weinand'), ('VERIFIED', '2002-06-03 10:11:51 EDT', 'andre_weinand')]</t>
  </si>
  <si>
    <t>2003-04-28 06:02:24 EDT</t>
  </si>
  <si>
    <t>2009-08-30 02:17:21 EDT</t>
  </si>
  <si>
    <t>2002-05-10 16:30 EDT</t>
  </si>
  <si>
    <t>2002-05-11 02:52:08 EDT</t>
  </si>
  <si>
    <t>[('CREATED', '2002-05-10 16:30 EDT'), ('RESOLVED', '2002-05-11 02:52:08 EDT', 'erich_gamma'), ('LATER', '2002-05-11 02:52:08 EDT', 'erich_gamma'), ('Confused by Rename Dialog contents [refactoring]', '2002-07-24 08:38:06 EDT', 'dirk_baeumer'), ('jdt-ui-inbox', '2002-09-12 09:39:28 EDT', 'dirk_baeumer'), ('NEW', '2002-09-12 09:39:28 EDT', 'dirk_baeumer'), ('ASSIGNED', '2002-09-12 10:04:39 EDT', 'dirk_baeumer'), ('enhancement', '2002-09-18 04:43:50 EDT', 'akiezun'), ('RESOLVED', '2003-04-28 06:02:24 EDT', 'dirk_baeumer'), ('WONTFIX', '2009-08-30 02:17:21 EDT', 'denis.roy')]</t>
  </si>
  <si>
    <t>2002-05-14 09:13:03 EDT</t>
  </si>
  <si>
    <t>2002-05-11 07:42 EDT</t>
  </si>
  <si>
    <t>2002-05-11 16:24:09 EDT</t>
  </si>
  <si>
    <t>[('CREATED', '2002-05-11 07:42 EDT'), ('Dirk_Baeumer', '2002-05-11 16:24:09 EDT', 'erich_gamma'), ('Adam_Kiezun', '2002-05-13 04:02:45 EDT', 'dirk_baeumer'), ('ASSIGNED', '2002-05-13 14:30:58 EDT', 'akiezun'), ('RESOLVED', '2002-05-14 09:13:03 EDT', 'akiezun'), ('FIXED', '2002-05-14 09:13:03 EDT', 'akiezun')]</t>
  </si>
  <si>
    <t>2003-04-01 05:49:20 EST</t>
  </si>
  <si>
    <t>2002-05-14 06:10 EDT</t>
  </si>
  <si>
    <t>2002-05-14 07:01:56 EDT</t>
  </si>
  <si>
    <t>[('CREATED', '2002-05-14 06:10 EDT'), ('RESOLVED', '2002-05-14 07:01:56 EDT', 'erich_gamma'), ('LATER', '2002-05-14 07:01:56 EDT', 'erich_gamma'), ('[refactoring] unused methods', '2002-07-24 08:38:19 EDT', 'dirk_baeumer'), ('unused methods [refactoring] [search]', '2002-07-24 08:49:51 EDT', 'dirk_baeumer'), ('jdt-ui-inbox', '2002-09-12 09:39:27 EDT', 'dirk_baeumer'), ('NEW', '2002-09-12 09:39:27 EDT', 'dirk_baeumer'), ('ASSIGNED', '2002-09-12 10:04:39 EDT', 'dirk_baeumer'), ('RESOLVED', '2003-04-01 05:49:20 EST', 'martinae'), ('FIXED', '2003-04-01 05:49:20 EST', 'martinae')]</t>
  </si>
  <si>
    <t>2003-02-05 08:36:08 EST</t>
  </si>
  <si>
    <t>2002-05-15 11:10 EDT</t>
  </si>
  <si>
    <t>2002-05-15 16:09:27 EDT</t>
  </si>
  <si>
    <t>[('CREATED', '2002-05-15 11:10 EDT'), ('RESOLVED', '2002-05-15 16:09:27 EDT', 'erich_gamma'), ('LATER', '2002-05-15 16:09:27 EDT', 'erich_gamma'), ('preuss', '2002-05-16 02:50:03 EDT', 'preuss'), ('m.moebius', '2002-05-16 02:50:03 EDT', 'm.moebius'), ('neil_swingler', '2002-05-16 05:03:45 EDT', 'neil'), ('Provide preference that catch block contains e.printStackTrace [refactoring]', '2002-07-24 08:38:27 EDT', 'dirk_baeumer'), ('Provide preference that catch block contains e.printStackTrace [refactoring] [code manipulation]', '2002-07-24 08:42:51 EDT', 'dirk_baeumer'), ('jdt-ui-inbox', '2002-09-12 09:42:27 EDT', 'dirk_baeumer'), ('NEW', '2002-09-12 09:42:27 EDT', 'dirk_baeumer'), ('ASSIGNED', '2002-09-12 10:11:14 EDT', 'dirk_baeumer'), ('2.1 M5', '2003-02-05 08:36:08 EST', 'erich_gamma'), ('RESOLVED', '2003-02-05 08:36:08 EST', 'erich_gamma'), ('FIXED', '2003-02-05 08:36:08 EST', 'erich_gamma')]</t>
  </si>
  <si>
    <t>RESOLVED  DUPLICATE  of bug 16020</t>
  </si>
  <si>
    <t>2002-05-16 10:55:44 EDT</t>
  </si>
  <si>
    <t>2002-05-16 10:16 EDT</t>
  </si>
  <si>
    <t>[('CREATED', '2002-05-16 10:16 EDT'), ('RESOLVED', '2002-05-16 10:55:44 EDT', 'akiezun'), ('DUPLICATE', '2002-05-16 10:55:44 EDT', 'akiezun')]</t>
  </si>
  <si>
    <t>2002-05-30 18:27:02 EDT</t>
  </si>
  <si>
    <t>2002-05-16 10:57 EDT</t>
  </si>
  <si>
    <t>2002-05-16 10:57:27 EDT</t>
  </si>
  <si>
    <t>[('CREATED', '2002-05-16 10:57 EDT'), ('Adam_Kiezun', '2002-05-16 10:57:27 EDT', 'akiezun'), ('ASSIGNED', '2002-05-19 16:07:31 EDT', 'erich_gamma'), ('RESOLVED', '2002-05-30 18:27:02 EDT', 'erich_gamma'), ('FIXED', '2002-05-30 18:27:02 EDT', 'erich_gamma')]</t>
  </si>
  <si>
    <t>2004-05-18 05:29:30 EDT</t>
  </si>
  <si>
    <t>2002-05-17 06:04 EDT</t>
  </si>
  <si>
    <t>2002-05-17 06:04:35 EDT</t>
  </si>
  <si>
    <t>[('CREATED', '2002-05-17 06:04 EDT'), ('Adam_Kiezun heatonkm', '2002-05-17 06:04:35 EDT', 'dirk_baeumer'), ('Dirk_Baeumer', '2002-05-17 08:51:51 EDT', 'erich_gamma'), ('P2', '2002-05-17 08:51:51 EDT', 'erich_gamma'), ('P3', '2002-06-07 10:22:18 EDT', 'dirk_baeumer'), ('RESOLVED', '2004-05-18 05:29:30 EDT', 'dirk_baeumer'), ('INVALID', '2004-05-18 05:29:30 EDT', 'dirk_baeumer')]</t>
  </si>
  <si>
    <t>2002-06-06 08:50:38 EDT</t>
  </si>
  <si>
    <t>2002-06-06 08:50:48 EDT</t>
  </si>
  <si>
    <t>2002-05-28 07:16:04 EDT</t>
  </si>
  <si>
    <t>2002-05-17 11:12 EDT</t>
  </si>
  <si>
    <t>2002-05-25 05:44:25 EDT</t>
  </si>
  <si>
    <t>till_bay</t>
  </si>
  <si>
    <t>[('CREATED', '2002-05-17 11:12 EDT'), ('Adam_Kiezun', '2002-05-25 05:44:25 EDT', 'erich_gamma'), ('2.0 F1', '2002-05-25 05:44:25 EDT', 'erich_gamma'), ('ASSIGNED', '2002-05-28 05:23:17 EDT', 'akiezun'), ('RESOLVED', '2002-05-28 07:16:04 EDT', 'akiezun'), ('FIXED', '2002-05-28 07:16:04 EDT', 'akiezun'), ('2.0 F2', '2002-06-02 16:49:14 EDT', 'erich_gamma'), ('Kai-Uwe_Maetzel', '2002-06-02 17:26:24 EDT', 'erich_gamma'), ('NEW', '2002-06-02 17:26:24 EDT', 'erich_gamma'), ('till_bay', '2002-06-05 14:31:28 EDT', 'kai-uwe_maetzel'), ('RESOLVED', '2002-06-06 08:50:38 EDT', 'till_bay'), ('VERIFIED', '2002-06-06 08:50:48 EDT', 'till_bay')]</t>
  </si>
  <si>
    <t>2002-05-30 18:40:11 EDT</t>
  </si>
  <si>
    <t>2002-05-17 12:08 EDT</t>
  </si>
  <si>
    <t>[('CREATED', '2002-05-17 12:08 EDT'), ('RESOLVED', '2002-05-30 18:40:11 EDT', 'erich_gamma'), ('FIXED', '2002-05-30 18:40:11 EDT', 'erich_gamma')]</t>
  </si>
  <si>
    <t>2002-05-20 19:24:01 EDT</t>
  </si>
  <si>
    <t>2002-05-20 12:47 EDT</t>
  </si>
  <si>
    <t>[('CREATED', '2002-05-20 12:47 EDT'), ('RESOLVED', '2002-05-20 19:24:01 EDT', 'erich_gamma'), ('P1', '2002-05-20 19:24:01 EDT', 'erich_gamma'), ('FIXED', '2002-05-20 19:24:01 EDT', 'erich_gamma')]</t>
  </si>
  <si>
    <t>2002-05-29 13:38:27 EDT</t>
  </si>
  <si>
    <t>2002-05-21 07:16 EDT</t>
  </si>
  <si>
    <t>2002-05-21 08:42:17 EDT</t>
  </si>
  <si>
    <t>2002-06-02 16:49:02 EDT</t>
  </si>
  <si>
    <t>[('CREATED', '2002-05-21 07:16 EDT'), ('Erich_Gamma', '2002-05-21 08:42:17 EDT', 'philippe_mulet'), ('UI', '2002-05-21 08:42:17 EDT', 'philippe_mulet'), ('2.0 F1', '2002-05-25 05:53:23 EDT', 'erich_gamma'), ('Dirk_Baeumer', '2002-05-25 05:53:23 EDT', 'erich_gamma'), ('RESOLVED', '2002-05-29 13:38:27 EDT', 'dirk_baeumer'), ('WORKSFORME', '2002-05-29 13:38:27 EDT', 'dirk_baeumer'), ('2.0 F2', '2002-06-02 16:49:02 EDT', 'erich_gamma')]</t>
  </si>
  <si>
    <t>2002-05-28 05:25:59 EDT</t>
  </si>
  <si>
    <t>2002-05-21 10:40 EDT</t>
  </si>
  <si>
    <t>2002-05-21 10:43:22 EDT</t>
  </si>
  <si>
    <t>[('CREATED', '2002-05-21 10:40 EDT'), ('Adam_Kiezun', '2002-05-21 10:43:22 EDT', 'akiezun'), ('major', '2002-05-21 10:43:22 EDT', 'akiezun'), ('2.0 F2', '2002-05-27 11:33:25 EDT', 'akiezun'), ('ASSIGNED', '2002-05-27 11:33:25 EDT', 'akiezun'), ('UI', '2002-05-27 16:54:48 EDT', 'erich_gamma'), ('RESOLVED', '2002-05-28 05:25:59 EDT', 'akiezun'), ('WORKSFORME', '2002-05-28 05:25:59 EDT', 'akiezun')]</t>
  </si>
  <si>
    <t>2002-06-03 08:07:19 EDT</t>
  </si>
  <si>
    <t>2002-06-03 08:07:45 EDT</t>
  </si>
  <si>
    <t>2002-05-21 16:53 EDT</t>
  </si>
  <si>
    <t>2002-05-25 15:56:09 EDT</t>
  </si>
  <si>
    <t>[('CREATED', '2002-05-21 16:53 EDT'), ('2.0 F1', '2002-05-25 15:56:09 EDT', 'erich_gamma'), ('Dirk_Baeumer', '2002-05-25 15:56:09 EDT', 'erich_gamma'), ('major', '2002-05-25 15:56:09 EDT', 'erich_gamma'), ('P2', '2002-05-25 15:56:09 EDT', 'erich_gamma'), ('RESOLVED', '2002-05-28 12:32:43 EDT', 'dirk_baeumer'), ('FIXED', '2002-05-28 12:32:43 EDT', 'dirk_baeumer'), ('2.0 F2', '2002-06-02 16:49:09 EDT', 'erich_gamma'), ('Andre_Weinand', '2002-06-02 17:28:45 EDT', 'erich_gamma'), ('NEW', '2002-06-02 17:28:45 EDT', 'erich_gamma'), ('---', '2002-06-03 08:07:02 EDT', 'andre_weinand'), ('RESOLVED', '2002-06-03 08:07:19 EDT', 'andre_weinand'), ('FIXED', '2002-06-03 08:07:19 EDT', 'andre_weinand'), ('VERIFIED', '2002-06-03 08:07:45 EDT', 'andre_weinand')]</t>
  </si>
  <si>
    <t>2003-04-28 06:04:08 EDT</t>
  </si>
  <si>
    <t>2009-08-30 02:34:53 EDT</t>
  </si>
  <si>
    <t>2002-05-21 17:09 EDT</t>
  </si>
  <si>
    <t>2002-05-25 15:57:18 EDT</t>
  </si>
  <si>
    <t>[('CREATED', '2002-05-21 17:09 EDT'), ('nick_edgar', '2002-05-25 15:57:18 EDT', 'erich_gamma'), ('RESOLVED', '2002-05-25 15:57:18 EDT', 'erich_gamma'), ('LATER', '2002-05-25 15:57:18 EDT', 'erich_gamma'), ('2.1', '2002-07-24 05:34:20 EDT', 'dirk_baeumer'), ('Conditially add new packages/folders to the current Working Set [filters]', '2002-07-24 05:34:20 EDT', 'dirk_baeumer'), ('investigate', '2002-07-25 05:05:11 EDT', 'dirk_baeumer'), ('---', '2002-07-25 05:05:11 EDT', 'dirk_baeumer'), ('Michael_Valenta', '2002-07-29 12:42:51 EDT', 'dirk_baeumer'), ('jdt-ui-inbox', '2002-09-12 09:40:52 EDT', 'dirk_baeumer'), ('NEW', '2002-09-12 09:40:52 EDT', 'dirk_baeumer'), ('ASSIGNED', '2002-09-12 10:06:34 EDT', 'dirk_baeumer'), ('Conditially add new packages/folders to the current Working Set [code manipulation][filters]', '2003-04-25 04:25:16 EDT', 'daniel_megert'), ('RESOLVED', '2003-04-28 06:04:08 EDT', 'dirk_baeumer'), ('WONTFIX', '2009-08-30 02:34:53 EDT', 'webmaster')]</t>
  </si>
  <si>
    <t>RESOLVED  DUPLICATE  of bug 17241</t>
  </si>
  <si>
    <t>2002-05-23 09:58:42 EDT</t>
  </si>
  <si>
    <t>2002-05-22 05:09 EDT</t>
  </si>
  <si>
    <t>[('CREATED', '2002-05-22 05:09 EDT'), ('RESOLVED', '2002-05-23 09:58:42 EDT', 'dirk_baeumer'), ('DUPLICATE', '2002-05-23 09:58:42 EDT', 'dirk_baeumer')]</t>
  </si>
  <si>
    <t>2002-06-04 08:27:07 EDT</t>
  </si>
  <si>
    <t>2002-06-04 08:27:20 EDT</t>
  </si>
  <si>
    <t>2002-05-22 06:27 EDT</t>
  </si>
  <si>
    <t>2002-05-22 06:27:49 EDT</t>
  </si>
  <si>
    <t>[('CREATED', '2002-05-22 06:27 EDT'), ('Adam_Kiezun', '2002-05-22 06:27:49 EDT', 'akiezun'), ('P2', '2002-05-25 19:43:47 EDT', 'erich_gamma'), ('2.0 F1', '2002-05-25 19:43:47 EDT', 'erich_gamma'), ('Adam_Kiezun', '2002-05-25 19:43:47 EDT', 'erich_gamma'), ('RESOLVED', '2002-05-27 06:08:48 EDT', 'akiezun'), ('FIXED', '2002-05-27 06:08:48 EDT', 'akiezun'), ('2.0 F2', '2002-05-27 06:08:48 EDT', 'akiezun'), ('Andre_Weinand', '2002-06-02 17:28:49 EDT', 'erich_gamma'), ('NEW', '2002-06-02 17:28:49 EDT', 'erich_gamma'), ('---', '2002-06-04 08:26:57 EDT', 'andre_weinand'), ('RESOLVED', '2002-06-04 08:27:07 EDT', 'andre_weinand'), ('FIXED', '2002-06-04 08:27:07 EDT', 'andre_weinand'), ('VERIFIED', '2002-06-04 08:27:20 EDT', 'andre_weinand')]</t>
  </si>
  <si>
    <t>RESOLVED  DUPLICATE  of bug 102872</t>
  </si>
  <si>
    <t>2006-11-13 10:37:12 EST</t>
  </si>
  <si>
    <t>2002-10-11 09:45:39 EDT</t>
  </si>
  <si>
    <t>2006-11-13 10:36:58 EST</t>
  </si>
  <si>
    <t>2002-05-22 07:02 EDT</t>
  </si>
  <si>
    <t>2002-05-25 19:45:22 EDT</t>
  </si>
  <si>
    <t>[('CREATED', '2002-05-22 07:02 EDT'), ('RESOLVED', '2002-05-25 19:45:22 EDT', 'erich_gamma'), ('LATER', '2002-05-25 19:45:22 EDT', 'erich_gamma'), ('Refactor: Inline local variable generates compile error if inlining replaces final local variable [refactoring]', '2002-07-24 05:40:10 EDT', 'dirk_baeumer'), ('2.1', '2002-07-24 05:40:10 EDT', 'dirk_baeumer'), ('investigate', '2002-07-25 05:06:07 EDT', 'dirk_baeumer'), ('---', '2002-07-25 05:06:07 EDT', 'dirk_baeumer'), ('jdt-ui-inbox', '2002-09-12 09:39:59 EDT', 'dirk_baeumer'), ('NEW', '2002-09-12 09:39:59 EDT', 'dirk_baeumer'), ('ASSIGNED', '2002-09-12 10:05:06 EDT', 'dirk_baeumer'), ('NEW', '2002-09-18 04:46:57 EDT', 'akiezun'), ('Adam_Kiezun', '2002-09-18 04:46:57 EDT', 'akiezun'), ('---', '2002-09-23 13:18:55 EDT', 'akiezun'), ('ASSIGNED', '2002-09-23 13:19:02 EDT', 'akiezun'), ('P4', '2002-09-24 10:32:21 EDT', 'akiezun'), ('RESOLVED', '2002-10-11 09:45:39 EDT', 'akiezun'), ('WONTFIX', '2002-10-11 09:45:39 EDT', 'akiezun'), ('REOPENED', '2006-11-13 10:36:58 EST', 'martinae'), ('---', '2006-11-13 10:36:58 EST', 'martinae'), ('RESOLVED', '2006-11-13 10:37:12 EST', 'martinae'), ('DUPLICATE', '2006-11-13 10:37:12 EST', 'martinae')]</t>
  </si>
  <si>
    <t>2002-05-29 12:53:28 EDT</t>
  </si>
  <si>
    <t>2002-05-22 11:42 EDT</t>
  </si>
  <si>
    <t>2002-05-22 12:29:16 EDT</t>
  </si>
  <si>
    <t>2002-06-02 16:49:08 EDT</t>
  </si>
  <si>
    <t>[('CREATED', '2002-05-22 11:42 EDT'), ('Erich_Gamma', '2002-05-22 12:29:16 EDT', 'Olivier_Thomann'), ('UI', '2002-05-22 12:29:16 EDT', 'Olivier_Thomann'), ('P2', '2002-05-26 05:35:55 EDT', 'erich_gamma'), ('2.0 F1', '2002-05-26 05:35:55 EDT', 'erich_gamma'), ('Adam_Kiezun', '2002-05-26 05:35:55 EDT', 'erich_gamma'), ('major', '2002-05-26 05:35:55 EDT', 'erich_gamma'), ('ASSIGNED', '2002-05-27 06:19:08 EDT', 'akiezun'), ('RESOLVED', '2002-05-29 12:53:28 EDT', 'akiezun'), ('WORKSFORME', '2002-05-29 12:53:28 EDT', 'akiezun'), ('2.0 F2', '2002-06-02 16:49:08 EDT', 'erich_gamma')]</t>
  </si>
  <si>
    <t>RESOLVED  DUPLICATE  of bug 16384</t>
  </si>
  <si>
    <t>2002-05-27 05:39:32 EDT</t>
  </si>
  <si>
    <t>2002-05-22 12:25 EDT</t>
  </si>
  <si>
    <t>2002-05-26 12:31:56 EDT</t>
  </si>
  <si>
    <t>[('CREATED', '2002-05-22 12:25 EDT'), ('Kai-Uwe_Maetzel', '2002-05-26 12:31:56 EDT', 'erich_gamma'), ('major', '2002-05-26 12:31:56 EDT', 'erich_gamma'), ('P1', '2002-05-26 12:31:56 EDT', 'erich_gamma'), ('2.0 F1', '2002-05-26 12:31:56 EDT', 'erich_gamma'), ('2.0 F2', '2002-05-27 03:13:01 EDT', 'kai-uwe_maetzel'), ('Claude_Knaus', '2002-05-27 04:51:54 EDT', 'kai-uwe_maetzel'), ('RESOLVED', '2002-05-27 05:39:32 EDT', 'Claude_Knaus'), ('DUPLICATE', '2002-05-27 05:39:32 EDT', 'Claude_Knaus')]</t>
  </si>
  <si>
    <t>2002-06-03 06:27:31 EDT</t>
  </si>
  <si>
    <t>2002-06-03 06:27:42 EDT</t>
  </si>
  <si>
    <t>2002-05-27 13:55:38 EDT</t>
  </si>
  <si>
    <t>2002-05-22 15:41 EDT</t>
  </si>
  <si>
    <t>2002-05-24 20:13:30 EDT</t>
  </si>
  <si>
    <t>[('CREATED', '2002-05-22 15:41 EDT'), ('Adam_Kiezun', '2002-05-24 20:13:30 EDT', 'erich_gamma'), ('P1', '2002-05-24 20:13:30 EDT', 'erich_gamma'), ('2.0 F1', '2002-05-24 20:13:30 EDT', 'erich_gamma'), ('Adam_Kiezun', '2002-05-27 05:49:27 EDT', 'akiezun'), ('Martin_Aeschlimann', '2002-05-27 05:49:27 EDT', 'akiezun'), ('FIXED', '2002-05-27 13:55:38 EDT', 'martinae'), ('2.0 F2', '2002-05-27 13:55:38 EDT', 'martinae'), ('RESOLVED', '2002-05-27 13:55:38 EDT', 'martinae'), ('till_bay', '2002-06-02 17:30:47 EDT', 'erich_gamma'), ('NEW', '2002-06-02 17:30:47 EDT', 'erich_gamma'), ('RESOLVED', '2002-06-03 06:27:31 EDT', 'till_bay'), ('VERIFIED', '2002-06-03 06:27:42 EDT', 'till_bay')]</t>
  </si>
  <si>
    <t>2002-05-23 09:56:10 EDT</t>
  </si>
  <si>
    <t>2002-05-23 09:54:45 EDT</t>
  </si>
  <si>
    <t>2002-05-22 16:26 EDT</t>
  </si>
  <si>
    <t>2002-05-22 16:26:46 EDT</t>
  </si>
  <si>
    <t>[('CREATED', '2002-05-22 16:26 EDT'), ('accessibility', '2002-05-22 16:26:46 EDT', 'n.a.edgar'), ('RESOLVED', '2002-05-23 09:53:09 EDT', 'dirk_baeumer'), ('DUPLICATE', '2002-05-23 09:53:09 EDT', 'dirk_baeumer'), ('REOPENED', '2002-05-23 09:54:45 EDT', 'dirk_baeumer'), ('---', '2002-05-23 09:54:45 EDT', 'dirk_baeumer'), ('RESOLVED', '2002-05-23 09:56:10 EDT', 'dirk_baeumer'), ('DUPLICATE', '2002-05-23 09:56:10 EDT', 'dirk_baeumer')]</t>
  </si>
  <si>
    <t>2002-06-08 19:04:16 EDT</t>
  </si>
  <si>
    <t>2002-05-23 06:09 EDT</t>
  </si>
  <si>
    <t>2002-05-31 14:04:08 EDT</t>
  </si>
  <si>
    <t>[('CREATED', '2002-05-23 06:09 EDT'), ('Dirk_Baeumer', '2002-05-31 14:04:08 EDT', 'erich_gamma'), ('Erich_Gamma', '2002-05-31 15:52:11 EDT', 'dirk_baeumer'), ('RESOLVED', '2002-06-08 19:04:16 EDT', 'erich_gamma'), ('FIXED', '2002-06-08 19:04:16 EDT', 'erich_gamma')]</t>
  </si>
  <si>
    <t>2002-05-29 12:10:03 EDT</t>
  </si>
  <si>
    <t>2002-05-23 06:33 EDT</t>
  </si>
  <si>
    <t>2002-05-25 10:20:52 EDT</t>
  </si>
  <si>
    <t>[('CREATED', '2002-05-23 06:33 EDT'), ('Daniel_Megert', '2002-05-25 10:20:52 EDT', 'erich_gamma'), ('P2', '2002-05-25 10:20:52 EDT', 'erich_gamma'), ('2.0 M1', '2002-05-25 10:20:52 EDT', 'erich_gamma'), ('Martin_Aeschlimann', '2002-05-27 07:55:58 EDT', 'daniel_megert'), ('RESOLVED', '2002-05-29 12:10:03 EDT', 'martinae'), ('FIXED', '2002-05-29 12:10:03 EDT', 'martinae')]</t>
  </si>
  <si>
    <t>2002-11-18 10:51:38 EST</t>
  </si>
  <si>
    <t>2002-05-23 06:51 EDT</t>
  </si>
  <si>
    <t>2002-05-26 18:26:23 EDT</t>
  </si>
  <si>
    <t>[('CREATED', '2002-05-23 06:51 EDT'), ('ASSIGNED', '2002-05-26 18:26:23 EDT', 'erich_gamma'), ('P1', '2002-05-26 18:26:23 EDT', 'erich_gamma'), ('2.0 F1', '2002-05-26 18:26:23 EDT', 'erich_gamma'), ('Daniel_Megert', '2002-05-31 09:56:11 EDT', 'erich_gamma'), ('NEW', '2002-05-31 09:56:11 EDT', 'erich_gamma'), ('Adam_Kiezun', '2002-05-31 13:03:17 EDT', 'daniel_megert'), ('ASSIGNED', '2002-06-01 05:40:57 EDT', 'akiezun'), ('2.0 F2', '2002-06-02 16:49:25 EDT', 'erich_gamma'), ('---', '2002-06-12 04:20:26 EDT', 'erich_gamma'), ('major', '2002-06-12 04:20:26 EDT', 'erich_gamma'), ('P2', '2002-06-12 04:20:26 EDT', 'erich_gamma'), ('Move refactoring aborts in the middle [refactoring]', '2002-08-26 08:46:06 EDT', 'akiezun'), ('RESOLVED', '2002-11-18 10:51:38 EST', 'akiezun'), ('WORKSFORME', '2002-11-18 10:51:38 EST', 'akiezun')]</t>
  </si>
  <si>
    <t>2002-06-03 09:55:06 EDT</t>
  </si>
  <si>
    <t>2002-06-03 09:55:16 EDT</t>
  </si>
  <si>
    <t>2002-05-30 11:34:59 EDT</t>
  </si>
  <si>
    <t>2002-05-23 08:00 EDT</t>
  </si>
  <si>
    <t>2002-05-25 07:18:10 EDT</t>
  </si>
  <si>
    <t>[('CREATED', '2002-05-23 08:00 EDT'), ('Nick_Edgar', '2002-05-25 07:18:10 EDT', 'erich_gamma'), ('accessibility', '2002-05-25 07:18:10 EDT', 'erich_gamma'), ('Platform', '2002-05-25 07:18:10 EDT', 'erich_gamma'), ('Modify Parameters refactoring: Accessability', '2002-05-25 07:18:10 EDT', 'erich_gamma'), ('Erich_Gamma', '2002-05-29 09:44:55 EDT', 'n.a.edgar'), ('JDT', '2002-05-29 09:44:55 EDT', 'n.a.edgar'), ('Adam_Kiezun', '2002-05-30 09:54:03 EDT', 'erich_gamma'), ('P2', '2002-05-30 09:54:03 EDT', 'erich_gamma'), ('2.0 F2', '2002-05-30 09:54:03 EDT', 'erich_gamma'), ('ASSIGNED', '2002-05-30 10:40:50 EDT', 'akiezun'), ('FIXED', '2002-05-30 11:34:59 EDT', 'akiezun'), ('RESOLVED', '2002-05-30 11:34:59 EDT', 'akiezun'), ('till_bay', '2002-06-02 17:30:51 EDT', 'erich_gamma'), ('NEW', '2002-06-02 17:30:51 EDT', 'erich_gamma'), ('RESOLVED', '2002-06-03 09:55:06 EDT', 'till_bay'), ('VERIFIED', '2002-06-03 09:55:16 EDT', 'till_bay')]</t>
  </si>
  <si>
    <t>2002-05-31 04:55:40 EDT</t>
  </si>
  <si>
    <t>2002-05-23 08:31 EDT</t>
  </si>
  <si>
    <t>2002-05-25 07:13:16 EDT</t>
  </si>
  <si>
    <t>2002-06-02 16:49:11 EDT</t>
  </si>
  <si>
    <t>[('CREATED', '2002-05-23 08:31 EDT'), ('Adam_Kiezun', '2002-05-25 07:13:16 EDT', 'erich_gamma'), ('critical', '2002-05-25 07:13:16 EDT', 'erich_gamma'), ('P2', '2002-05-25 07:13:16 EDT', 'erich_gamma'), ('2.0 F1', '2002-05-25 07:13:16 EDT', 'erich_gamma'), ('ASSIGNED', '2002-05-27 06:21:51 EDT', 'akiezun'), ('RESOLVED', '2002-05-31 04:55:40 EDT', 'akiezun'), ('WORKSFORME', '2002-05-31 04:55:40 EDT', 'akiezun'), ('2.0 F2', '2002-06-02 16:49:11 EDT', 'erich_gamma')]</t>
  </si>
  <si>
    <t>2003-04-28 06:04:09 EDT</t>
  </si>
  <si>
    <t>2002-06-03 05:41:29 EDT</t>
  </si>
  <si>
    <t>2009-08-30 02:36:10 EDT</t>
  </si>
  <si>
    <t>2002-06-03 06:45:10 EDT</t>
  </si>
  <si>
    <t>2002-05-23 09:32 EDT</t>
  </si>
  <si>
    <t>2002-05-24 20:07:25 EDT</t>
  </si>
  <si>
    <t>[('CREATED', '2002-05-23 09:32 EDT'), ('2.0 F1', '2002-05-24 20:07:25 EDT', 'erich_gamma'), ('Adam_Kiezun', '2002-05-24 20:07:25 EDT', 'erich_gamma'), ('major', '2002-05-24 20:07:25 EDT', 'erich_gamma'), ('P2', '2002-05-24 20:07:25 EDT', 'erich_gamma'), ('RESOLVED', '2002-05-27 08:29:53 EDT', 'akiezun'), ('FIXED', '2002-05-27 08:29:53 EDT', 'akiezun'), ('2.0 F2', '2002-06-02 16:49:03 EDT', 'erich_gamma'), ('Daniel_Megert', '2002-06-02 17:32:58 EDT', 'erich_gamma'), ('NEW', '2002-06-02 17:32:58 EDT', 'erich_gamma'), ('---', '2002-06-03 05:38:31 EDT', 'daniel_megert'), ('RESOLVED', '2002-06-03 05:41:29 EDT', 'daniel_megert'), ('FIXED', '2002-06-03 05:41:29 EDT', 'daniel_megert'), ('REOPENED', '2002-06-03 06:45:10 EDT', 'daniel_megert'), ('---', '2002-06-03 06:45:10 EDT', 'daniel_megert'), ('Erich_Gamma', '2002-06-03 06:53:05 EDT', 'daniel_megert'), ('NEW', '2002-06-03 06:53:05 EDT', 'daniel_megert'), ('RESOLVED', '2002-06-09 18:20:20 EDT', 'erich_gamma'), ('LATER', '2002-06-09 18:20:20 EDT', 'erich_gamma'), ('P3', '2002-07-22 09:31:04 EDT', 'dirk_baeumer'), ('2.1', '2002-07-22 09:31:04 EDT', 'dirk_baeumer'), ('normal', '2002-07-22 09:31:04 EDT', 'dirk_baeumer'), ('Mssing context on error in Rename Element [refactoring]', '2002-07-24 05:43:55 EDT', 'dirk_baeumer'), ('investigate', '2002-07-25 05:06:25 EDT', 'dirk_baeumer'), ('---', '2002-07-25 05:06:25 EDT', 'dirk_baeumer'), ('jdt-ui-inbox', '2002-09-12 09:41:28 EDT', 'dirk_baeumer'), ('NEW', '2002-09-12 09:41:28 EDT', 'dirk_baeumer'), ('ASSIGNED', '2002-09-12 10:09:00 EDT', 'dirk_baeumer'), ('RESOLVED', '2003-04-28 06:04:09 EDT', 'dirk_baeumer'), ('WONTFIX', '2009-08-30 02:36:10 EDT', 'webmaster')]</t>
  </si>
  <si>
    <t>16727 17054 (view as bug list)</t>
  </si>
  <si>
    <t>2002-06-03 05:41:36 EDT</t>
  </si>
  <si>
    <t>2002-06-03 06:49:18 EDT</t>
  </si>
  <si>
    <t>2002-05-23 09:34 EDT</t>
  </si>
  <si>
    <t>2002-05-23 09:54:59 EDT</t>
  </si>
  <si>
    <t>[('CREATED', '2002-05-23 09:34 EDT'), ('jared-eclipse', '2002-05-23 09:54:59 EDT', 'dirk_baeumer'), ('Nick_Edgar', '2002-05-23 09:56:10 EDT', 'dirk_baeumer'), (nan, '2002-05-23 09:56:11 EDT', 'dirk_baeumer'), ('florey', '2002-05-23 09:58:42 EDT', 'dirk_baeumer'), ('Dirk_Baeumer', '2002-05-24 20:06:48 EDT', 'erich_gamma'), ('P2', '2002-05-24 20:06:48 EDT', 'erich_gamma'), ('2.0 F1', '2002-05-24 20:06:48 EDT', 'erich_gamma'), ('RESOLVED', '2002-05-29 05:18:24 EDT', 'dirk_baeumer'), ('FIXED', '2002-05-29 05:18:24 EDT', 'dirk_baeumer'), ('2.0 F2', '2002-06-02 16:49:12 EDT', 'erich_gamma'), ('Daniel_Megert', '2002-06-02 17:33:03 EDT', 'erich_gamma'), ('NEW', '2002-06-02 17:33:03 EDT', 'erich_gamma'), ('---', '2002-06-03 05:38:37 EDT', 'daniel_megert'), ('RESOLVED', '2002-06-03 05:41:36 EDT', 'daniel_megert'), ('FIXED', '2002-06-03 05:41:36 EDT', 'daniel_megert'), ('VERIFIED', '2002-06-03 06:49:18 EDT', 'daniel_megert')]</t>
  </si>
  <si>
    <t>2002-05-30 09:55:22 EDT</t>
  </si>
  <si>
    <t>2009-08-30 02:39:24 EDT</t>
  </si>
  <si>
    <t>2002-05-23 10:29 EDT</t>
  </si>
  <si>
    <t>2002-05-25 06:25:06 EDT</t>
  </si>
  <si>
    <t>[('CREATED', '2002-05-23 10:29 EDT'), ('kai-uwe_maetzel', '2002-05-25 06:25:06 EDT', 'erich_gamma'), ('Claude_Knaus', '2002-05-25 06:25:06 EDT', 'erich_gamma'), ('2.0 F1', '2002-05-25 06:25:06 EDT', 'erich_gamma'), ('RESOLVED', '2002-05-30 09:55:22 EDT', 'Claude_Knaus'), ('LATER', '2002-05-30 09:55:22 EDT', 'Claude_Knaus'), ('2.0 F2', '2002-06-02 16:49:24 EDT', 'erich_gamma'), ('---', '2002-06-02 16:55:23 EDT', 'erich_gamma'), ('WONTFIX', '2009-08-30 02:39:24 EDT', 'webmaster'), ('jdt-ui-inbox', '2009-08-30 02:39:24 EDT', 'webmaster')]</t>
  </si>
  <si>
    <t>2003-01-20 11:42:35 EST</t>
  </si>
  <si>
    <t>2002-05-23 10:33 EDT</t>
  </si>
  <si>
    <t>2002-05-24 20:00:09 EDT</t>
  </si>
  <si>
    <t>[('CREATED', '2002-05-23 10:33 EDT'), ('Adam_Kiezun', '2002-05-24 20:00:09 EDT', 'erich_gamma'), ('P2', '2002-05-24 20:00:09 EDT', 'erich_gamma'), ('2.0 F1', '2002-05-24 20:00:09 EDT', 'erich_gamma'), ('Adam_Kiezun', '2002-05-27 09:25:48 EDT', 'akiezun'), ('Erich_Gamma', '2002-05-27 09:25:48 EDT', 'akiezun'), ('2.0 F2', '2002-06-02 16:49:28 EDT', 'erich_gamma'), ('RESOLVED', '2002-06-05 02:13:29 EDT', 'erich_gamma'), ('LATER', '2002-06-05 02:13:29 EDT', 'erich_gamma'), ('---', '2002-07-22 11:00:59 EDT', 'dirk_baeumer'), ('Modify Method Parameters: missing in context menu [refactoring]', '2002-07-24 05:44:38 EDT', 'dirk_baeumer'), ('jdt-ui-inbox', '2002-09-12 09:42:51 EDT', 'dirk_baeumer'), ('NEW', '2002-09-12 09:42:51 EDT', 'dirk_baeumer'), ('ASSIGNED', '2002-09-12 10:12:03 EDT', 'dirk_baeumer'), ('RESOLVED', '2003-01-20 11:42:35 EST', 'dirk_baeumer'), ('WORKSFORME', '2003-01-20 11:42:35 EST', 'dirk_baeumer')]</t>
  </si>
  <si>
    <t>2002-06-03 05:41:37 EDT</t>
  </si>
  <si>
    <t>2002-06-03 10:44:59 EDT</t>
  </si>
  <si>
    <t>2002-05-23 10:51 EDT</t>
  </si>
  <si>
    <t>2002-05-25 06:15:43 EDT</t>
  </si>
  <si>
    <t>[('CREATED', '2002-05-23 10:51 EDT'), ('Adam_Kiezun', '2002-05-25 06:15:43 EDT', 'erich_gamma'), ('major', '2002-05-25 06:15:43 EDT', 'erich_gamma'), ('P2', '2002-05-25 06:15:43 EDT', 'erich_gamma'), ('2.0 F1', '2002-05-25 06:15:43 EDT', 'erich_gamma'), ('ASSIGNED', '2002-05-27 09:38:44 EDT', 'akiezun'), ('RESOLVED', '2002-05-27 09:50:46 EDT', 'akiezun'), ('FIXED', '2002-05-27 09:50:46 EDT', 'akiezun'), ('2.0 F2', '2002-06-02 16:49:12 EDT', 'erich_gamma'), ('Daniel_Megert', '2002-06-02 17:33:04 EDT', 'erich_gamma'), ('NEW', '2002-06-02 17:33:04 EDT', 'erich_gamma'), ('---', '2002-06-03 05:38:38 EDT', 'daniel_megert'), ('RESOLVED', '2002-06-03 05:41:37 EDT', 'daniel_megert'), ('FIXED', '2002-06-03 05:41:37 EDT', 'daniel_megert'), ('VERIFIED', '2002-06-03 10:44:59 EDT', 'daniel_megert')]</t>
  </si>
  <si>
    <t>2002-06-03 05:41:33 EDT</t>
  </si>
  <si>
    <t>2002-06-03 13:15:49 EDT</t>
  </si>
  <si>
    <t>2002-05-23 16:00 EDT</t>
  </si>
  <si>
    <t>2002-05-26 03:40:02 EDT</t>
  </si>
  <si>
    <t>[('CREATED', '2002-05-23 16:00 EDT'), ('Adam_Kiezun', '2002-05-26 03:40:02 EDT', 'erich_gamma'), ('major', '2002-05-26 03:40:02 EDT', 'erich_gamma'), ('P2', '2002-05-26 03:40:02 EDT', 'erich_gamma'), ('2.0 F1', '2002-05-26 03:40:02 EDT', 'erich_gamma'), ('erich_gamma', '2002-05-27 11:18:02 EDT', 'akiezun'), ('ASSIGNED', '2002-05-27 11:18:02 EDT', 'akiezun'), ('RESOLVED', '2002-05-27 12:14:42 EDT', 'akiezun'), ('FIXED', '2002-05-27 12:14:42 EDT', 'akiezun'), ('2.0 F2', '2002-06-02 16:49:26 EDT', 'erich_gamma'), ('Daniel_Megert', '2002-06-02 17:33:01 EDT', 'erich_gamma'), ('NEW', '2002-06-02 17:33:01 EDT', 'erich_gamma'), ('---', '2002-06-03 05:38:34 EDT', 'daniel_megert'), ('RESOLVED', '2002-06-03 05:41:33 EDT', 'daniel_megert'), ('FIXED', '2002-06-03 05:41:33 EDT', 'daniel_megert'), ('VERIFIED', '2002-06-03 13:15:49 EDT', 'daniel_megert')]</t>
  </si>
  <si>
    <t>2003-04-28 06:03:43 EDT</t>
  </si>
  <si>
    <t>2009-08-30 02:18:29 EDT</t>
  </si>
  <si>
    <t>2002-05-23 22:35 EDT</t>
  </si>
  <si>
    <t>2002-05-23 22:35:23 EDT</t>
  </si>
  <si>
    <t>[('CREATED', '2002-05-23 22:35 EDT'), ('yasuday', '2002-05-23 22:35:23 EDT', 'fuse'), ('RESOLVED', '2002-05-25 15:37:41 EDT', 'erich_gamma'), ('LATER', '2002-05-25 15:37:41 EDT', 'erich_gamma'), ('helpwanted', '2002-09-02 09:32:30 EDT', 'dirk_baeumer'), ('P4', '2002-09-02 09:32:30 EDT', 'dirk_baeumer'), ("DBCS: Externalize Strings don't create ListResourceBundle [refactoring]", '2002-09-02 09:32:30 EDT', 'dirk_baeumer'), ('enhancement', '2002-09-02 09:32:30 EDT', 'dirk_baeumer'), ('jdt-ui-inbox', '2002-09-12 09:40:24 EDT', 'dirk_baeumer'), ('NEW', '2002-09-12 09:40:24 EDT', 'dirk_baeumer'), ('ASSIGNED', '2002-09-12 10:05:51 EDT', 'dirk_baeumer'), ('RESOLVED', '2003-04-28 06:03:43 EDT', 'dirk_baeumer'), ('WONTFIX', '2009-08-30 02:18:29 EDT', 'denis.roy')]</t>
  </si>
  <si>
    <t>2004-08-13 13:16:58 EDT</t>
  </si>
  <si>
    <t>2004-08-13 13:16:40 EDT</t>
  </si>
  <si>
    <t>2002-05-23 23:55 EDT</t>
  </si>
  <si>
    <t>2002-05-26 03:52:57 EDT</t>
  </si>
  <si>
    <t>2009-05-04 04:28:40 EDT</t>
  </si>
  <si>
    <t>[('CREATED', '2002-05-23 23:55 EDT'), ('dirk_baeumer', '2002-05-26 03:52:57 EDT', 'erich_gamma'), ('RESOLVED', '2002-05-26 03:52:57 EDT', 'erich_gamma'), ('readme', '2002-05-26 03:52:57 EDT', 'erich_gamma'), ('LATER', '2002-05-26 03:52:57 EDT', 'erich_gamma'), ('Tasks cleared by refactoring [refactoring]', '2002-07-24 05:47:04 EDT', 'dirk_baeumer'), ('jdt-ui-inbox', '2002-09-12 09:40:28 EDT', 'dirk_baeumer'), ('NEW', '2002-09-12 09:40:28 EDT', 'dirk_baeumer'), ('ASSIGNED', '2002-09-12 10:05:58 EDT', 'dirk_baeumer'), ('RESOLVED', '2003-04-28 06:03:19 EDT', 'dirk_baeumer'), ('REOPENED', '2004-08-13 13:16:40 EDT', 'dirk_baeumer'), ('---', '2004-08-13 13:16:40 EDT', 'dirk_baeumer'), ('RESOLVED', '2004-08-13 13:16:58 EDT', 'dirk_baeumer'), ('FIXED', '2004-08-13 13:16:58 EDT', 'dirk_baeumer'), ('daniel_megert', '2009-05-04 04:28:40 EDT', 'daniel_megert'), (nan, '2009-05-04 04:28:40 EDT', 'daniel_megert')]</t>
  </si>
  <si>
    <t>2003-03-25 13:29:33 EST</t>
  </si>
  <si>
    <t>2002-05-24 08:29 EDT</t>
  </si>
  <si>
    <t>2002-05-24 18:43:02 EDT</t>
  </si>
  <si>
    <t>2009-05-04 04:27:53 EDT</t>
  </si>
  <si>
    <t>[('CREATED', '2002-05-24 08:29 EDT'), ('RESOLVED', '2002-05-24 18:43:02 EDT', 'erich_gamma'), ('readme', '2002-05-24 18:43:02 EDT', 'erich_gamma'), ('LATER', '2002-05-24 18:43:02 EDT', 'erich_gamma'), ('2.1', '2002-07-22 09:48:07 EDT', 'dirk_baeumer'), ('Source actions and Clear Case [code manipulation]', '2002-07-24 05:47:35 EDT', 'dirk_baeumer'), ('investigate', '2002-07-25 05:06:51 EDT', 'dirk_baeumer'), ('---', '2002-07-25 05:06:51 EDT', 'dirk_baeumer'), ('jdt-ui-inbox', '2002-09-12 09:39:36 EDT', 'dirk_baeumer'), ('NEW', '2002-09-12 09:39:36 EDT', 'dirk_baeumer'), ('ASSIGNED', '2002-09-12 10:04:46 EDT', 'dirk_baeumer'), ('FIXED', '2003-03-25 13:29:33 EST', 'dirk_baeumer'), ('RESOLVED', '2003-03-25 13:29:33 EST', 'dirk_baeumer'), ('daniel_megert', '2009-05-04 04:27:53 EDT', 'daniel_megert'), (nan, '2009-05-04 04:27:53 EDT', 'daniel_megert')]</t>
  </si>
  <si>
    <t>2007-07-19 10:59:59 EDT</t>
  </si>
  <si>
    <t>2007-07-19 10:59:22 EDT</t>
  </si>
  <si>
    <t>2002-05-24 09:50 EDT</t>
  </si>
  <si>
    <t>2002-05-24 09:51:45 EDT</t>
  </si>
  <si>
    <t>benno.baumgartner</t>
  </si>
  <si>
    <t>[('CREATED', '2002-05-24 09:50 EDT'), ('Adam_Kiezun', '2002-05-24 09:51:45 EDT', 'akiezun'), ('RESOLVED', '2002-05-25 15:09:13 EDT', 'erich_gamma'), ('LATER', '2002-05-25 15:09:13 EDT', 'erich_gamma'), ("DND field from sub to super class doesn't fix imports [dnd] [type hierarchy]", '2002-07-24 05:49:08 EDT', 'dirk_baeumer'), ('jdt-ui-inbox', '2002-09-12 09:40:57 EDT', 'dirk_baeumer'), ('NEW', '2002-09-12 09:40:57 EDT', 'dirk_baeumer'), ('ASSIGNED', '2002-09-12 10:06:49 EDT', 'dirk_baeumer'), ('enhancement', '2002-09-18 05:11:18 EDT', 'akiezun'), ('RESOLVED', '2003-04-28 06:04:10 EDT', 'dirk_baeumer'), ('REOPENED', '2007-07-19 10:59:22 EDT', 'benno.baumgartner'), ('---', '2007-07-19 10:59:22 EDT', 'benno.baumgartner'), ('RESOLVED', '2007-07-19 10:59:59 EDT', 'benno.baumgartner'), ('WORKSFORME', '2007-07-19 10:59:59 EDT', 'benno.baumgartner')]</t>
  </si>
  <si>
    <t>2002-06-04 10:40:51 EDT</t>
  </si>
  <si>
    <t>2002-06-04 10:41:15 EDT</t>
  </si>
  <si>
    <t>2002-05-24 09:55 EDT</t>
  </si>
  <si>
    <t>2002-05-24 18:26:35 EDT</t>
  </si>
  <si>
    <t>[('CREATED', '2002-05-24 09:55 EDT'), ('Dirk_Baeumer', '2002-05-24 18:26:35 EDT', 'erich_gamma'), ('2.0 F1', '2002-05-24 18:26:35 EDT', 'erich_gamma'), ('2.0 F2', '2002-05-30 07:57:11 EDT', 'dirk_baeumer'), ('RESOLVED', '2002-05-30 07:57:11 EDT', 'dirk_baeumer'), ('FIXED', '2002-05-30 07:57:11 EDT', 'dirk_baeumer'), ('Erich_Gamma', '2002-06-02 17:36:02 EDT', 'erich_gamma'), ('NEW', '2002-06-02 17:36:02 EDT', 'erich_gamma'), ('---', '2002-06-04 10:40:40 EDT', 'erich_gamma'), ('RESOLVED', '2002-06-04 10:40:51 EDT', 'erich_gamma'), ('FIXED', '2002-06-04 10:40:51 EDT', 'erich_gamma'), ('VERIFIED', '2002-06-04 10:41:15 EDT', 'erich_gamma')]</t>
  </si>
  <si>
    <t>2002-06-04 07:50:47 EDT</t>
  </si>
  <si>
    <t>2002-05-24 10:45 EDT</t>
  </si>
  <si>
    <t>2002-05-24 10:45:19 EDT</t>
  </si>
  <si>
    <t>[('CREATED', '2002-05-24 10:45 EDT'), ('kevin_haaland', '2002-05-24 10:45:19 EDT', 'akiezun'), ('major', '2002-05-24 11:52:51 EDT', 'akiezun'), ('critical', '2002-05-24 18:08:32 EDT', 'erich_gamma'), ('P1', '2002-05-24 18:08:32 EDT', 'erich_gamma'), ('2.0 F1', '2002-05-24 18:08:32 EDT', 'erich_gamma'), ('Dirk_Baeumer', '2002-05-24 18:08:32 EDT', 'erich_gamma'), ('Daniel_Megert', '2002-05-27 05:44:58 EDT', 'dirk_baeumer'), ('RESOLVED', '2002-05-27 10:43:22 EDT', 'daniel_megert'), ('FIXED', '2002-05-27 10:43:22 EDT', 'daniel_megert'), ('2.0 F2', '2002-05-27 12:23:42 EDT', 'daniel_megert'), ('Erich_Gamma', '2002-06-02 17:35:49 EDT', 'erich_gamma'), ('NEW', '2002-06-02 17:35:49 EDT', 'erich_gamma'), ('---', '2002-06-04 07:50:08 EDT', 'erich_gamma'), ('RESOLVED', '2002-06-04 07:50:47 EDT', 'erich_gamma'), ('FIXED', '2002-06-04 07:50:47 EDT', 'erich_gamma')]</t>
  </si>
  <si>
    <t>2002-06-04 10:15:27 EDT</t>
  </si>
  <si>
    <t>2002-06-04 10:15:38 EDT</t>
  </si>
  <si>
    <t>2002-05-24 10:54 EDT</t>
  </si>
  <si>
    <t>2002-05-24 18:04:27 EDT</t>
  </si>
  <si>
    <t>[('CREATED', '2002-05-24 10:54 EDT'), ('Dirk_Baeumer', '2002-05-24 18:04:27 EDT', 'erich_gamma'), ('major', '2002-05-24 18:04:27 EDT', 'erich_gamma'), ('P1', '2002-05-24 18:04:27 EDT', 'erich_gamma'), ('2.0 F1', '2002-05-24 18:04:27 EDT', 'erich_gamma'), ('Adam_Kiezun', '2002-05-27 06:42:39 EDT', 'dirk_baeumer'), ('RESOLVED', '2002-05-28 05:03:36 EDT', 'akiezun'), ('FIXED', '2002-05-28 05:03:36 EDT', 'akiezun'), ('2.0 F2', '2002-06-02 16:49:29 EDT', 'erich_gamma'), ('Erich_Gamma', '2002-06-02 17:35:57 EDT', 'erich_gamma'), ('NEW', '2002-06-02 17:35:57 EDT', 'erich_gamma'), ('---', '2002-06-04 10:15:12 EDT', 'erich_gamma'), ('RESOLVED', '2002-06-04 10:15:27 EDT', 'erich_gamma'), ('FIXED', '2002-06-04 10:15:27 EDT', 'erich_gamma'), ('VERIFIED', '2002-06-04 10:15:38 EDT', 'erich_gamma')]</t>
  </si>
  <si>
    <t>RESOLVED  DUPLICATE  of bug 19721</t>
  </si>
  <si>
    <t>2002-06-08 19:18:30 EDT</t>
  </si>
  <si>
    <t>2002-05-29 10:05:09 EDT</t>
  </si>
  <si>
    <t>2002-05-24 11:58 EDT</t>
  </si>
  <si>
    <t>2002-05-24 17:26:41 EDT</t>
  </si>
  <si>
    <t>[('CREATED', '2002-05-24 11:58 EDT'), ('Dirk_Baeumer', '2002-05-24 17:26:41 EDT', 'erich_gamma'), ('P2', '2002-05-24 17:26:41 EDT', 'erich_gamma'), ('2.0 F1', '2002-05-24 17:26:41 EDT', 'erich_gamma'), ('RESOLVED', '2002-05-29 10:05:09 EDT', 'dirk_baeumer'), ('FIXED', '2002-05-29 10:05:09 EDT', 'dirk_baeumer'), ('2.0 F2', '2002-06-02 16:49:33 EDT', 'erich_gamma'), ('Adam_Kiezun', '2002-06-02 17:42:39 EDT', 'erich_gamma'), ('NEW', '2002-06-02 17:42:39 EDT', 'erich_gamma'), ('Erich_Gamma', '2002-06-03 09:37:22 EDT', 'akiezun'), ('RESOLVED', '2002-06-08 19:18:30 EDT', 'erich_gamma'), ('DUPLICATE', '2002-06-08 19:18:30 EDT', 'erich_gamma')]</t>
  </si>
  <si>
    <t>2002-06-03 06:57:16 EDT</t>
  </si>
  <si>
    <t>2002-06-03 06:57:31 EDT</t>
  </si>
  <si>
    <t>2002-05-24 12:26 EDT</t>
  </si>
  <si>
    <t>2002-05-24 17:17:13 EDT</t>
  </si>
  <si>
    <t>[('CREATED', '2002-05-24 12:26 EDT'), ('P1', '2002-05-24 17:17:13 EDT', 'erich_gamma'), ('2.0 F1', '2002-05-24 17:17:13 EDT', 'erich_gamma'), ('ASSIGNED', '2002-05-26 18:23:26 EDT', 'erich_gamma'), ('major', '2002-05-26 18:23:26 EDT', 'erich_gamma'), ('RESOLVED', '2002-05-29 12:20:12 EDT', 'erich_gamma'), ('FIXED', '2002-05-29 12:20:12 EDT', 'erich_gamma'), ('2.0 F2', '2002-06-02 16:49:09 EDT', 'erich_gamma'), ('Dirk_Baeumer', '2002-06-02 17:40:09 EDT', 'erich_gamma'), ('NEW', '2002-06-02 17:40:09 EDT', 'erich_gamma'), ('---', '2002-06-03 06:57:03 EDT', 'dirk_baeumer'), ('RESOLVED', '2002-06-03 06:57:16 EDT', 'dirk_baeumer'), ('FIXED', '2002-06-03 06:57:16 EDT', 'dirk_baeumer'), ('VERIFIED', '2002-06-03 06:57:31 EDT', 'dirk_baeumer')]</t>
  </si>
  <si>
    <t>2002-05-27 07:45:05 EDT</t>
  </si>
  <si>
    <t>2002-05-25 14:44 EDT</t>
  </si>
  <si>
    <t>2002-05-25 14:44:24 EDT</t>
  </si>
  <si>
    <t>2002-06-02 16:49:18 EDT</t>
  </si>
  <si>
    <t>[('CREATED', '2002-05-25 14:44 EDT'), ('major', '2002-05-25 14:44:24 EDT', 'erich_gamma'), ('2.0 F1', '2002-05-25 14:44:24 EDT', 'erich_gamma'), ('RESOLVED', '2002-05-27 07:45:05 EDT', 'dirk_baeumer'), ('WORKSFORME', '2002-05-27 07:45:05 EDT', 'dirk_baeumer'), ('2.0 F2', '2002-06-02 16:49:18 EDT', 'erich_gamma')]</t>
  </si>
  <si>
    <t>2002-06-03 09:54:42 EDT</t>
  </si>
  <si>
    <t>2002-06-03 09:54:55 EDT</t>
  </si>
  <si>
    <t>2002-05-28 11:27:36 EDT</t>
  </si>
  <si>
    <t>2002-05-27 06:32 EDT</t>
  </si>
  <si>
    <t>2002-05-27 06:45:23 EDT</t>
  </si>
  <si>
    <t>[('CREATED', '2002-05-27 06:32 EDT'), ('Dirk_Baeumer', '2002-05-27 06:45:23 EDT', 'erich_gamma'), ('2.0 F1', '2002-05-27 06:45:23 EDT', 'erich_gamma'), ('Adam_Kiezun', '2002-05-27 08:14:33 EDT', 'dirk_baeumer'), ('RESOLVED', '2002-05-28 11:27:36 EDT', 'akiezun'), ('FIXED', '2002-05-28 11:27:36 EDT', 'akiezun'), ('2.0 F2', '2002-06-02 16:49:33 EDT', 'erich_gamma'), ('Dirk_Baeumer', '2002-06-02 17:40:14 EDT', 'erich_gamma'), ('NEW', '2002-06-02 17:40:14 EDT', 'erich_gamma'), ('RESOLVED', '2002-06-03 09:54:42 EDT', 'dirk_baeumer'), ('VERIFIED', '2002-06-03 09:54:55 EDT', 'dirk_baeumer')]</t>
  </si>
  <si>
    <t>2002-05-30 09:10:30 EDT</t>
  </si>
  <si>
    <t>2002-05-27 16:31 EDT</t>
  </si>
  <si>
    <t>2002-05-27 16:31:38 EDT</t>
  </si>
  <si>
    <t>[('CREATED', '2002-05-27 16:31 EDT'), ('Adam_Kiezun', '2002-05-27 16:31:38 EDT', 'akiezun'), ('kai-uwe_maetzel', '2002-05-28 08:13:25 EDT', 'erich_gamma'), ('Adam_Kiezun', '2002-05-28 08:13:25 EDT', 'erich_gamma'), ('WONTFIX', '2002-05-30 09:10:30 EDT', 'akiezun'), ('RESOLVED', '2002-05-30 09:10:30 EDT', 'akiezun')]</t>
  </si>
  <si>
    <t>2003-04-28 06:03:05 EDT</t>
  </si>
  <si>
    <t>2009-08-30 02:39:19 EDT</t>
  </si>
  <si>
    <t>2002-05-27 16:57 EDT</t>
  </si>
  <si>
    <t>2002-05-28 09:10:49 EDT</t>
  </si>
  <si>
    <t>[('CREATED', '2002-05-27 16:57 EDT'), ('RESOLVED', '2002-05-28 09:10:49 EDT', 'erich_gamma'), ('LATER', '2002-05-28 09:10:49 EDT', 'erich_gamma'), ('2.1', '2002-07-22 10:19:08 EDT', 'dirk_baeumer'), ('Open paranthesis missed by Ctrl+Right Arrow [refactoring]', '2002-07-24 05:50:26 EDT', 'dirk_baeumer'), ('investigate', '2002-07-25 05:07:04 EDT', 'dirk_baeumer'), ('---', '2002-07-25 05:07:04 EDT', 'dirk_baeumer'), ('jdt-ui-inbox', '2002-09-12 09:40:21 EDT', 'dirk_baeumer'), ('NEW', '2002-09-12 09:40:21 EDT', 'dirk_baeumer'), ('ASSIGNED', '2002-09-12 10:05:36 EDT', 'dirk_baeumer'), ('RESOLVED', '2003-04-28 06:03:05 EDT', 'dirk_baeumer'), ('WONTFIX', '2009-08-30 02:39:19 EDT', 'webmaster')]</t>
  </si>
  <si>
    <t>2002-05-29 10:24:09 EDT</t>
  </si>
  <si>
    <t>2002-06-13 11:00:54 EDT</t>
  </si>
  <si>
    <t>2002-05-28 13:03 EDT</t>
  </si>
  <si>
    <t>2002-05-28 18:59:28 EDT</t>
  </si>
  <si>
    <t>[('CREATED', '2002-05-28 13:03 EDT'), ('Dirk_Baeumer', '2002-05-28 18:59:28 EDT', 'erich_gamma'), ('2.0 F2', '2002-05-28 18:59:28 EDT', 'erich_gamma'), ('RESOLVED', '2002-05-29 10:24:09 EDT', 'dirk_baeumer'), ('FIXED', '2002-05-29 10:24:09 EDT', 'dirk_baeumer'), ('VERIFIED', '2002-06-13 11:00:54 EDT', 'dirk_baeumer')]</t>
  </si>
  <si>
    <t>23277 39809 43504 (view as bug list)</t>
  </si>
  <si>
    <t>2004-08-13 13:17:54 EDT</t>
  </si>
  <si>
    <t>2004-08-13 13:17:36 EDT</t>
  </si>
  <si>
    <t>2002-05-28 13:28 EDT</t>
  </si>
  <si>
    <t>2002-05-29 08:16:58 EDT</t>
  </si>
  <si>
    <t>[('CREATED', '2002-05-28 13:28 EDT'), ('Erich_Gamma', '2002-05-29 08:16:58 EDT', 'akiezun'), ('UI', '2002-05-29 08:16:58 EDT', 'akiezun'), ('RESOLVED', '2002-05-29 10:33:05 EDT', 'erich_gamma'), ('LATER', '2002-05-29 10:33:05 EDT', 'erich_gamma'), ('Refactor package name should update launch configs [refactoring]', '2002-07-24 05:50:46 EDT', 'dirk_baeumer'), ('jdt-ui-inbox', '2002-09-12 09:42:34 EDT', 'dirk_baeumer'), ('NEW', '2002-09-12 09:42:34 EDT', 'dirk_baeumer'), ('ASSIGNED', '2002-09-12 10:11:27 EDT', 'dirk_baeumer'), ('oursland', '2002-11-25 05:02:34 EST', 'dirk_baeumer'), ('RESOLVED', '2003-04-28 06:02:39 EDT', 'dirk_baeumer'), ('cmdodd', '2003-07-09 10:45:56 EDT', 'dirk_baeumer'), ('eclipse', '2003-09-23 12:51:12 EDT', 'dirk_baeumer'), ('eric.rizzo', '2003-12-04 13:49:35 EST', 'eclipse-bugs'), ('REOPENED', '2004-08-13 13:17:36 EDT', 'dirk_baeumer'), ('---', '2004-08-13 13:17:36 EDT', 'dirk_baeumer'), ('RESOLVED', '2004-08-13 13:17:54 EDT', 'dirk_baeumer'), ('FIXED', '2004-08-13 13:17:54 EDT', 'dirk_baeumer'), ('3.0', '2004-08-13 13:17:54 EDT', 'dirk_baeumer')]</t>
  </si>
  <si>
    <t>2002-05-30 12:08:52 EDT</t>
  </si>
  <si>
    <t>2002-05-29 05:23 EDT</t>
  </si>
  <si>
    <t>2002-05-29 08:16:04 EDT</t>
  </si>
  <si>
    <t>[('CREATED', '2002-05-29 05:23 EDT'), ('Erich_Gamma', '2002-05-29 08:16:04 EDT', 'akiezun'), ('UI', '2002-05-29 08:16:04 EDT', 'akiezun'), ('2.0 F2', '2002-05-30 11:48:47 EDT', 'erich_gamma'), ('Dirk_Baeumer', '2002-05-30 11:48:47 EDT', 'erich_gamma'), ('P2', '2002-05-30 11:48:47 EDT', 'erich_gamma'), ('RESOLVED', '2002-05-30 12:08:52 EDT', 'dirk_baeumer'), ('WORKSFORME', '2002-05-30 12:08:52 EDT', 'dirk_baeumer')]</t>
  </si>
  <si>
    <t>2002-05-30 08:45:55 EDT</t>
  </si>
  <si>
    <t>2002-05-30 08:19 EDT</t>
  </si>
  <si>
    <t>2002-05-30 08:23:59 EDT</t>
  </si>
  <si>
    <t>[('CREATED', '2002-05-30 08:19 EDT'), ('Adam_Kiezun', '2002-05-30 08:23:59 EDT', 'akiezun'), ('ASSIGNED', '2002-05-30 08:36:13 EDT', 'akiezun'), ('RESOLVED', '2002-05-30 08:45:55 EDT', 'akiezun'), ('FIXED', '2002-05-30 08:45:55 EDT', 'akiezun')]</t>
  </si>
  <si>
    <t>2002-06-03 09:26:42 EDT</t>
  </si>
  <si>
    <t>2002-06-03 09:26:49 EDT</t>
  </si>
  <si>
    <t>2002-06-01 07:36:35 EDT</t>
  </si>
  <si>
    <t>2002-05-30 09:01 EDT</t>
  </si>
  <si>
    <t>2002-05-30 11:44:08 EDT</t>
  </si>
  <si>
    <t>[('CREATED', '2002-05-30 09:01 EDT'), ('Martin_Aeschlimann', '2002-05-30 11:44:08 EDT', 'erich_gamma'), ('2.0 F2', '2002-05-30 11:44:08 EDT', 'erich_gamma'), ('RESOLVED', '2002-06-01 07:36:35 EDT', 'martinae'), ('FIXED', '2002-06-01 07:36:35 EDT', 'martinae'), ('Adam_Kiezun', '2002-06-02 17:42:32 EDT', 'erich_gamma'), ('NEW', '2002-06-02 17:42:32 EDT', 'erich_gamma'), ('RESOLVED', '2002-06-03 09:26:42 EDT', 'akiezun'), ('VERIFIED', '2002-06-03 09:26:49 EDT', 'akiezun')]</t>
  </si>
  <si>
    <t>RESOLVED  DUPLICATE  of bug 18418</t>
  </si>
  <si>
    <t>2002-05-31 12:01:46 EDT</t>
  </si>
  <si>
    <t>2002-05-31 10:59 EDT</t>
  </si>
  <si>
    <t>[('CREATED', '2002-05-31 10:59 EDT'), ('RESOLVED', '2002-05-31 12:01:46 EDT', 'akiezun'), ('DUPLICATE', '2002-05-31 12:01:46 EDT', 'akiezun')]</t>
  </si>
  <si>
    <t>18995 (view as bug list)</t>
  </si>
  <si>
    <t>2002-09-12 13:07:33 EDT</t>
  </si>
  <si>
    <t>2002-05-31 14:09 EDT</t>
  </si>
  <si>
    <t>2002-05-31 17:03:25 EDT</t>
  </si>
  <si>
    <t>[('CREATED', '2002-05-31 14:09 EDT'), ('Adam_Kiezun', '2002-05-31 17:03:25 EDT', 'erich_gamma'), ('major', '2002-05-31 17:03:25 EDT', 'erich_gamma'), ('P2', '2002-05-31 17:03:25 EDT', 'erich_gamma'), ('ASSIGNED', '2002-06-01 05:28:37 EDT', 'akiezun'), ('Adam_Kiezun', '2002-06-01 05:39:01 EDT', 'akiezun'), ('Martin_Aeschlimann', '2002-06-01 05:39:01 EDT', 'akiezun'), ('NEW', '2002-06-01 05:39:01 EDT', 'akiezun'), ('Dirk_Baeumer', '2002-06-10 06:43:18 EDT', 'akiezun'), ('RESOLVED', '2002-09-12 13:07:33 EDT', 'martinae'), ('FIXED', '2002-09-12 13:07:33 EDT', 'martinae'), ('2.1 M1', '2002-09-12 13:07:33 EDT', 'martinae')]</t>
  </si>
  <si>
    <t>18568</t>
  </si>
  <si>
    <t>2003-04-28 06:03:38 EDT</t>
  </si>
  <si>
    <t>2009-08-30 02:19:52 EDT</t>
  </si>
  <si>
    <t>2002-05-31 21:54 EDT</t>
  </si>
  <si>
    <t>2002-05-31 21:54:06 EDT</t>
  </si>
  <si>
    <t>[('CREATED', '2002-05-31 21:54 EDT'), ('Adam_Kiezun', '2002-05-31 21:54:06 EDT', 'akiezun'), ('RESOLVED', '2002-06-08 19:25:24 EDT', 'erich_gamma'), ('LATER', '2002-06-08 19:25:24 EDT', 'erich_gamma'), ('18568', '2002-06-08 19:25:24 EDT', 'dirk_baeumer'), ('Rename element quirky with method = class name [refactoring]', '2002-07-24 05:54:37 EDT', 'dirk_baeumer'), ('NEW', '2002-09-12 09:41:43 EDT', 'dirk_baeumer'), ('jdt-ui-inbox', '2002-09-12 09:41:43 EDT', 'dirk_baeumer'), ('ASSIGNED', '2002-09-12 10:09:30 EDT', 'dirk_baeumer'), ('RESOLVED', '2003-04-28 06:03:38 EDT', 'dirk_baeumer'), ('WONTFIX', '2009-08-30 02:19:52 EDT', 'denis.roy')]</t>
  </si>
  <si>
    <t>2003-04-24 12:04:21 EDT</t>
  </si>
  <si>
    <t>2002-06-01 07:44 EDT</t>
  </si>
  <si>
    <t>2002-06-04 17:08:00 EDT</t>
  </si>
  <si>
    <t>[('CREATED', '2002-06-01 07:44 EDT'), ('RESOLVED', '2002-06-04 17:08:00 EDT', 'erich_gamma'), ('LATER', '2002-06-04 17:08:00 EDT', 'erich_gamma'), ('2.1', '2002-07-22 06:54:24 EDT', 'dirk_baeumer'), ('Refactoring: bad progress reporting on Undo and Redo [refactoring]', '2002-07-24 05:54:50 EDT', 'dirk_baeumer'), ('investigate', '2002-07-25 05:07:21 EDT', 'dirk_baeumer'), ('---', '2002-07-25 05:07:21 EDT', 'dirk_baeumer'), ('jdt-ui-inbox', '2002-09-12 09:42:05 EDT', 'dirk_baeumer'), ('NEW', '2002-09-12 09:42:05 EDT', 'dirk_baeumer'), ('ASSIGNED', '2002-09-12 10:10:27 EDT', 'dirk_baeumer'), ('RESOLVED', '2003-04-24 12:04:21 EDT', 'dirk_baeumer'), ('WORKSFORME', '2003-04-24 12:04:21 EDT', 'dirk_baeumer')]</t>
  </si>
  <si>
    <t>2003-04-28 06:03:31 EDT</t>
  </si>
  <si>
    <t>2009-08-30 02:13:30 EDT</t>
  </si>
  <si>
    <t>2002-06-01 07:46 EDT</t>
  </si>
  <si>
    <t>2002-06-04 17:16:05 EDT</t>
  </si>
  <si>
    <t>[('CREATED', '2002-06-01 07:46 EDT'), ('RESOLVED', '2002-06-04 17:16:05 EDT', 'erich_gamma'), ('LATER', '2002-06-04 17:16:05 EDT', 'erich_gamma'), ('Undo/Redo action: should show full text as description [refactoring]', '2002-07-24 05:55:03 EDT', 'dirk_baeumer'), ('jdt-ui-inbox', '2002-09-12 09:42:10 EDT', 'dirk_baeumer'), ('NEW', '2002-09-12 09:42:10 EDT', 'dirk_baeumer'), ('ASSIGNED', '2002-09-12 10:10:35 EDT', 'dirk_baeumer'), ('enhancement', '2002-09-18 11:18:01 EDT', 'dirk_baeumer'), ('RESOLVED', '2003-04-28 06:03:31 EDT', 'dirk_baeumer'), ('WONTFIX', '2009-08-30 02:13:30 EDT', 'denis.roy')]</t>
  </si>
  <si>
    <t>2002-08-07 12:23:43 EDT</t>
  </si>
  <si>
    <t>2002-06-03 09:19 EDT</t>
  </si>
  <si>
    <t>[('CREATED', '2002-06-03 09:19 EDT'), ('RESOLVED', '2002-08-07 12:23:43 EDT', 'dirk_baeumer'), ('WONTFIX', '2002-08-07 12:23:43 EDT', 'dirk_baeumer')]</t>
  </si>
  <si>
    <t>2002-06-09 17:30:23 EDT</t>
  </si>
  <si>
    <t>2002-06-03 10:20 EDT</t>
  </si>
  <si>
    <t>[('CREATED', '2002-06-03 10:20 EDT'), ('RESOLVED', '2002-06-09 17:30:23 EDT', 'erich_gamma'), ('DUPLICATE', '2002-06-09 17:30:23 EDT', 'erich_gamma')]</t>
  </si>
  <si>
    <t>30253 (view as bug list)</t>
  </si>
  <si>
    <t>2003-02-17 10:42:50 EST</t>
  </si>
  <si>
    <t>2002-08-07 12:30:42 EDT</t>
  </si>
  <si>
    <t>2003-02-17 10:41:04 EST</t>
  </si>
  <si>
    <t>2002-06-03 18:08 EDT</t>
  </si>
  <si>
    <t>[('CREATED', '2002-06-03 18:08 EDT'), ('Dirk_Baeumer', '2002-08-07 12:30:42 EDT', 'dirk_baeumer'), ('RESOLVED', '2002-08-07 12:30:42 EDT', 'dirk_baeumer'), ('WORKSFORME', '2002-08-07 12:30:42 EDT', 'dirk_baeumer'), ('REOPENED', '2002-08-10 19:29:56 EDT', 'cagatayk'), ('---', '2002-08-10 19:29:56 EDT', 'cagatayk'), ('NEW', '2002-08-12 10:17:11 EDT', 'dirk_baeumer'), ('Platform', '2002-08-12 10:17:11 EDT', 'dirk_baeumer'), ('Nick_Edgar', '2002-08-12 10:17:11 EDT', 'dirk_baeumer'), ('[Navigator] Renaming a type causes unwanted reveal in Resource Navigator', '2002-08-13 13:36:14 EDT', 'eduardo_pereira'), ('Knut_Radloff', '2002-08-27 16:32:16 EDT', 'knut_radloff'), ('[Wizards] Renaming a type causes unwanted reveal in Resource Navigator', '2002-09-03 11:51:31 EDT', 'knut_radloff'), ('[Navigator] Renaming a type causes unwanted reveal in Resource Navigator', '2002-09-03 14:50:07 EDT', 'Tod_Creasey'), ('Erich_Gamma', '2002-09-03 17:26:44 EDT', 'knut_radloff'), ('JDT', '2002-09-03 17:26:44 EDT', 'knut_radloff'), ('Renaming a type causes unwanted reveal in Resource Navigator [refactoring]', '2002-09-04 04:58:50 EDT', 'dirk_baeumer'), ('jdt-ui-inbox', '2002-09-12 09:31:54 EDT', 'dirk_baeumer'), ('ASSIGNED', '2002-09-12 10:06:36 EDT', 'dirk_baeumer'), ('RESOLVED', '2003-02-05 11:42:12 EST', 'dirk_baeumer'), ('LATER', '2003-02-05 11:42:12 EST', 'dirk_baeumer'), ('nick_edgar', '2003-02-06 06:34:53 EST', 'dirk_baeumer'), ('REOPENED', '2003-02-17 10:41:04 EST', 'dirk_baeumer'), ('---', '2003-02-17 10:41:04 EST', 'dirk_baeumer'), ('dirk_baeumer', '2003-02-17 10:41:25 EST', 'dirk_baeumer'), ('NEW', '2003-02-17 10:41:25 EST', 'dirk_baeumer'), ('RESOLVED', '2003-02-17 10:42:50 EST', 'dirk_baeumer'), ('FIXED', '2003-02-17 10:42:50 EST', 'dirk_baeumer'), ('2.1 RC1', '2003-02-17 10:42:50 EST', 'dirk_baeumer')]</t>
  </si>
  <si>
    <t>2002-06-07 05:52:42 EDT</t>
  </si>
  <si>
    <t>2002-06-13 09:14:20 EDT</t>
  </si>
  <si>
    <t>2002-06-04 08:31 EDT</t>
  </si>
  <si>
    <t>2002-06-04 17:58:09 EDT</t>
  </si>
  <si>
    <t>[('CREATED', '2002-06-04 08:31 EDT'), ('major', '2002-06-04 17:58:09 EDT', 'erich_gamma'), ('P1', '2002-06-04 17:58:09 EDT', 'erich_gamma'), ('2.0 F3', '2002-06-04 17:58:09 EDT', 'erich_gamma'), ('Adam_Kiezun', '2002-06-05 19:11:01 EDT', 'erich_gamma'), ('ASSIGNED', '2002-06-06 10:00:19 EDT', 'akiezun'), ('RESOLVED', '2002-06-07 05:52:42 EDT', 'akiezun'), ('FIXED', '2002-06-07 05:52:42 EDT', 'akiezun'), ('VERIFIED', '2002-06-13 09:14:20 EDT', 'dirk_baeumer')]</t>
  </si>
  <si>
    <t>RESOLVED  DUPLICATE  of bug 19104</t>
  </si>
  <si>
    <t>2002-06-04 15:41:09 EDT</t>
  </si>
  <si>
    <t>2002-06-04 10:20 EDT</t>
  </si>
  <si>
    <t>[('CREATED', '2002-06-04 10:20 EDT'), ('RESOLVED', '2002-06-04 15:41:09 EDT', 'erich_gamma'), ('DUPLICATE', '2002-06-04 15:41:09 EDT', 'erich_gamma')]</t>
  </si>
  <si>
    <t>2002-06-04 15:40:46 EDT</t>
  </si>
  <si>
    <t>2002-06-04 10:24 EDT</t>
  </si>
  <si>
    <t>[('CREATED', '2002-06-04 10:24 EDT'), ('RESOLVED', '2002-06-04 15:40:46 EDT', 'erich_gamma'), ('DUPLICATE', '2002-06-04 15:40:46 EDT', 'erich_gamma')]</t>
  </si>
  <si>
    <t>2002-06-07 05:52:18 EDT</t>
  </si>
  <si>
    <t>2002-06-13 07:57:13 EDT</t>
  </si>
  <si>
    <t>2002-06-04 10:29 EDT</t>
  </si>
  <si>
    <t>2002-06-04 10:30:03 EDT</t>
  </si>
  <si>
    <t>[('CREATED', '2002-06-04 10:29 EDT'), ('2.0 F3', '2002-06-04 10:30:03 EDT', 'erich_gamma'), ('P2', '2002-06-05 12:38:59 EDT', 'kai-uwe_maetzel'), ('Adam_Kiezun', '2002-06-05 19:13:04 EDT', 'erich_gamma'), ('ASSIGNED', '2002-06-06 10:05:49 EDT', 'akiezun'), ('RESOLVED', '2002-06-07 05:52:18 EDT', 'akiezun'), ('FIXED', '2002-06-07 05:52:18 EDT', 'akiezun'), ('VERIFIED', '2002-06-13 07:57:13 EDT', 'dirk_baeumer')]</t>
  </si>
  <si>
    <t>2002-08-21 08:51:17 EDT</t>
  </si>
  <si>
    <t>2002-07-26 12:35:59 EDT</t>
  </si>
  <si>
    <t>2002-06-08 19:38:05 EDT</t>
  </si>
  <si>
    <t>[('CREATED', '2002-06-04 10:29 EDT'), ('Adam_Kiezun', '2002-06-08 19:38:05 EDT', 'erich_gamma'), ('LATER', '2002-06-09 12:27:59 EDT', 'akiezun'), ('RESOLVED', '2002-06-09 12:27:59 EDT', 'akiezun'), ('2.1', '2002-07-18 10:29:49 EDT', 'akiezun'), ('REOPENED', '2002-07-26 12:35:59 EDT', 'akiezun'), ('---', '2002-07-26 12:35:59 EDT', 'akiezun'), ('---', '2002-07-26 12:35:59 EDT', 'akiezun'), ('ASSIGNED', '2002-07-26 12:36:14 EDT', 'akiezun'), ('RESOLVED', '2002-08-21 08:51:17 EDT', 'akiezun'), ('FIXED', '2002-08-21 08:51:17 EDT', 'akiezun')]</t>
  </si>
  <si>
    <t>2002-06-11 17:27:00 EDT</t>
  </si>
  <si>
    <t>2002-06-13 08:00:02 EDT</t>
  </si>
  <si>
    <t>2002-06-04 10:43 EDT</t>
  </si>
  <si>
    <t>2002-06-04 13:16:21 EDT</t>
  </si>
  <si>
    <t>[('CREATED', '2002-06-04 10:43 EDT'), ('P2', '2002-06-04 13:16:21 EDT', 'erich_gamma'), ('2.0 F3', '2002-06-04 13:16:21 EDT', 'erich_gamma'), ('P3', '2002-06-05 12:21:59 EDT', 'kai-uwe_maetzel'), ('Kai-Uwe_Maetzel', '2002-06-11 08:44:58 EDT', 'erich_gamma'), ('RESOLVED', '2002-06-11 17:27:00 EDT', 'kai-uwe_maetzel'), ('FIXED', '2002-06-11 17:27:00 EDT', 'kai-uwe_maetzel'), ('VERIFIED', '2002-06-13 08:00:02 EDT', 'dirk_baeumer')]</t>
  </si>
  <si>
    <t>RESOLVED  DUPLICATE  of bug 19140</t>
  </si>
  <si>
    <t>2002-06-04 13:13:45 EDT</t>
  </si>
  <si>
    <t>2002-06-04 10:45 EDT</t>
  </si>
  <si>
    <t>2002-06-04 10:48:44 EDT</t>
  </si>
  <si>
    <t>[('CREATED', '2002-06-04 10:45 EDT'), ('java editor: mnemonic conficts in context menu', '2002-06-04 10:48:44 EDT', 'akiezun'), ('RESOLVED', '2002-06-04 13:13:45 EDT', 'erich_gamma'), ('DUPLICATE', '2002-06-04 13:13:45 EDT', 'erich_gamma')]</t>
  </si>
  <si>
    <t>2002-06-04 13:14:04 EDT</t>
  </si>
  <si>
    <t>2002-06-04 10:52 EDT</t>
  </si>
  <si>
    <t>[('CREATED', '2002-06-04 10:52 EDT'), ('RESOLVED', '2002-06-04 13:14:04 EDT', 'erich_gamma'), ('DUPLICATE', '2002-06-04 13:14:04 EDT', 'erich_gamma')]</t>
  </si>
  <si>
    <t>19061 19062 (view as bug list)</t>
  </si>
  <si>
    <t>2002-06-11 14:59:53 EDT</t>
  </si>
  <si>
    <t>2002-06-13 08:55:05 EDT</t>
  </si>
  <si>
    <t>2002-06-04 11:40 EDT</t>
  </si>
  <si>
    <t>2002-06-04 13:00:23 EDT</t>
  </si>
  <si>
    <t>[('CREATED', '2002-06-04 11:40 EDT'), ('major', '2002-06-04 13:00:23 EDT', 'erich_gamma'), ('2.0 F3', '2002-06-04 13:00:23 EDT', 'erich_gamma'), ('Dirk_Baeumer', '2002-06-04 15:40:46 EDT', 'erich_gamma'), ('P2', '2002-06-05 12:43:09 EDT', 'kai-uwe_maetzel'), ('Dirk_Baeumer', '2002-06-11 09:00:21 EDT', 'erich_gamma'), ('RESOLVED', '2002-06-11 14:59:53 EDT', 'dirk_baeumer'), ('FIXED', '2002-06-11 14:59:53 EDT', 'dirk_baeumer'), ('VERIFIED', '2002-06-13 08:55:05 EDT', 'dirk_baeumer')]</t>
  </si>
  <si>
    <t>2002-10-30 09:33:09 EST</t>
  </si>
  <si>
    <t>2002-07-22 05:28:07 EDT</t>
  </si>
  <si>
    <t>2002-06-04 12:41 EDT</t>
  </si>
  <si>
    <t>2002-06-09 16:45:59 EDT</t>
  </si>
  <si>
    <t>[('CREATED', '2002-06-04 12:41 EDT'), ('RESOLVED', '2002-06-09 16:45:59 EDT', 'erich_gamma'), ('LATER', '2002-06-09 16:45:59 EDT', 'erich_gamma'), ('2.1', '2002-07-22 05:27:12 EDT', 'dirk_baeumer'), ('REOPENED', '2002-07-22 05:28:07 EDT', 'dirk_baeumer'), ('---', '2002-07-22 05:28:07 EDT', 'dirk_baeumer'), ('Martin_Aeschlimann', '2002-07-22 05:28:56 EDT', 'dirk_baeumer'), ('NEW', '2002-07-22 05:28:56 EDT', 'dirk_baeumer'), ('major', '2002-09-18 07:17:25 EDT', 'martinae'), ('ASSIGNED', '2002-09-18 07:17:25 EDT', 'martinae'), ('RESOLVED', '2002-10-30 09:33:09 EST', 'martinae'), ('WORKSFORME', '2002-10-30 09:33:09 EST', 'martinae')]</t>
  </si>
  <si>
    <t>19077 19081 (view as bug list)</t>
  </si>
  <si>
    <t>2002-06-07 05:23:05 EDT</t>
  </si>
  <si>
    <t>2002-06-13 08:55:49 EDT</t>
  </si>
  <si>
    <t>2002-06-04 13:13 EDT</t>
  </si>
  <si>
    <t>[('CREATED', '2002-06-04 13:13 EDT'), ('Adam_Kiezun', '2002-06-04 13:13:45 EDT', 'erich_gamma'), ('2.0 F3', '2002-06-05 02:21:43 EDT', 'erich_gamma'), ('Dirk_Baeumer', '2002-06-05 19:14:00 EDT', 'erich_gamma'), ('RESOLVED', '2002-06-07 05:23:05 EDT', 'dirk_baeumer'), ('FIXED', '2002-06-07 05:23:05 EDT', 'dirk_baeumer'), ('VERIFIED', '2002-06-13 08:55:49 EDT', 'dirk_baeumer')]</t>
  </si>
  <si>
    <t>18728 (view as bug list)</t>
  </si>
  <si>
    <t>2002-06-12 07:40:28 EDT</t>
  </si>
  <si>
    <t>2002-06-13 08:31:37 EDT</t>
  </si>
  <si>
    <t>2002-06-05 01:50 EDT</t>
  </si>
  <si>
    <t>2002-06-05 01:50:38 EDT</t>
  </si>
  <si>
    <t>[('CREATED', '2002-06-05 01:50 EDT'), ('2.0 F3', '2002-06-05 01:50:38 EDT', 'erich_gamma'), ('major', '2002-06-05 01:50:38 EDT', 'erich_gamma'), ('P1', '2002-06-05 01:50:38 EDT', 'erich_gamma'), ('Several NotPresentExceptions in log', '2002-06-05 01:50:38 EDT', 'erich_gamma'), ('Dirk_Baeumer', '2002-06-05 19:15:42 EDT', 'erich_gamma'), ('Erich_Gamma', '2002-06-07 10:20:44 EDT', 'dirk_baeumer'), ('dirk_baeumer', '2002-06-09 16:33:16 EDT', 'erich_gamma'), ('Daniel_Megert', '2002-06-09 17:35:50 EDT', 'erich_gamma'), ('RESOLVED', '2002-06-12 07:40:28 EDT', 'dirk_baeumer'), ('FIXED', '2002-06-12 07:40:28 EDT', 'dirk_baeumer'), ('VERIFIED', '2002-06-13 08:31:37 EDT', 'dirk_baeumer')]</t>
  </si>
  <si>
    <t>2002-06-10 09:08:07 EDT</t>
  </si>
  <si>
    <t>2002-06-13 09:07:37 EDT</t>
  </si>
  <si>
    <t>2002-06-05 10:08 EDT</t>
  </si>
  <si>
    <t>2002-06-08 19:51:46 EDT</t>
  </si>
  <si>
    <t>[('CREATED', '2002-06-05 10:08 EDT'), ('2.0 F3', '2002-06-08 19:51:46 EDT', 'erich_gamma'), ('Dirk_Baeumer', '2002-06-08 19:51:46 EDT', 'erich_gamma'), ('major', '2002-06-08 19:51:46 EDT', 'erich_gamma'), ('P2', '2002-06-08 19:51:46 EDT', 'erich_gamma'), ('RESOLVED', '2002-06-10 09:08:07 EDT', 'dirk_baeumer'), ('FIXED', '2002-06-10 09:08:07 EDT', 'dirk_baeumer'), ('VERIFIED', '2002-06-13 09:07:37 EDT', 'dirk_baeumer')]</t>
  </si>
  <si>
    <t>2002-06-05 11:15:10 EDT</t>
  </si>
  <si>
    <t>2002-06-05 10:47 EDT</t>
  </si>
  <si>
    <t>2002-06-05 11:14:56 EDT</t>
  </si>
  <si>
    <t>[('CREATED', '2002-06-05 10:47 EDT'), ('Erich_Gamma', '2002-06-05 11:14:56 EDT', 'philippe_mulet'), ('UI', '2002-06-05 11:14:56 EDT', 'philippe_mulet'), ('RESOLVED', '2002-06-05 11:15:10 EDT', 'akiezun'), ('DUPLICATE', '2002-06-05 11:15:10 EDT', 'akiezun')]</t>
  </si>
  <si>
    <t>2003-04-28 06:02:32 EDT</t>
  </si>
  <si>
    <t>2009-08-30 02:35:05 EDT</t>
  </si>
  <si>
    <t>2002-06-06 08:15 EDT</t>
  </si>
  <si>
    <t>2002-06-06 08:16:13 EDT</t>
  </si>
  <si>
    <t>[('CREATED', '2002-06-06 08:15 EDT'), ('RESOLVED', '2002-06-06 08:16:13 EDT', 'daniel_megert'), ('LATER', '2002-06-06 08:16:13 EDT', 'daniel_megert'), ('2.1', '2002-07-18 11:55:32 EDT', 'dirk_baeumer'), ('Delete dialog does not report progress for build operation [refactoring] [ccp]', '2002-07-24 06:32:12 EDT', 'dirk_baeumer'), ('investigate', '2002-07-25 05:09:18 EDT', 'dirk_baeumer'), ('---', '2002-07-25 05:09:18 EDT', 'dirk_baeumer'), ('jdt-ui-inbox', '2002-09-12 09:42:56 EDT', 'dirk_baeumer'), ('NEW', '2002-09-12 09:42:56 EDT', 'dirk_baeumer'), ('ASSIGNED', '2002-09-12 10:12:10 EDT', 'dirk_baeumer'), ('RESOLVED', '2003-04-28 06:02:32 EDT', 'dirk_baeumer'), ('WONTFIX', '2009-08-30 02:35:05 EDT', 'webmaster')]</t>
  </si>
  <si>
    <t>2003-01-28 06:41:07 EST</t>
  </si>
  <si>
    <t>2002-07-26 12:36:32 EDT</t>
  </si>
  <si>
    <t>2002-06-06 08:31 EDT</t>
  </si>
  <si>
    <t>2002-06-06 08:40:48 EDT</t>
  </si>
  <si>
    <t>[('CREATED', '2002-06-06 08:31 EDT'), ('major', '2002-06-06 08:40:48 EDT', 'akiezun'), ('critical', '2002-06-06 09:26:35 EDT', 'akiezun'), ('Adam_Kiezun', '2002-06-08 19:53:04 EDT', 'erich_gamma'), ('2.0 F3', '2002-06-08 19:53:04 EDT', 'erich_gamma'), ('RESOLVED', '2002-06-10 06:27:37 EDT', 'akiezun'), ('LATER', '2002-06-10 06:27:37 EDT', 'akiezun'), ('2.1', '2002-07-18 10:30:19 EDT', 'akiezun'), ('REOPENED', '2002-07-26 12:36:32 EDT', 'akiezun'), ('---', '2002-07-26 12:36:32 EDT', 'akiezun'), ('---', '2002-07-26 12:36:32 EDT', 'akiezun'), ('ASSIGNED', '2002-07-26 12:36:38 EDT', 'akiezun'), ("refactoring: moving CU's: no feedback [refactoring]", '2002-08-26 08:46:21 EDT', 'akiezun'), ('normal', '2002-09-05 08:17:08 EDT', 'akiezun'), ('P2', '2002-09-05 08:17:08 EDT', 'akiezun'), ('2.1 M5', '2002-12-20 11:33:46 EST', 'akiezun'), ('RESOLVED', '2003-01-28 06:41:07 EST', 'akiezun'), ('INVALID', '2003-01-28 06:41:07 EST', 'akiezun')]</t>
  </si>
  <si>
    <t>2002-06-10 06:50:01 EDT</t>
  </si>
  <si>
    <t>2009-08-30 02:36:18 EDT</t>
  </si>
  <si>
    <t>2002-06-06 12:47 EDT</t>
  </si>
  <si>
    <t>2002-06-07 14:42:30 EDT</t>
  </si>
  <si>
    <t>[('CREATED', '2002-06-06 12:47 EDT'), ('Adam_Kiezun', '2002-06-07 14:42:30 EDT', 'erich_gamma'), ('LATER', '2002-06-10 06:50:01 EDT', 'akiezun'), ('enhancement', '2002-06-10 06:50:01 EDT', 'akiezun'), ('RESOLVED', '2002-06-10 06:50:01 EDT', 'akiezun'), ('CLOSED', '2003-04-25 12:29:50 EDT', 'akiezun'), ('WONTFIX', '2009-08-30 02:36:18 EDT', 'webmaster'), ('jdt-ui-inbox', '2009-08-30 02:36:18 EDT', 'webmaster')]</t>
  </si>
  <si>
    <t>21184 21874 (view as bug list)</t>
  </si>
  <si>
    <t>2004-08-13 13:19:39 EDT</t>
  </si>
  <si>
    <t>2004-08-13 13:19:22 EDT</t>
  </si>
  <si>
    <t>2002-06-07 07:48 EDT</t>
  </si>
  <si>
    <t>2002-06-07 08:12:03 EDT</t>
  </si>
  <si>
    <t>[('CREATED', '2002-06-07 07:48 EDT'), ('Erich_Gamma', '2002-06-07 08:12:03 EDT', 'akiezun'), ('UI', '2002-06-07 08:12:03 EDT', 'akiezun'), ('RESOLVED', '2002-06-07 14:06:50 EDT', 'erich_gamma'), ('LATER', '2002-06-07 14:06:50 EDT', 'erich_gamma'), ('Dirk_Baeumer', '2002-07-24 06:34:46 EDT', 'dirk_baeumer'), ('REOPENED', '2002-07-24 06:34:46 EDT', 'dirk_baeumer'), ('---', '2002-07-24 06:34:46 EDT', 'dirk_baeumer'), ('Renaming method does not change javadoc @link tag. [refactoring]', '2002-07-24 06:34:46 EDT', 'dirk_baeumer'), ('Philippe_Mulet', '2002-07-24 06:35:02 EDT', 'dirk_baeumer'), ('NEW', '2002-07-24 06:35:02 EDT', 'dirk_baeumer'), ('Core', '2002-07-24 06:35:02 EDT', 'dirk_baeumer'), ('Erich_Gamma', '2002-07-24 07:02:30 EDT', 'philippe_mulet'), ('UI', '2002-07-24 07:02:30 EDT', 'philippe_mulet'), ('Renaming method does not change javadoc @link tag. [refactoring] [general issue]', '2002-07-29 08:50:12 EDT', 'dirk_baeumer'), ('johnson', '2002-07-29 08:50:23 EDT', 'dirk_baeumer'), ('jdt-ui-inbox', '2002-09-12 09:31:13 EDT', 'dirk_baeumer'), ('ASSIGNED', '2002-09-12 10:04:53 EDT', 'dirk_baeumer'), ('enhancement', '2002-09-18 04:53:41 EDT', 'akiezun'), ('spjohnston', '2002-09-19 03:27:10 EDT', 'dirk_baeumer'), ('LATER', '2003-02-02 17:31:31 EST', 'dirk_baeumer'), ('RESOLVED', '2003-02-02 17:31:31 EST', 'dirk_baeumer'), ('REOPENED', '2004-08-13 13:19:22 EDT', 'dirk_baeumer'), ('---', '2004-08-13 13:19:22 EDT', 'dirk_baeumer'), ('RESOLVED', '2004-08-13 13:19:39 EDT', 'dirk_baeumer'), ('FIXED', '2004-08-13 13:19:39 EDT', 'dirk_baeumer'), ('3.0', '2004-08-13 13:19:39 EDT', 'dirk_baeumer')]</t>
  </si>
  <si>
    <t>2002-09-18 04:54:21 EDT</t>
  </si>
  <si>
    <t>2002-06-07 11:51 EDT</t>
  </si>
  <si>
    <t>2002-06-07 14:02:51 EDT</t>
  </si>
  <si>
    <t>[('CREATED', '2002-06-07 11:51 EDT'), ('P5', '2002-06-07 14:02:51 EDT', 'erich_gamma'), ('2.0 F3', '2002-06-07 14:02:51 EDT', 'erich_gamma'), ('---', '2002-06-07 14:07:52 EDT', 'erich_gamma'), ('RESOLVED', '2002-06-07 15:37:55 EDT', 'erich_gamma'), ('LATER', '2002-06-07 15:37:55 EDT', 'erich_gamma'), ('2.1', '2002-07-18 12:46:04 EDT', 'dirk_baeumer'), ('Renaming getter/setter methods should preserve "is" prefix for boolean fields [refactoring]', '2002-07-24 06:35:40 EDT', 'dirk_baeumer'), ('investigate', '2002-07-25 05:09:37 EDT', 'dirk_baeumer'), ('---', '2002-07-25 05:09:37 EDT', 'dirk_baeumer'), ('jdt-ui-inbox', '2002-09-12 09:42:39 EDT', 'dirk_baeumer'), ('NEW', '2002-09-12 09:42:39 EDT', 'dirk_baeumer'), ('ASSIGNED', '2002-09-12 10:11:43 EDT', 'dirk_baeumer'), ('RESOLVED', '2002-09-18 04:54:21 EDT', 'akiezun'), ('FIXED', '2002-09-18 04:54:21 EDT', 'akiezun')]</t>
  </si>
  <si>
    <t>2002-08-07 13:08:03 EDT</t>
  </si>
  <si>
    <t>2002-06-07 14:14 EDT</t>
  </si>
  <si>
    <t>2002-06-07 14:19:16 EDT</t>
  </si>
  <si>
    <t>[('CREATED', '2002-06-07 14:14 EDT'), ('P5', '2002-06-07 14:19:16 EDT', 'erich_gamma'), ('P3', '2002-06-07 15:30:58 EDT', 'erich_gamma'), ('RESOLVED', '2002-08-07 13:08:03 EDT', 'dirk_baeumer'), ('INVALID', '2002-08-07 13:08:03 EDT', 'dirk_baeumer')]</t>
  </si>
  <si>
    <t>2003-04-01 08:17:34 EST</t>
  </si>
  <si>
    <t>2002-06-09 03:40 EDT</t>
  </si>
  <si>
    <t>2002-06-09 04:22:36 EDT</t>
  </si>
  <si>
    <t>[('CREATED', '2002-06-09 03:40 EDT'), ('2.0', '2002-06-09 04:22:36 EDT', 'bogofilter+eclipse.org'), ('Erich_Gamma', '2002-06-09 06:03:51 EDT', 'akiezun'), ('UI', '2002-06-09 06:03:51 EDT', 'akiezun'), ('LATER', '2002-06-09 14:25:35 EDT', 'erich_gamma'), ('RESOLVED', '2002-06-09 14:25:35 EDT', 'erich_gamma'), ('2.1', '2002-07-17 14:13:52 EDT', 'dirk_baeumer'), ('Renaming a folder to change case causes exception [refactoring]', '2002-07-24 06:42:44 EDT', 'dirk_baeumer'), ('investigate', '2002-07-25 05:10:14 EDT', 'dirk_baeumer'), ('---', '2002-07-25 05:10:14 EDT', 'dirk_baeumer'), ('jdt-ui-inbox', '2002-09-12 09:40:30 EDT', 'dirk_baeumer'), ('NEW', '2002-09-12 09:40:30 EDT', 'dirk_baeumer'), ('ASSIGNED', '2002-09-12 10:06:01 EDT', 'dirk_baeumer'), ('RESOLVED', '2003-04-01 08:17:34 EST', 'martinae'), ('WORKSFORME', '2003-04-01 08:17:34 EST', 'martinae')]</t>
  </si>
  <si>
    <t>CLOSED  WORKSFORME</t>
  </si>
  <si>
    <t>2004-06-30 01:02:04 EDT</t>
  </si>
  <si>
    <t>2002-06-10 00:04 EDT</t>
  </si>
  <si>
    <t>2002-06-10 06:30:06 EDT</t>
  </si>
  <si>
    <t>2004-06-30 01:02:23 EDT</t>
  </si>
  <si>
    <t>fuse</t>
  </si>
  <si>
    <t>[('CREATED', '2002-06-10 00:04 EDT'), ('Erich_Gamma', '2002-06-10 06:30:06 EDT', 'akiezun'), ('JDT', '2002-06-10 06:30:06 EDT', 'akiezun'), ('Adam_Kiezun', '2002-06-10 06:30:06 EDT', 'akiezun'), ('DBCS: Externalize strings key generation [refactoring]', '2002-08-07 13:09:06 EDT', 'dirk_baeumer'), ('jdt-ui-inbox', '2002-09-12 09:32:12 EDT', 'dirk_baeumer'), ('ASSIGNED', '2002-09-12 10:07:26 EDT', 'dirk_baeumer'), ('P4', '2003-08-27 06:08:19 EDT', 'dirk_baeumer'), ('RESOLVED', '2004-06-30 01:02:04 EDT', 'fuse'), ('WORKSFORME', '2004-06-30 01:02:04 EDT', 'fuse'), ('CLOSED', '2004-06-30 01:02:23 EDT', 'fuse')]</t>
  </si>
  <si>
    <t>2003-04-28 06:03:48 EDT</t>
  </si>
  <si>
    <t>2009-08-30 02:23:06 EDT</t>
  </si>
  <si>
    <t>2002-06-10 06:31 EDT</t>
  </si>
  <si>
    <t>2002-06-10 06:33:49 EDT</t>
  </si>
  <si>
    <t>[('CREATED', '2002-06-10 06:31 EDT'), ('Erich_Gamma', '2002-06-10 06:33:49 EDT', 'akiezun'), ('UI', '2002-06-10 06:33:49 EDT', 'akiezun'), ('enhancement', '2002-06-10 06:34:39 EDT', 'akiezun'), ('RESOLVED', '2002-06-10 06:35:03 EDT', 'akiezun'), ('LATER', '2002-06-10 06:35:03 EDT', 'akiezun'), ('Refactor / Rename Type does not change Javadoc reference in package.html', '2002-07-18 10:45:59 EDT', 'andreas.krueger'), ('Refactor / Rename Type does not change Javadoc reference in package.html [refactoring]', '2002-07-24 06:44:16 EDT', 'dirk_baeumer'), ('NEW', '2002-09-12 09:41:19 EDT', 'dirk_baeumer'), ('jdt-ui-inbox', '2002-09-12 09:41:19 EDT', 'dirk_baeumer'), ('ASSIGNED', '2002-09-12 10:08:18 EDT', 'dirk_baeumer'), ('RESOLVED', '2003-04-28 06:03:48 EDT', 'dirk_baeumer'), ('WONTFIX', '2009-08-30 02:23:06 EDT', 'denis.roy')]</t>
  </si>
  <si>
    <t>RESOLVED  DUPLICATE  of bug 18438</t>
  </si>
  <si>
    <t>2002-06-10 14:31:28 EDT</t>
  </si>
  <si>
    <t>2002-06-10 12:51 EDT</t>
  </si>
  <si>
    <t>2002-06-10 13:11:09 EDT</t>
  </si>
  <si>
    <t>[('CREATED', '2002-06-10 12:51 EDT'), ('Erich_Gamma', '2002-06-10 13:11:09 EDT', 'philippe_mulet'), ('UI', '2002-06-10 13:11:09 EDT', 'philippe_mulet'), ('RESOLVED', '2002-06-10 14:31:28 EDT', 'akiezun'), ('DUPLICATE', '2002-06-10 14:31:28 EDT', 'akiezun')]</t>
  </si>
  <si>
    <t>2002-10-08 12:42:03 EDT</t>
  </si>
  <si>
    <t>2002-06-10 18:34 EDT</t>
  </si>
  <si>
    <t>2002-06-11 03:38:55 EDT</t>
  </si>
  <si>
    <t>[('CREATED', '2002-06-10 18:34 EDT'), ('dirk_baeumer', '2002-06-11 03:38:55 EDT', 'erich_gamma'), ('RESOLVED', '2002-06-11 03:38:55 EDT', 'erich_gamma'), ('LATER', '2002-06-11 03:38:55 EDT', 'erich_gamma'), ('21700', '2002-06-11 03:38:55 EDT', 'dirk_baeumer'), ('Refactor - need two undos to completely undo method extraction [refactoring]', '2002-07-24 06:45:23 EDT', 'dirk_baeumer'), ('jdt-ui-inbox', '2002-09-12 09:41:36 EDT', 'dirk_baeumer'), ('NEW', '2002-09-12 09:41:36 EDT', 'dirk_baeumer'), ('ASSIGNED', '2002-09-12 10:09:19 EDT', 'dirk_baeumer'), ('Dirk_Baeumer', '2002-10-08 12:40:08 EDT', 'dirk_baeumer'), ('NEW', '2002-10-08 12:40:08 EDT', 'dirk_baeumer'), ('ASSIGNED', '2002-10-08 12:40:53 EDT', 'dirk_baeumer'), ('RESOLVED', '2002-10-08 12:42:03 EDT', 'dirk_baeumer'), ('FIXED', '2002-10-08 12:42:03 EDT', 'dirk_baeumer'), ('2.1 M2', '2002-10-08 12:42:03 EDT', 'dirk_baeumer')]</t>
  </si>
  <si>
    <t>2002-07-26 09:33:23 EDT</t>
  </si>
  <si>
    <t>2002-07-26 05:31:51 EDT</t>
  </si>
  <si>
    <t>2002-06-11 14:33 EDT</t>
  </si>
  <si>
    <t>2002-06-11 14:37:28 EDT</t>
  </si>
  <si>
    <t>2002-07-26 09:33:31 EDT</t>
  </si>
  <si>
    <t>[('CREATED', '2002-06-11 14:33 EDT'), ('Adam_Kiezun', '2002-06-11 14:37:28 EDT', 'akiezun'), ('RESOLVED', '2002-06-11 14:37:28 EDT', 'akiezun'), ('LATER', '2002-06-11 14:37:28 EDT', 'akiezun'), ('2.1', '2002-07-17 11:40:32 EDT', 'dirk_baeumer'), ('Refactor-&gt;Extract Local Variable should guess name [refactoring]', '2002-07-24 06:47:37 EDT', 'dirk_baeumer'), ('investigate', '2002-07-25 05:10:28 EDT', 'dirk_baeumer'), ('---', '2002-07-25 05:10:28 EDT', 'dirk_baeumer'), ('---', '2002-07-26 05:31:51 EDT', 'akiezun'), ('REOPENED', '2002-07-26 05:31:51 EDT', 'akiezun'), ('Adam_Kiezun', '2002-07-26 05:31:59 EDT', 'akiezun'), ('NEW', '2002-07-26 05:31:59 EDT', 'akiezun'), ('RESOLVED', '2002-07-26 09:33:23 EDT', 'akiezun'), ('FIXED', '2002-07-26 09:33:23 EDT', 'akiezun'), ('2.1', '2002-07-26 09:33:31 EDT', 'akiezun')]</t>
  </si>
  <si>
    <t>2002-09-05 08:58:32 EDT</t>
  </si>
  <si>
    <t>2002-06-12 06:46 EDT</t>
  </si>
  <si>
    <t>2002-07-18 10:37:38 EDT</t>
  </si>
  <si>
    <t>2002-10-17 08:51:06 EDT</t>
  </si>
  <si>
    <t>[('CREATED', '2002-06-12 06:46 EDT'), ('2.1', '2002-07-18 10:37:38 EDT', 'akiezun'), ('investigate', '2002-07-25 05:10:38 EDT', 'dirk_baeumer'), ('---', '2002-07-25 05:10:38 EDT', 'dirk_baeumer'), ('Adam_Kiezun', '2002-07-30 11:21:12 EDT', 'dirk_baeumer'), ('rename type: no progress reported when changes are performed [refactoring]', '2002-07-30 11:21:12 EDT', 'dirk_baeumer'), ('P2', '2002-08-21 06:53:59 EDT', 'akiezun'), ('ASSIGNED', '2002-08-28 11:46:48 EDT', 'akiezun'), ('enhancement', '2002-09-03 06:38:25 EDT', 'akiezun'), ('RESOLVED', '2002-09-05 08:58:32 EDT', 'akiezun'), ('FIXED', '2002-09-05 08:58:32 EDT', 'akiezun'), ('2.1 M1', '2002-10-17 08:51:06 EDT', 'akiezun')]</t>
  </si>
  <si>
    <t>2002-11-26 12:19:59 EST</t>
  </si>
  <si>
    <t>2002-06-12 08:52 EDT</t>
  </si>
  <si>
    <t>2002-07-30 11:36:52 EDT</t>
  </si>
  <si>
    <t>[('CREATED', '2002-06-12 08:52 EDT'), ('Adam_Kiezun', '2002-07-30 11:36:52 EDT', 'dirk_baeumer'), ('Missing precondition check in rename [refactoring]', '2002-07-30 11:36:52 EDT', 'dirk_baeumer'), ('ASSIGNED', '2002-08-28 11:46:34 EDT', 'akiezun'), ('RESOLVED', '2002-11-26 12:19:59 EST', 'akiezun'), ('WONTFIX', '2002-11-26 12:19:59 EST', 'akiezun')]</t>
  </si>
  <si>
    <t>20761 (view as bug list)</t>
  </si>
  <si>
    <t>2002-08-13 10:11:07 EDT</t>
  </si>
  <si>
    <t>2002-08-13 09:53:32 EDT</t>
  </si>
  <si>
    <t>2002-06-12 10:13 EDT</t>
  </si>
  <si>
    <t>2002-06-15 05:03:57 EDT</t>
  </si>
  <si>
    <t>2009-05-04 04:17:57 EDT</t>
  </si>
  <si>
    <t>[('CREATED', '2002-06-12 10:13 EDT'), ('RESOLVED', '2002-06-15 05:03:57 EDT', 'erich_gamma'), ('readme', '2002-06-15 05:03:57 EDT', 'erich_gamma'), ('LATER', '2002-06-15 05:03:57 EDT', 'erich_gamma'), ('2.0.1', '2002-07-17 11:43:49 EDT', 'dirk_baeumer'), ('---', '2002-07-23 08:27:32 EDT', 'dirk_baeumer'), ('Self Encapsulate does not work correctly when "this.field = value" is used before refactoring [refactoring]', '2002-07-24 06:48:38 EDT', 'dirk_baeumer'), ('Olivier_Thomann', '2002-07-30 11:03:55 EDT', 'dirk_baeumer'), ('REOPENED', '2002-08-13 09:53:32 EDT', 'dirk_baeumer'), ('---', '2002-08-13 09:53:32 EDT', 'dirk_baeumer'), ('Dirk_Baeumer', '2002-08-13 09:54:15 EDT', 'dirk_baeumer'), ('NEW', '2002-08-13 09:54:15 EDT', 'dirk_baeumer'), ('2.1', '2002-08-13 09:54:15 EDT', 'dirk_baeumer'), ('RESOLVED', '2002-08-13 10:11:07 EDT', 'dirk_baeumer'), ('FIXED', '2002-08-13 10:11:07 EDT', 'dirk_baeumer'), ('daniel_megert', '2009-05-04 04:17:57 EDT', 'daniel_megert'), (nan, '2009-05-04 04:17:57 EDT', 'daniel_megert')]</t>
  </si>
  <si>
    <t>2002-06-12 14:48:10 EDT</t>
  </si>
  <si>
    <t>2002-06-13 08:30:45 EDT</t>
  </si>
  <si>
    <t>2002-06-12 13:00 EDT</t>
  </si>
  <si>
    <t>2002-06-12 13:07:16 EDT</t>
  </si>
  <si>
    <t>[('CREATED', '2002-06-12 13:00 EDT'), ('Adam_Kiezun', '2002-06-12 13:07:16 EDT', 'akiezun'), ('major', '2002-06-12 13:07:16 EDT', 'akiezun'), ('critical', '2002-06-12 13:19:04 EDT', 'akiezun'), ('RESOLVED', '2002-06-12 14:48:10 EDT', 'dirk_baeumer'), ('FIXED', '2002-06-12 14:48:10 EDT', 'dirk_baeumer'), ('2.0 F3', '2002-06-12 14:48:10 EDT', 'dirk_baeumer'), ('VERIFIED', '2002-06-13 08:30:45 EDT', 'dirk_baeumer')]</t>
  </si>
  <si>
    <t>2002-09-18 04:59:37 EDT</t>
  </si>
  <si>
    <t>2002-06-13 16:35 EDT</t>
  </si>
  <si>
    <t>2002-06-16 18:31:00 EDT</t>
  </si>
  <si>
    <t>2009-05-04 04:18:11 EDT</t>
  </si>
  <si>
    <t>[('CREATED', '2002-06-13 16:35 EDT'), ('RESOLVED', '2002-06-16 18:31:00 EDT', 'erich_gamma'), ('readme', '2002-06-16 18:31:00 EDT', 'erich_gamma'), ('LATER', '2002-06-16 18:31:00 EDT', 'erich_gamma'), ('2.1', '2002-07-17 11:57:23 EDT', 'dirk_baeumer'), ('If a package name starts with a capital letter, externalize strings does not work properly [refactoring]', '2002-07-24 06:54:02 EDT', 'dirk_baeumer'), ('investigate', '2002-07-25 05:11:07 EDT', 'dirk_baeumer'), ('---', '2002-07-25 05:11:07 EDT', 'dirk_baeumer'), ('jdt-ui-inbox', '2002-09-12 09:42:26 EDT', 'dirk_baeumer'), ('NEW', '2002-09-12 09:42:26 EDT', 'dirk_baeumer'), ('ASSIGNED', '2002-09-12 10:11:13 EDT', 'dirk_baeumer'), ('2.1 M1', '2002-09-18 04:59:37 EDT', 'akiezun'), ('RESOLVED', '2002-09-18 04:59:37 EDT', 'akiezun'), ('FIXED', '2002-09-18 04:59:37 EDT', 'akiezun'), ('daniel_megert', '2009-05-04 04:18:11 EDT', 'daniel_megert'), (nan, '2009-05-04 04:18:11 EDT', 'daniel_megert')]</t>
  </si>
  <si>
    <t>2002-06-26 11:23:39 EDT</t>
  </si>
  <si>
    <t>2002-06-14 17:08 EDT</t>
  </si>
  <si>
    <t>2002-06-14 17:54:35 EDT</t>
  </si>
  <si>
    <t>[('CREATED', '2002-06-14 17:08 EDT'), ('Erich_Gamma', '2002-06-14 17:54:35 EDT', 'dj.houghton'), ('UI', '2002-06-14 17:54:35 EDT', 'dj.houghton'), ('JDT', '2002-06-14 17:54:35 EDT', 'dj.houghton'), ('Adam_Kiezun', '2002-06-15 04:04:28 EDT', 'erich_gamma'), ('ASSIGNED', '2002-06-17 06:54:19 EDT', 'akiezun'), ('RESOLVED', '2002-06-26 11:23:39 EDT', 'akiezun'), ('WORKSFORME', '2002-06-26 11:23:39 EDT', 'akiezun')]</t>
  </si>
  <si>
    <t>2002-09-16 09:55:07 EDT</t>
  </si>
  <si>
    <t>2002-06-18 12:24 EDT</t>
  </si>
  <si>
    <t>2002-06-18 12:45:20 EDT</t>
  </si>
  <si>
    <t>[('CREATED', '2002-06-18 12:24 EDT'), ('Erich_Gamma', '2002-06-18 12:45:20 EDT', 'akiezun'), ('UI', '2002-06-18 12:45:20 EDT', 'akiezun'), ("Class generation from Interface generates @see - tags Javadoc doesn't understand [javadoc]", '2002-07-30 08:47:11 EDT', 'dirk_baeumer'), ('Martin_Aeschlimann', '2002-07-30 08:47:11 EDT', 'dirk_baeumer'), ('investigate', '2002-07-30 08:47:11 EDT', 'dirk_baeumer'), ('RESOLVED', '2002-09-16 09:55:07 EDT', 'martinae'), ('FIXED', '2002-09-16 09:55:07 EDT', 'martinae'), ('2.1 M1', '2002-09-16 09:55:07 EDT', 'martinae')]</t>
  </si>
  <si>
    <t>2002-06-20 04:05:44 EDT</t>
  </si>
  <si>
    <t>2002-06-18 20:02 EDT</t>
  </si>
  <si>
    <t>2002-06-19 05:41:23 EDT</t>
  </si>
  <si>
    <t>[('CREATED', '2002-06-18 20:02 EDT'), ('Dirk_Baeumer', '2002-06-19 05:41:23 EDT', 'kai-uwe_maetzel'), ('2.0 F4', '2002-06-20 03:03:31 EDT', 'dirk_baeumer'), ('RESOLVED', '2002-06-20 04:05:44 EDT', 'dirk_baeumer'), ('FIXED', '2002-06-20 04:05:44 EDT', 'dirk_baeumer')]</t>
  </si>
  <si>
    <t>2002-06-19 14:21:10 EDT</t>
  </si>
  <si>
    <t>2002-06-19 11:07 EDT</t>
  </si>
  <si>
    <t>[('CREATED', '2002-06-19 11:07 EDT'), ('RESOLVED', '2002-06-19 14:21:10 EDT', 'dirk_baeumer'), ('WORKSFORME', '2002-06-19 14:21:10 EDT', 'dirk_baeumer')]</t>
  </si>
  <si>
    <t>20783 (view as bug list)</t>
  </si>
  <si>
    <t>2002-07-30 09:22:18 EDT</t>
  </si>
  <si>
    <t>2002-06-21 07:24 EDT</t>
  </si>
  <si>
    <t>2002-06-21 07:51:23 EDT</t>
  </si>
  <si>
    <t>[('CREATED', '2002-06-21 07:24 EDT'), ('Erich_Gamma', '2002-06-21 07:51:23 EDT', 'akiezun'), ('UI', '2002-06-21 07:51:23 EDT', 'akiezun'), ('Dirk_Baeumer', '2002-07-30 05:32:32 EDT', 'dirk_baeumer'), ('Copy compilation unit to other package, then rename finds reference to original [refactoring]', '2002-07-30 05:32:32 EDT', 'dirk_baeumer'), ('RESOLVED', '2002-07-30 09:22:18 EDT', 'dirk_baeumer'), ('WORKSFORME', '2002-07-30 09:22:18 EDT', 'dirk_baeumer')]</t>
  </si>
  <si>
    <t>RESOLVED  DUPLICATE  of bug 20782</t>
  </si>
  <si>
    <t>2002-07-30 09:21:53 EDT</t>
  </si>
  <si>
    <t>2002-06-21 07:36 EDT</t>
  </si>
  <si>
    <t>2002-06-21 07:51:49 EDT</t>
  </si>
  <si>
    <t>[('CREATED', '2002-06-21 07:36 EDT'), ('Erich_Gamma', '2002-06-21 07:51:49 EDT', 'akiezun'), ('UI', '2002-06-21 07:51:49 EDT', 'akiezun'), ('Copy compilation unit to other package and rename in one operation. [refactoring]', '2002-07-30 05:34:36 EDT', 'dirk_baeumer'), ('DUPLICATE', '2002-07-30 09:21:53 EDT', 'dirk_baeumer'), ('RESOLVED', '2002-07-30 09:21:53 EDT', 'dirk_baeumer')]</t>
  </si>
  <si>
    <t>2002-06-23 17:15:23 EDT</t>
  </si>
  <si>
    <t>2002-06-21 09:43 EDT</t>
  </si>
  <si>
    <t>[('CREATED', '2002-06-21 09:43 EDT'), ('RESOLVED', '2002-06-23 17:15:23 EDT', 'erich_gamma'), ('WORKSFORME', '2002-06-23 17:15:23 EDT', 'erich_gamma')]</t>
  </si>
  <si>
    <t>2002-09-05 12:01:10 EDT</t>
  </si>
  <si>
    <t>2002-06-21 11:01 EDT</t>
  </si>
  <si>
    <t>2002-07-30 05:38:56 EDT</t>
  </si>
  <si>
    <t>[('CREATED', '2002-06-21 11:01 EDT'), ('Adam_Kiezun', '2002-07-30 05:38:56 EDT', 'dirk_baeumer'), ('refactoring: update references adds unneeded imports [refactoring]', '2002-07-30 05:38:56 EDT', 'dirk_baeumer'), ('enhancement', '2002-09-03 06:37:32 EDT', 'akiezun'), ('RESOLVED', '2002-09-05 12:01:10 EDT', 'akiezun'), ('WORKSFORME', '2002-09-05 12:01:10 EDT', 'akiezun')]</t>
  </si>
  <si>
    <t>2002-08-20 10:00:58 EDT</t>
  </si>
  <si>
    <t>2002-06-21 11:56 EDT</t>
  </si>
  <si>
    <t>2002-07-30 05:39:51 EDT</t>
  </si>
  <si>
    <t>[('CREATED', '2002-06-21 11:56 EDT'), ('Adam_Kiezun', '2002-07-30 05:39:51 EDT', 'dirk_baeumer'), ('investigate', '2002-07-30 05:39:51 EDT', 'dirk_baeumer'), ('move static members: gui blooper in wizard page [refactoring]', '2002-07-30 05:39:51 EDT', 'dirk_baeumer'), ('FIXED', '2002-08-20 10:00:58 EDT', 'akiezun'), ('RESOLVED', '2002-08-20 10:00:58 EDT', 'akiezun')]</t>
  </si>
  <si>
    <t>2003-02-05 14:33:53 EST</t>
  </si>
  <si>
    <t>2002-06-21 15:20 EDT</t>
  </si>
  <si>
    <t>2002-06-21 15:24:03 EDT</t>
  </si>
  <si>
    <t>[('CREATED', '2002-06-21 15:20 EDT'), ('Dirk_Baeumer', '2002-06-21 15:24:03 EDT', 'dirk_baeumer'), ('Duplicate mnemonics in Packages view [wording]', '2002-08-08 05:53:55 EDT', 'dirk_baeumer'), ('jdt-ui-inbox', '2002-09-12 09:31:01 EDT', 'dirk_baeumer'), ('ASSIGNED', '2002-09-12 10:09:15 EDT', 'dirk_baeumer'), ('Duplicate mnemonics in Packages view [wording] [actions]', '2002-09-18 10:49:20 EDT', 'dirk_baeumer'), ('RESOLVED', '2003-02-05 14:33:53 EST', 'dirk_baeumer'), ('WONTFIX', '2003-02-05 14:33:53 EST', 'dirk_baeumer')]</t>
  </si>
  <si>
    <t>2002-08-21 07:03:23 EDT</t>
  </si>
  <si>
    <t>2002-06-21 15:30 EDT</t>
  </si>
  <si>
    <t>2002-06-21 15:30:22 EDT</t>
  </si>
  <si>
    <t>[('CREATED', '2002-06-21 15:30 EDT'), ('dirk_baeumer', '2002-06-21 15:30:22 EDT', 'erich_gamma'), ('Adam_Kiezun', '2002-06-21 15:30:22 EDT', 'akiezun'), ('Adam_Kiezun', '2002-07-30 05:52:25 EDT', 'dirk_baeumer'), ('NullPointerException in finally block hides real exception (in RenameMethodRefactoring.java) [refactoring]', '2002-07-30 05:52:25 EDT', 'dirk_baeumer'), ('RESOLVED', '2002-08-21 07:03:23 EDT', 'akiezun'), ('FIXED', '2002-08-21 07:03:23 EDT', 'akiezun')]</t>
  </si>
  <si>
    <t>2002-08-13 10:47:19 EDT</t>
  </si>
  <si>
    <t>2002-06-24 08:18 EDT</t>
  </si>
  <si>
    <t>2002-07-30 06:30:10 EDT</t>
  </si>
  <si>
    <t>2002-10-04 13:11:12 EDT</t>
  </si>
  <si>
    <t>[('CREATED', '2002-06-24 08:18 EDT'), ('Dirk_Baeumer', '2002-07-30 06:30:10 EDT', 'dirk_baeumer'), ('surround with try/catch - inconsistent names [refactoring]', '2002-07-30 06:30:10 EDT', 'dirk_baeumer'), ('RESOLVED', '2002-08-13 10:47:19 EDT', 'dirk_baeumer'), ('FIXED', '2002-08-13 10:47:19 EDT', 'dirk_baeumer'), ('2.1 M1', '2002-10-04 13:11:12 EDT', 'dirk_baeumer')]</t>
  </si>
  <si>
    <t>23355 23356 (view as bug list)</t>
  </si>
  <si>
    <t>2002-10-11 11:56:32 EDT</t>
  </si>
  <si>
    <t>2002-06-24 21:12 EDT</t>
  </si>
  <si>
    <t>2002-07-25 08:32:08 EDT</t>
  </si>
  <si>
    <t>[('CREATED', '2002-06-24 21:12 EDT'), ('Martin_Aeschlimann', '2002-07-25 08:32:08 EDT', 'martinae'), ('jdt-core-inbox', '2002-09-18 07:23:55 EDT', 'martinae'), ('major', '2002-09-18 07:23:55 EDT', 'martinae'), ('Core', '2002-09-18 07:23:55 EDT', 'martinae'), ('andreas.krueger', '2002-09-18 07:24:14 EDT', 'martinae'), ('jdt-ui-inbox', '2002-09-30 05:51:21 EDT', 'philippe_mulet'), ('UI', '2002-09-30 05:51:21 EDT', 'philippe_mulet'), ('Martin_Aeschlimann', '2002-09-30 06:01:55 EDT', 'akiezun'), ('Philippe_Mulet', '2002-09-30 06:01:55 EDT', 'martinae'), ('FIXED', '2002-10-11 11:56:32 EDT', 'martinae'), ('2.1 M2', '2002-10-11 11:56:32 EDT', 'martinae'), ('RESOLVED', '2002-10-11 11:56:32 EDT', 'martinae')]</t>
  </si>
  <si>
    <t>2002-12-20 10:19:36 EST</t>
  </si>
  <si>
    <t>2002-06-26 04:01 EDT</t>
  </si>
  <si>
    <t>2002-06-26 04:07:06 EDT</t>
  </si>
  <si>
    <t>2003-01-05 20:26:18 EST</t>
  </si>
  <si>
    <t>[('CREATED', '2002-06-26 04:01 EDT'), ('JDT', '2002-06-26 04:07:06 EDT', 'fuse'), ('DBCS: internal error at Refactor - Modify Parameters', '2002-06-26 04:07:06 EDT', 'fuse'), ('Erich_Gamma', '2002-06-26 05:19:35 EDT', 'akiezun'), ('Adam_Kiezun', '2002-07-18 10:42:28 EDT', 'akiezun'), ('DBCS: internal error at Refactor - Modify Parameters [refactoring]', '2002-08-26 08:47:15 EDT', 'akiezun'), ('RESOLVED', '2002-12-20 10:19:36 EST', 'akiezun'), ('WORKSFORME', '2002-12-20 10:19:36 EST', 'akiezun'), ('CLOSED', '2003-01-05 20:26:18 EST', 'fuse')]</t>
  </si>
  <si>
    <t>2002-08-28 11:44:35 EDT</t>
  </si>
  <si>
    <t>2002-06-26 16:09 EDT</t>
  </si>
  <si>
    <t>2002-07-18 10:43:38 EDT</t>
  </si>
  <si>
    <t>[('CREATED', '2002-06-26 16:09 EDT'), ('Adam_Kiezun', '2002-07-18 10:43:38 EDT', 'akiezun'), ('Philippe_Mulet', '2002-07-18 10:43:38 EDT', 'dirk_baeumer'), ('[GM4] Refactor/Rename missed a reference [refactoring]', '2002-08-26 08:47:43 EDT', 'akiezun'), ('RESOLVED', '2002-08-28 11:44:35 EDT', 'akiezun'), ('WORKSFORME', '2002-08-28 11:44:35 EDT', 'akiezun')]</t>
  </si>
  <si>
    <t>41586 (view as bug list)</t>
  </si>
  <si>
    <t>2004-06-03 09:07:05 EDT</t>
  </si>
  <si>
    <t>2002-06-27 15:11 EDT</t>
  </si>
  <si>
    <t>2002-07-29 12:57:39 EDT</t>
  </si>
  <si>
    <t>[('CREATED', '2002-06-27 15:11 EDT'), ('investigate', '2002-07-29 12:57:39 EDT', 'dirk_baeumer'), ('Create a package when moving a class [refactoring]', '2002-07-29 12:57:39 EDT', 'dirk_baeumer'), (nan, '2002-07-29 12:57:50 EDT', 'dirk_baeumer'), ('jdt-ui-inbox', '2002-09-12 09:31:51 EDT', 'dirk_baeumer'), ('ASSIGNED', '2002-09-12 10:11:09 EDT', 'dirk_baeumer'), ('preuss', '2003-03-03 10:45:58 EST', 'preuss'), ('adam_kiezun', '2003-05-08 11:26:49 EDT', 'dirk_baeumer'), ('NEW', '2003-05-08 11:26:49 EDT', 'dirk_baeumer'), ('dcorbin', '2003-08-15 05:42:36 EDT', 'akiezun'), ('akiezun', '2004-04-22 14:40:40 EDT', 'akiezun'), ('jdt-ui-inbox', '2004-04-22 14:40:40 EDT', 'akiezun'), ('RESOLVED', '2004-06-03 09:07:05 EDT', 'dirk_baeumer'), ('FIXED', '2004-06-03 09:07:05 EDT', 'dirk_baeumer')]</t>
  </si>
  <si>
    <t>2002-10-15 12:27:42 EDT</t>
  </si>
  <si>
    <t>2002-06-28 09:13 EDT</t>
  </si>
  <si>
    <t>2002-07-29 13:06:44 EDT</t>
  </si>
  <si>
    <t>[('CREATED', '2002-06-28 09:13 EDT'), ('investigate', '2002-07-29 13:06:44 EDT', 'dirk_baeumer'), ('organize impors: not allowed on package if 1 cu read-only [code manipulation]', '2002-07-29 13:06:44 EDT', 'dirk_baeumer'), ('jdt-ui-inbox', '2002-09-12 09:31:04 EDT', 'dirk_baeumer'), ('ASSIGNED', '2002-09-12 10:09:21 EDT', 'dirk_baeumer'), ('enhancement', '2002-09-18 08:05:13 EDT', 'martinae'), ('RESOLVED', '2002-10-15 12:27:42 EDT', 'martinae'), ('FIXED', '2002-10-15 12:27:42 EDT', 'martinae'), ('2.1 M2', '2002-10-15 12:27:42 EDT', 'martinae')]</t>
  </si>
  <si>
    <t>2003-07-08 09:56:30 EDT</t>
  </si>
  <si>
    <t>2003-04-25 13:10:19 EDT</t>
  </si>
  <si>
    <t>2002-06-28 16:59 EDT</t>
  </si>
  <si>
    <t>2002-07-01 06:03:27 EDT</t>
  </si>
  <si>
    <t>[('CREATED', '2002-06-28 16:59 EDT'), ('Olivier_Thomann', '2002-07-01 06:03:27 EDT', 'philippe_mulet'), ('ASSIGNED', '2002-07-03 09:10:44 EDT', 'Olivier_Thomann'), ('NEW', '2002-07-24 13:46:33 EDT', 'Olivier_Thomann'), ('UI', '2002-07-24 13:46:33 EDT', 'Olivier_Thomann'), ('Erich_Gamma', '2002-07-24 13:46:33 EDT', 'Olivier_Thomann'), ('Adam_Kiezun', '2002-07-29 13:14:14 EDT', 'dirk_baeumer'), ('investigate', '2002-07-29 13:14:14 EDT', 'dirk_baeumer'), ('$NON-NLS-&lt;n&gt; Syntax Peculiarities [refactoring]', '2002-07-29 13:14:14 EDT', 'dirk_baeumer'), ('Dirk_Baeumer', '2002-07-29 13:14:14 EDT', 'dirk_baeumer'), ('olivier_thomann', '2002-07-29 13:14:14 EDT', 'knut_radloff'), ('enhancement', '2002-09-03 06:36:40 EDT', 'akiezun'), ('ASSIGNED', '2002-09-23 13:18:13 EDT', 'akiezun'), ('RESOLVED', '2003-02-21 05:22:08 EST', 'akiezun'), ('LATER', '2003-02-21 05:22:08 EST', 'akiezun'), ('REOPENED', '2003-04-25 13:10:19 EDT', 'akiezun'), ('---', '2003-04-25 13:10:19 EDT', 'akiezun'), ('RESOLVED', '2003-07-08 09:56:30 EDT', 'akiezun'), ('WONTFIX', '2003-07-08 09:56:30 EDT', 'akiezun')]</t>
  </si>
  <si>
    <t>2002-07-01 03:16 EDT</t>
  </si>
  <si>
    <t>2002-07-29 06:43:12 EDT</t>
  </si>
  <si>
    <t>2008-12-01 10:12:28 EST</t>
  </si>
  <si>
    <t>mn</t>
  </si>
  <si>
    <t>[('CREATED', '2002-07-01 03:16 EDT'), ('Dirk_Baeumer', '2002-07-29 06:43:12 EDT', 'dirk_baeumer'), ('Extract method and return points [refactoring]', '2002-07-29 06:43:12 EDT', 'dirk_baeumer'), ('Move methed from inner to outer class [refactoring]', '2002-07-29 13:21:04 EDT', 'dirk_baeumer'), ('jdt-ui-inbox', '2002-09-12 09:31:47 EDT', 'dirk_baeumer'), ('ASSIGNED', '2002-09-12 10:11:02 EDT', 'dirk_baeumer'), ('[move method] Move methed from inner to outer class', '2006-06-12 03:05:51 EDT', 'martinae'), ('mn', '2008-12-01 10:12:28 EST', 'mn')]</t>
  </si>
  <si>
    <t>2002-08-21 06:11:49 EDT</t>
  </si>
  <si>
    <t>2002-07-01 08:19 EDT</t>
  </si>
  <si>
    <t>2002-07-18 10:44:47 EDT</t>
  </si>
  <si>
    <t>[('CREATED', '2002-07-01 08:19 EDT'), ('Adam_Kiezun', '2002-07-18 10:44:47 EDT', 'akiezun'), ('ASSIGNED', '2002-08-21 05:39:10 EDT', 'akiezun'), ('RESOLVED', '2002-08-21 06:11:49 EDT', 'akiezun'), ('FIXED', '2002-08-21 06:11:49 EDT', 'akiezun')]</t>
  </si>
  <si>
    <t>RESOLVED  DUPLICATE  of bug 19575</t>
  </si>
  <si>
    <t>2002-07-29 08:50:23 EDT</t>
  </si>
  <si>
    <t>2002-07-02 13:54 EDT</t>
  </si>
  <si>
    <t>[('CREATED', '2002-07-02 13:54 EDT'), ('RESOLVED', '2002-07-29 08:50:23 EDT', 'dirk_baeumer'), ('DUPLICATE', '2002-07-29 08:50:23 EDT', 'dirk_baeumer'), ("Move class refactoring doesn't change @see Javadoc [refactoring]", '2002-07-29 08:50:23 EDT', 'dirk_baeumer')]</t>
  </si>
  <si>
    <t>RESOLVED  DUPLICATE  of bug 21908</t>
  </si>
  <si>
    <t>2002-08-28 11:43:39 EDT</t>
  </si>
  <si>
    <t>2002-07-04 07:51 EDT</t>
  </si>
  <si>
    <t>2002-07-04 09:36:34 EDT</t>
  </si>
  <si>
    <t>[('CREATED', '2002-07-04 07:51 EDT'), ('Erich_Gamma', '2002-07-04 09:36:34 EDT', 'Olivier_Thomann'), ('UI', '2002-07-04 09:36:34 EDT', 'Olivier_Thomann'), ('PullUp of variable disrupts Javadoc [refactoring]', '2002-07-29 09:55:40 EDT', 'dirk_baeumer'), ('Adam_Kiezun', '2002-07-29 09:55:40 EDT', 'dirk_baeumer'), ('investigate', '2002-07-29 09:55:40 EDT', 'dirk_baeumer'), ('RESOLVED', '2002-08-28 11:43:39 EDT', 'akiezun'), ('DUPLICATE', '2002-08-28 11:43:39 EDT', 'akiezun')]</t>
  </si>
  <si>
    <t>RESOLVED  DUPLICATE  of bug 21292</t>
  </si>
  <si>
    <t>2002-07-18 10:55:28 EDT</t>
  </si>
  <si>
    <t>2002-07-04 10:47 EDT</t>
  </si>
  <si>
    <t>2002-07-04 17:47:59 EDT</t>
  </si>
  <si>
    <t>[('CREATED', '2002-07-04 10:47 EDT'), ('Erich_Gamma', '2002-07-04 17:47:59 EDT', 'philippe_mulet'), ('UI', '2002-07-04 17:47:59 EDT', 'philippe_mulet'), ('Adam_Kiezun', '2002-07-18 10:47:25 EDT', 'akiezun'), ('RESOLVED', '2002-07-18 10:55:28 EDT', 'akiezun'), ('DUPLICATE', '2002-07-18 10:55:28 EDT', 'akiezun')]</t>
  </si>
  <si>
    <t>21236 (view as bug list)</t>
  </si>
  <si>
    <t>2002-08-07 05:25:31 EDT</t>
  </si>
  <si>
    <t>2002-08-22 07:12:53 EDT</t>
  </si>
  <si>
    <t>2002-07-26 05:28:18 EDT</t>
  </si>
  <si>
    <t>2002-07-08 02:50 EDT</t>
  </si>
  <si>
    <t>2002-07-18 10:48:23 EDT</t>
  </si>
  <si>
    <t>[('CREATED', '2002-07-08 02:50 EDT'), ('Adam_Kiezun', '2002-07-18 10:48:23 EDT', 'akiezun'), ('jain', '2002-07-18 10:55:28 EDT', 'akiezun'), ('ASSIGNED', '2002-07-18 12:32:08 EDT', 'akiezun'), ('2.0.1', '2002-07-18 12:32:08 EDT', 'akiezun'), ('RESOLVED', '2002-07-22 05:24:26 EDT', 'akiezun'), ('FIXED', '2002-07-22 05:24:26 EDT', 'akiezun'), ('REOPENED', '2002-07-26 05:28:18 EDT', 'akiezun'), ('---', '2002-07-26 05:28:18 EDT', 'akiezun'), ('---', '2002-07-26 05:28:18 EDT', 'akiezun'), ('Dirk_Baeumer', '2002-07-26 05:28:18 EDT', 'dirk_baeumer'), ('2.0.1', '2002-08-07 04:54:19 EDT', 'dirk_baeumer'), ('RESOLVED', '2002-08-07 05:25:31 EDT', 'dirk_baeumer'), ('FIXED', '2002-08-07 05:25:31 EDT', 'dirk_baeumer'), ('VERIFIED', '2002-08-22 07:12:53 EDT', 'andre_weinand')]</t>
  </si>
  <si>
    <t>25674 59062 79016 104682 249425 (view as bug list)</t>
  </si>
  <si>
    <t>2002-11-12 04:55:21 EST</t>
  </si>
  <si>
    <t>2002-09-05 11:07:10 EDT</t>
  </si>
  <si>
    <t>2002-07-09 09:51 EDT</t>
  </si>
  <si>
    <t>2002-07-09 09:58:07 EDT</t>
  </si>
  <si>
    <t>2008-10-02 03:55:20 EDT</t>
  </si>
  <si>
    <t>[('CREATED', '2002-07-09 09:51 EDT'), ('Erich_Gamma', '2002-07-09 09:58:07 EDT', 'dj.houghton'), ('UI', '2002-07-09 09:58:07 EDT', 'dj.houghton'), ('JDT', '2002-07-09 09:58:07 EDT', 'dj.houghton'), ('minor', '2002-07-09 10:05:09 EDT', 'amaslov'), ('spjohnston', '2002-07-09 10:05:09 EDT', 'spjohnston'), ('RESOLVED', '2002-07-29 06:09:51 EDT', 'dirk_baeumer'), ('WONTFIX', '2002-07-29 06:09:51 EDT', 'dirk_baeumer'), ('Surrounding with try/catch does not initialize variables properly. [refactoring]', '2002-07-29 06:09:51 EDT', 'dirk_baeumer'), ('REOPENED', '2002-09-05 11:07:10 EDT', 'david.malcom.graham'), ('---', '2002-09-05 11:07:10 EDT', 'david.malcom.graham'), ('Adam_Kiezun', '2002-09-05 11:07:10 EDT', 'akiezun'), ('RESOLVED', '2002-11-12 04:55:21 EST', 'erich_gamma'), ('WONTFIX', '2002-11-12 04:55:21 EST', 'erich_gamma'), ('dev.tom.menzel', '2004-04-20 04:28:18 EDT', 'dirk_baeumer'), ('cbumgard', '2004-12-13 03:56:50 EST', 'dirk_baeumer'), ('mokeny', '2004-12-21 12:02:22 EST', 'dirk_baeumer'), ('bmiller', '2005-07-21 12:06:29 EDT', 'markus.kell.r'), ('javabrett', '2008-10-02 03:55:20 EDT', 'daniel_megert')]</t>
  </si>
  <si>
    <t>RESOLVED  DUPLICATE  of bug 21443</t>
  </si>
  <si>
    <t>2002-07-11 12:21:13 EDT</t>
  </si>
  <si>
    <t>2002-07-10 11:21 EDT</t>
  </si>
  <si>
    <t>[('CREATED', '2002-07-10 11:21 EDT'), ('RESOLVED', '2002-07-11 12:21:13 EDT', 'akiezun'), ('DUPLICATE', '2002-07-11 12:21:13 EDT', 'akiezun')]</t>
  </si>
  <si>
    <t>2002-07-11 12:21:29 EDT</t>
  </si>
  <si>
    <t>[('CREATED', '2002-07-10 11:21 EDT'), ('RESOLVED', '2002-07-11 12:21:29 EDT', 'akiezun'), ('DUPLICATE', '2002-07-11 12:21:29 EDT', 'akiezun')]</t>
  </si>
  <si>
    <t>21441 21442 (view as bug list)</t>
  </si>
  <si>
    <t>2004-08-18 06:16:12 EDT</t>
  </si>
  <si>
    <t>2009-08-30 02:39:47 EDT</t>
  </si>
  <si>
    <t>2002-07-10 11:22 EDT</t>
  </si>
  <si>
    <t>2002-07-29 06:23:10 EDT</t>
  </si>
  <si>
    <t>[('CREATED', '2002-07-10 11:22 EDT'), ('investigate', '2002-07-29 06:23:10 EDT', 'dirk_baeumer'), ('Show Refactor options for selected code [refactoring] [editor]', '2002-07-29 06:23:10 EDT', 'dirk_baeumer'), ('Adam_Kiezun', '2002-07-29 06:23:10 EDT', 'akiezun'), ('jdt-ui-inbox', '2002-09-12 09:31:53 EDT', 'dirk_baeumer'), ('ASSIGNED', '2002-09-12 10:06:28 EDT', 'dirk_baeumer'), ('RESOLVED', '2004-08-18 06:16:12 EDT', 'dirk_baeumer'), ('P4', '2004-08-18 06:16:12 EDT', 'dirk_baeumer'), ('LATER', '2004-08-18 06:16:12 EDT', 'dirk_baeumer'), ('WONTFIX', '2009-08-30 02:39:47 EDT', 'webmaster')]</t>
  </si>
  <si>
    <t>2002-07-12 10:51:00 EDT</t>
  </si>
  <si>
    <t>2002-07-12 02:40 EDT</t>
  </si>
  <si>
    <t>2003-03-23 12:10:34 EST</t>
  </si>
  <si>
    <t>[('CREATED', '2002-07-12 02:40 EDT'), ('RESOLVED', '2002-07-12 10:51:00 EDT', 'kent_johnson'), ('DUPLICATE', '2002-07-12 10:51:00 EDT', 'kent_johnson'), ('Usefull but missing refactorings', '2002-07-12 10:51:00 EDT', 'kent_johnson'), ('UI', '2003-03-23 12:10:34 EST', 'jerome_lanneluc')]</t>
  </si>
  <si>
    <t>10658 21515 21576 (view as bug list)</t>
  </si>
  <si>
    <t>2002-11-18 11:17:45 EST</t>
  </si>
  <si>
    <t>2002-07-12 02:41 EDT</t>
  </si>
  <si>
    <t>2002-07-12 10:49:49 EDT</t>
  </si>
  <si>
    <t>[('CREATED', '2002-07-12 02:41 EDT'), ('Erich_Gamma', '2002-07-12 10:49:49 EDT', 'kent_johnson'), ('enhancement', '2002-07-12 10:49:49 EDT', 'kent_johnson'), ('UI', '2002-07-12 10:49:49 EDT', 'kent_johnson'), ('scott', '2002-07-15 04:48:28 EDT', 'akiezun'), ('Adam_Kiezun', '2002-07-18 10:50:10 EDT', 'akiezun'), ('preuss', '2002-07-18 10:54:04 EDT', 'akiezun'), ('burner', '2002-07-18 10:54:05 EDT', 'burner'), ('investigate', '2002-07-26 09:54:06 EDT', 'akiezun'), ('Change signature refactoring needed [refactoring]', '2002-08-26 08:48:35 EDT', 'akiezun'), ('ASSIGNED', '2002-09-23 13:12:45 EDT', 'akiezun'), ('RESOLVED', '2002-11-18 11:17:45 EST', 'akiezun'), ('FIXED', '2002-11-18 11:17:45 EST', 'akiezun')]</t>
  </si>
  <si>
    <t>2003-02-03 12:04:53 EST</t>
  </si>
  <si>
    <t>2002-07-12 05:14 EDT</t>
  </si>
  <si>
    <t>2002-07-25 10:55:28 EDT</t>
  </si>
  <si>
    <t>[('CREATED', '2002-07-12 05:14 EDT'), ('Erich_Gamma', '2002-07-25 10:55:28 EDT', 'philippe_mulet'), ('UI', '2002-07-25 10:55:28 EDT', 'philippe_mulet'), ('P3', '2002-07-26 11:45:26 EDT', 'dirk_baeumer'), ('Problems Deleting JAR library [ccp] [build path]', '2002-07-26 11:45:26 EDT', 'dirk_baeumer'), ('Adam_Kiezun', '2002-07-26 11:45:26 EDT', 'dirk_baeumer'), ('investigate', '2002-07-26 11:45:26 EDT', 'dirk_baeumer'), ('RESOLVED', '2003-02-03 12:04:53 EST', 'akiezun'), ('FIXED', '2003-02-03 12:04:53 EST', 'akiezun'), ('2.1 M5', '2003-02-03 12:04:53 EST', 'akiezun')]</t>
  </si>
  <si>
    <t>2002-07-15 04:48:28 EDT</t>
  </si>
  <si>
    <t>2002-07-15 02:14 EDT</t>
  </si>
  <si>
    <t>2002-07-15 04:43:51 EDT</t>
  </si>
  <si>
    <t>[('CREATED', '2002-07-15 02:14 EDT'), ('Erich_Gamma', '2002-07-15 04:43:51 EDT', 'akiezun'), ('UI', '2002-07-15 04:43:51 EDT', 'akiezun'), ('RESOLVED', '2002-07-15 04:48:28 EDT', 'akiezun'), ('DUPLICATE', '2002-07-15 04:48:28 EDT', 'akiezun')]</t>
  </si>
  <si>
    <t>2002-09-18 07:36:18 EDT</t>
  </si>
  <si>
    <t>2002-07-15 13:36 EDT</t>
  </si>
  <si>
    <t>2002-07-15 13:40:20 EDT</t>
  </si>
  <si>
    <t>[('CREATED', '2002-07-15 13:36 EDT'), ('Erich_Gamma', '2002-07-15 13:40:20 EDT', 'akiezun'), ('UI', '2002-07-15 13:40:20 EDT', 'akiezun'), ('Martin_Aeschlimann', '2002-07-24 11:05:29 EDT', 'dirk_baeumer'), ('Internal error after renaming class [type hierarchy] [refactoring]', '2002-07-24 11:05:29 EDT', 'dirk_baeumer'), ('2.1', '2002-07-24 11:05:29 EDT', 'dirk_baeumer'), ('RESOLVED', '2002-09-18 07:36:18 EDT', 'martinae'), ('INVALID', '2002-09-18 07:36:18 EDT', 'martinae')]</t>
  </si>
  <si>
    <t>RESOLVED  DUPLICATE  of bug 29967</t>
  </si>
  <si>
    <t>15305</t>
  </si>
  <si>
    <t>2003-04-25 10:52:18 EDT</t>
  </si>
  <si>
    <t>2003-04-25 10:52:08 EDT</t>
  </si>
  <si>
    <t>2002-07-22 18:28 EDT</t>
  </si>
  <si>
    <t>2002-07-23 04:40:30 EDT</t>
  </si>
  <si>
    <t>[('CREATED', '2002-07-22 18:28 EDT'), ('Adam_Kiezun', '2002-07-23 04:40:30 EDT', 'akiezun'), ("Exception while 'Pulling up' fields: Operation requires one or more elements. [refactoring]", '2002-08-26 08:48:55 EDT', 'akiezun'), ('ASSIGNED', '2002-08-28 11:41:39 EDT', 'akiezun'), ('P2', '2002-08-28 11:41:39 EDT', 'akiezun'), ('15305', '2002-09-05 09:34:00 EDT', 'akiezun'), ('P3', '2002-09-05 09:34:00 EDT', 'akiezun'), ('RESOLVED', '2002-11-26 12:21:09 EST', 'akiezun'), ('LATER', '2002-11-26 12:21:09 EST', 'akiezun'), ('minor', '2003-04-25 10:52:08 EDT', 'akiezun'), ('REOPENED', '2003-04-25 10:52:08 EDT', 'akiezun'), ('P4', '2003-04-25 10:52:08 EDT', 'akiezun'), ('---', '2003-04-25 10:52:08 EDT', 'akiezun'), ('RESOLVED', '2003-04-25 10:52:18 EDT', 'akiezun'), ('DUPLICATE', '2003-04-25 10:52:18 EDT', 'akiezun')]</t>
  </si>
  <si>
    <t>RESOLVED  DUPLICATE  of bug 10656</t>
  </si>
  <si>
    <t>2002-07-23 10:41:04 EDT</t>
  </si>
  <si>
    <t>2002-07-23 10:31 EDT</t>
  </si>
  <si>
    <t>peter_burka</t>
  </si>
  <si>
    <t>[('CREATED', '2002-07-23 10:31 EDT'), ('RESOLVED', '2002-07-23 10:41:04 EDT', 'peter_burka'), ('DUPLICATE', '2002-07-23 10:41:04 EDT', 'peter_burka')]</t>
  </si>
  <si>
    <t>2002-07-26 12:25:05 EDT</t>
  </si>
  <si>
    <t>2002-07-23 11:44 EDT</t>
  </si>
  <si>
    <t>2002-07-23 12:01:42 EDT</t>
  </si>
  <si>
    <t>[('CREATED', '2002-07-23 11:44 EDT'), ('Adam_Kiezun', '2002-07-23 12:01:42 EDT', 'akiezun'), ('2.1', '2002-07-23 12:01:42 EDT', 'akiezun'), ('RESOLVED', '2002-07-26 12:25:05 EDT', 'akiezun'), ('FIXED', '2002-07-26 12:25:05 EDT', 'akiezun')]</t>
  </si>
  <si>
    <t>2002-09-19 03:27:10 EDT</t>
  </si>
  <si>
    <t>2002-07-24 16:09 EDT</t>
  </si>
  <si>
    <t>2002-07-24 16:09:47 EDT</t>
  </si>
  <si>
    <t>[('CREATED', '2002-07-24 16:09 EDT'), ('Adam_Kiezun', '2002-07-24 16:09:47 EDT', 'akiezun'), ('RESOLVED', '2002-07-26 09:05:57 EDT', 'dirk_baeumer'), ('LATER', '2002-07-26 09:05:57 EDT', 'dirk_baeumer'), ('Renaming method does not change text. [refactoring] [general issue]', '2002-07-26 09:05:57 EDT', 'dirk_baeumer'), ('jdt-ui-inbox', '2002-09-12 09:40:42 EDT', 'dirk_baeumer'), ('NEW', '2002-09-12 09:40:42 EDT', 'dirk_baeumer'), ('ASSIGNED', '2002-09-12 10:06:19 EDT', 'dirk_baeumer'), ('RESOLVED', '2002-09-19 03:27:10 EDT', 'dirk_baeumer'), ('DUPLICATE', '2002-09-19 03:27:10 EDT', 'dirk_baeumer')]</t>
  </si>
  <si>
    <t>21229 (view as bug list)</t>
  </si>
  <si>
    <t>2003-01-07 10:27:18 EST</t>
  </si>
  <si>
    <t>2002-07-25 11:35 EDT</t>
  </si>
  <si>
    <t>2002-07-26 05:14:42 EDT</t>
  </si>
  <si>
    <t>[('CREATED', '2002-07-25 11:35 EDT'), ('Adam_Kiezun', '2002-07-26 05:14:42 EDT', 'akiezun'), ('Pulling up a method results in misplaced &amp; inappropriate access modifier keyword [refactoring]', '2002-08-26 08:49:29 EDT', 'akiezun'), ('ASSIGNED', '2002-08-28 11:24:32 EDT', 'akiezun'), ('ian.a.brown', '2002-08-28 11:43:39 EDT', 'akiezun'), ('2.1 M5', '2002-12-20 11:51:32 EST', 'akiezun'), ('RESOLVED', '2003-01-07 10:27:18 EST', 'akiezun'), ('FIXED', '2003-01-07 10:27:18 EST', 'akiezun')]</t>
  </si>
  <si>
    <t>2002-08-20 11:05:56 EDT</t>
  </si>
  <si>
    <t>2002-07-25 16:54 EDT</t>
  </si>
  <si>
    <t>2002-07-26 05:12:07 EDT</t>
  </si>
  <si>
    <t>[('CREATED', '2002-07-25 16:54 EDT'), ('Adam_Kiezun', '2002-07-26 05:12:07 EDT', 'akiezun'), ('FIXED', '2002-08-20 11:05:56 EDT', 'akiezun'), ('RESOLVED', '2002-08-20 11:05:56 EDT', 'akiezun')]</t>
  </si>
  <si>
    <t>2002-07-26 10:38:45 EDT</t>
  </si>
  <si>
    <t>2002-07-26 08:21 EDT</t>
  </si>
  <si>
    <t>2002-07-26 08:22:06 EDT</t>
  </si>
  <si>
    <t>[('CREATED', '2002-07-26 08:21 EDT'), ('Adam_Kiezun', '2002-07-26 08:22:06 EDT', 'akiezun'), ('FIXED', '2002-07-26 10:38:45 EDT', 'akiezun'), ('RESOLVED', '2002-07-26 10:38:45 EDT', 'akiezun')]</t>
  </si>
  <si>
    <t>2002-09-05 06:03:21 EDT</t>
  </si>
  <si>
    <t>2002-07-26 08:22 EDT</t>
  </si>
  <si>
    <t>2002-07-26 08:22:34 EDT</t>
  </si>
  <si>
    <t>[('CREATED', '2002-07-26 08:22 EDT'), ('m.lupp', '2002-07-26 08:22:34 EDT', 'm.lupp'), ('ASSIGNED', '2002-07-26 12:30:42 EDT', 'akiezun'), ('WORKSFORME', '2002-09-05 06:03:21 EDT', 'akiezun'), ('RESOLVED', '2002-09-05 06:03:21 EDT', 'akiezun')]</t>
  </si>
  <si>
    <t>2003-04-28 06:03:58 EDT</t>
  </si>
  <si>
    <t>2009-08-30 02:17:11 EDT</t>
  </si>
  <si>
    <t>2002-07-26 09:14 EDT</t>
  </si>
  <si>
    <t>2002-07-26 11:16:02 EDT</t>
  </si>
  <si>
    <t>[('CREATED', '2002-07-26 09:14 EDT'), ('RESOLVED', '2002-07-26 11:16:02 EDT', 'dirk_baeumer'), ('LATER', '2002-07-26 11:16:02 EDT', 'dirk_baeumer'), ('Extract local variable should default to previous variable name [refactoring]', '2002-07-26 11:16:02 EDT', 'dirk_baeumer'), ('Adam_Kiezun', '2002-07-26 11:16:02 EDT', 'akiezun'), ('jdt-ui-inbox', '2002-09-12 09:40:39 EDT', 'dirk_baeumer'), ('NEW', '2002-09-12 09:40:39 EDT', 'dirk_baeumer'), ('ASSIGNED', '2002-09-12 10:06:14 EDT', 'dirk_baeumer'), ('enhancement', '2002-09-18 05:03:43 EDT', 'akiezun'), ('RESOLVED', '2003-04-28 06:03:58 EDT', 'dirk_baeumer'), ('WONTFIX', '2009-08-30 02:17:11 EDT', 'denis.roy')]</t>
  </si>
  <si>
    <t>43933 (view as bug list)</t>
  </si>
  <si>
    <t>2005-01-06 04:44:47 EST</t>
  </si>
  <si>
    <t>2005-01-06 01:12:58 EST</t>
  </si>
  <si>
    <t>2002-07-30 11:20 EDT</t>
  </si>
  <si>
    <t>2002-07-30 12:04:40 EDT</t>
  </si>
  <si>
    <t>2005-11-23 22:20:58 EST</t>
  </si>
  <si>
    <t>[('CREATED', '2002-07-30 11:20 EDT'), ('Erich_Gamma', '2002-07-30 12:04:40 EDT', 'philippe_mulet'), ('UI', '2002-07-30 12:04:40 EDT', 'philippe_mulet'), ('Dirk_Baeumer', '2002-07-30 13:46:09 EDT', 'dirk_baeumer'), ('Claude_Knaus', '2002-07-30 13:46:09 EDT', 'dirk_baeumer'), ('Philippe_Mulet', '2002-07-30 13:46:09 EDT', 'Claude_Knaus'), ('jed.wesley-smith', '2002-07-31 04:45:38 EDT', 'jed'), ('amanji', '2003-01-21 11:04:37 EST', 'amanji'), ('jdt-ui-inbox', '2003-01-21 12:39:37 EST', 'dirk_baeumer'), ('helpwanted', '2003-01-21 12:39:37 EST', 'dirk_baeumer'), ('RESOLVED', '2003-01-21 12:39:58 EST', 'dirk_baeumer'), ('LATER', '2003-01-21 12:39:58 EST', 'dirk_baeumer'), ('laurent', '2003-03-26 09:37:30 EST', 'laurent'), ('serialVersionUID [code manipulation]', '2003-04-02 11:14:31 EST', 'dirk_baeumer'), ('rico', '2003-10-01 04:18:18 EDT', 'dirk_baeumer'), ('REOPENED', '2005-01-06 01:12:58 EST', 'jed'), ('---', '2005-01-06 01:12:58 EST', 'jed'), ('3.1', '2005-01-06 04:44:47 EST', 'dirk_baeumer'), ('RESOLVED', '2005-01-06 04:44:47 EST', 'dirk_baeumer'), ('FIXED', '2005-01-06 04:44:47 EST', 'dirk_baeumer'), ('henrik.sundberg', '2005-05-24 07:18:42 EDT', 'storangen'), ('tfoun', '2005-06-03 14:06:24 EDT', 'tfoun'), ('maarten_coene', '2005-10-04 06:13:14 EDT', 'maarten_coene'), ('eclipse', '2005-11-23 22:20:58 EST', 'eclipse')]</t>
  </si>
  <si>
    <t>2002-08-20 11:25:22 EDT</t>
  </si>
  <si>
    <t>2002-07-31 11:48 EDT</t>
  </si>
  <si>
    <t>2005-01-19 19:32:20 EST</t>
  </si>
  <si>
    <t>[('CREATED', '2002-07-31 11:48 EDT'), ('RESOLVED', '2002-08-20 11:25:22 EDT', 'akiezun'), ('FIXED', '2002-08-20 11:25:22 EDT', 'akiezun'), ('markus_keller', '2005-01-19 19:32:20 EST', 'markus.kell.r')]</t>
  </si>
  <si>
    <t>2004-08-13 13:24:19 EDT</t>
  </si>
  <si>
    <t>2004-08-13 13:24:00 EDT</t>
  </si>
  <si>
    <t>2002-08-01 13:52 EDT</t>
  </si>
  <si>
    <t>2002-08-05 05:16:03 EDT</t>
  </si>
  <si>
    <t>[('CREATED', '2002-08-01 13:52 EDT'), ('Move public static type to interface [refactoring]', '2002-08-05 05:16:03 EDT', 'dirk_baeumer'), ('jdt-ui-inbox', '2002-09-12 09:32:02 EDT', 'dirk_baeumer'), ('ASSIGNED', '2002-09-12 10:11:35 EDT', 'dirk_baeumer'), ('enhancement', '2002-09-18 05:04:33 EDT', 'akiezun'), ('jcompagner', '2002-11-16 04:50:03 EST', 'jcompagner'), ('andreas.krueger', '2003-01-08 08:11:19 EST', 'andreas.krueger'), ('RESOLVED', '2003-01-08 08:33:58 EST', 'dirk_baeumer'), ('LATER', '2003-01-08 08:33:58 EST', 'dirk_baeumer'), ('REOPENED', '2004-08-13 13:24:00 EDT', 'dirk_baeumer'), ('---', '2004-08-13 13:24:00 EDT', 'dirk_baeumer'), ('RESOLVED', '2004-08-13 13:24:19 EDT', 'dirk_baeumer'), ('FIXED', '2004-08-13 13:24:19 EDT', 'dirk_baeumer'), ('3.0', '2004-08-13 13:24:19 EDT', 'dirk_baeumer')]</t>
  </si>
  <si>
    <t>RESOLVED  DUPLICATE  of bug 36905</t>
  </si>
  <si>
    <t>2003-04-25 11:02:56 EDT</t>
  </si>
  <si>
    <t>2003-04-25 11:02:18 EDT</t>
  </si>
  <si>
    <t>2002-08-01 13:56 EDT</t>
  </si>
  <si>
    <t>2002-08-20 06:57:37 EDT</t>
  </si>
  <si>
    <t>[('CREATED', '2002-08-01 13:56 EDT'), ('Adam_Kiezun', '2002-08-20 06:57:37 EDT', 'akiezun'), ('Erich_Gamma', '2002-08-20 06:57:37 EDT', 'akiezun'), ('UI', '2002-08-20 06:57:37 EDT', 'akiezun'), ('Dirk_Baeumer', '2002-08-21 05:35:13 EDT', 'dirk_baeumer'), ('Adam_Kiezun', '2002-08-21 05:35:13 EDT', 'dirk_baeumer'), ("'pull up method' refactoring takes too many comments with it. [refactoring]", '2002-08-21 05:35:13 EDT', 'dirk_baeumer'), ('enhancement', '2002-09-13 09:13:36 EDT', 'akiezun'), ('ASSIGNED', '2002-09-23 13:17:49 EDT', 'akiezun'), ('RESOLVED', '2003-02-20 09:45:21 EST', 'akiezun'), ('LATER', '2003-02-20 09:45:21 EST', 'akiezun'), ('REOPENED', '2003-04-25 11:01:34 EDT', 'akiezun'), ('---', '2003-04-25 11:01:34 EDT', 'akiezun'), ('RESOLVED', '2003-04-25 11:01:48 EDT', 'akiezun'), ('DUPLICATE', '2003-04-25 11:01:48 EDT', 'akiezun'), ('REOPENED', '2003-04-25 11:02:18 EDT', 'akiezun'), ('---', '2003-04-25 11:02:18 EDT', 'akiezun'), ('RESOLVED', '2003-04-25 11:02:56 EDT', 'akiezun'), ('DUPLICATE', '2003-04-25 11:02:56 EDT', 'akiezun')]</t>
  </si>
  <si>
    <t>2003-02-20 18:46:27 EST</t>
  </si>
  <si>
    <t>2002-08-07 17:48 EDT</t>
  </si>
  <si>
    <t>2002-08-08 03:42:51 EDT</t>
  </si>
  <si>
    <t>[('CREATED', '2002-08-07 17:48 EDT'), ('Mapping automated source code generation abilities to templates [general issue]', '2002-08-08 03:42:51 EDT', 'dirk_baeumer'), ('jdt-ui-inbox', '2002-09-12 09:32:06 EDT', 'dirk_baeumer'), ('ASSIGNED', '2002-09-12 10:06:59 EDT', 'dirk_baeumer'), ('Mapping automated source code generation abilities to templates [code manipulation] [quick fix] [refactoring]', '2002-09-18 13:08:52 EDT', 'dirk_baeumer'), ('RESOLVED', '2003-02-20 18:46:27 EST', 'erich_gamma'), ('FIXED', '2003-02-20 18:46:27 EST', 'erich_gamma')]</t>
  </si>
  <si>
    <t>2002-08-28 11:07:21 EDT</t>
  </si>
  <si>
    <t>2002-08-09 10:49 EDT</t>
  </si>
  <si>
    <t>2002-08-09 10:49:41 EDT</t>
  </si>
  <si>
    <t>[('CREATED', '2002-08-09 10:49 EDT'), ('Dirk_Baeumer', '2002-08-09 10:49:41 EDT', 'dirk_baeumer'), (nan, '2002-08-09 13:12:55 EDT', 'dirk_baeumer'), ('RESOLVED', '2002-08-28 11:07:21 EDT', 'akiezun'), ('WORKSFORME', '2002-08-28 11:07:21 EDT', 'akiezun')]</t>
  </si>
  <si>
    <t>2002-09-05 12:04:47 EDT</t>
  </si>
  <si>
    <t>2002-08-14 11:59 EDT</t>
  </si>
  <si>
    <t>2002-08-26 09:13:54 EDT</t>
  </si>
  <si>
    <t>[('CREATED', '2002-08-14 11:59 EDT'), ('minor', '2002-08-26 09:13:54 EDT', 'akiezun'), ('P4', '2002-08-26 09:13:54 EDT', 'akiezun'), ('WORKSFORME', '2002-09-05 12:04:47 EDT', 'akiezun'), ('RESOLVED', '2002-09-05 12:04:47 EDT', 'akiezun')]</t>
  </si>
  <si>
    <t>16202</t>
  </si>
  <si>
    <t>2002-12-18 09:59:28 EST</t>
  </si>
  <si>
    <t>2002-09-05 08:23:25 EDT</t>
  </si>
  <si>
    <t>2002-09-05 12:11:48 EDT</t>
  </si>
  <si>
    <t>2002-08-14 15:29 EDT</t>
  </si>
  <si>
    <t>2002-05-31 15:06:37 EDT</t>
  </si>
  <si>
    <t>[('CREATED', '2002-08-14 15:29 EDT'), ('16202', '2002-05-31 15:06:37 EDT', 'knut_radloff'), ('Adam_Kiezun', '2002-08-15 05:06:18 EDT', 'dirk_baeumer'), ('P2', '2002-08-15 05:06:18 EDT', 'dirk_baeumer'), ('Importing folder into itself causes "infinite" recursion [ccp]', '2002-08-15 05:06:18 EDT', 'dirk_baeumer'), ('2.1', '2002-08-15 05:06:18 EDT', 'dirk_baeumer'), ('RESOLVED', '2002-09-05 08:23:25 EDT', 'akiezun'), ('WORKSFORME', '2002-09-05 08:23:25 EDT', 'akiezun'), ('REOPENED', '2002-09-05 12:11:48 EDT', 'knut_radloff'), ('---', '2002-09-05 12:11:48 EDT', 'knut_radloff'), ('2.1 M4', '2002-11-26 12:22:40 EST', 'akiezun'), ('2.1 M5', '2002-12-18 06:23:46 EST', 'akiezun'), ('RESOLVED', '2002-12-18 09:59:28 EST', 'akiezun'), ('FIXED', '2002-12-18 09:59:28 EST', 'akiezun')]</t>
  </si>
  <si>
    <t>2002-08-21 05:49:26 EDT</t>
  </si>
  <si>
    <t>2002-08-15 04:41 EDT</t>
  </si>
  <si>
    <t>2002-08-20 06:55:34 EDT</t>
  </si>
  <si>
    <t>[('CREATED', '2002-08-15 04:41 EDT'), ('Erich_Gamma', '2002-08-20 06:55:34 EDT', 'akiezun'), ('UI', '2002-08-20 06:55:34 EDT', 'akiezun'), ('Adam_Kiezun', '2002-08-20 06:55:34 EDT', 'akiezun'), ('RESOLVED', '2002-08-21 05:49:26 EDT', 'dirk_baeumer'), ('DUPLICATE', '2002-08-21 05:49:26 EDT', 'dirk_baeumer')]</t>
  </si>
  <si>
    <t>2002-08-31 10:01:11 EDT</t>
  </si>
  <si>
    <t>2002-08-15 10:19 EDT</t>
  </si>
  <si>
    <t>2002-08-15 12:24:01 EDT</t>
  </si>
  <si>
    <t>[('CREATED', '2002-08-15 10:19 EDT'), ('Dirk_Baeumer', '2002-08-15 12:24:01 EDT', 'dirk_baeumer'), ("Rename a method from outline view doesn't always refresh the view [refactoring]", '2002-08-15 12:24:01 EDT', 'dirk_baeumer'), ('RESOLVED', '2002-08-31 10:01:11 EDT', 'dirk_baeumer'), ('WORKSFORME', '2002-08-31 10:01:11 EDT', 'dirk_baeumer')]</t>
  </si>
  <si>
    <t>2003-04-28 06:03:13 EDT</t>
  </si>
  <si>
    <t>2009-08-30 02:14:42 EDT</t>
  </si>
  <si>
    <t>2002-08-16 02:38 EDT</t>
  </si>
  <si>
    <t>2002-08-19 05:01:53 EDT</t>
  </si>
  <si>
    <t>[('CREATED', '2002-08-16 02:38 EDT'), ('Dirk_Baeumer', '2002-08-19 05:01:53 EDT', 'dirk_baeumer'), ('RESOLVED', '2002-08-19 05:01:53 EDT', 'dirk_baeumer'), ('LATER', '2002-08-19 05:01:53 EDT', 'dirk_baeumer'), ('Structural selection keybinding orientation improvement [refactoring]', '2002-09-02 09:43:54 EDT', 'dirk_baeumer'), ('jdt-ui-inbox', '2002-09-12 09:39:19 EDT', 'dirk_baeumer'), ('NEW', '2002-09-12 09:39:19 EDT', 'dirk_baeumer'), ('ASSIGNED', '2002-09-12 10:04:31 EDT', 'dirk_baeumer'), ('RESOLVED', '2003-04-28 06:03:13 EDT', 'dirk_baeumer'), ('WONTFIX', '2009-08-30 02:14:42 EDT', 'denis.roy')]</t>
  </si>
  <si>
    <t>2003-02-20 18:47:32 EST</t>
  </si>
  <si>
    <t>2002-08-20 17:35 EDT</t>
  </si>
  <si>
    <t>2002-08-20 17:35:31 EDT</t>
  </si>
  <si>
    <t>[('CREATED', '2002-08-20 17:35 EDT'), ('Adam_Kiezun', '2002-08-20 17:35:31 EDT', 'akiezun'), ('Dirk_Baeumer', '2002-08-21 05:30:45 EDT', 'dirk_baeumer'), ('Daniel_Megert', '2002-08-21 05:30:45 EDT', 'dirk_baeumer'), ('Should allow search scope of Compilation Unit [search]', '2002-08-21 05:30:45 EDT', 'dirk_baeumer'), ('enhancement', '2002-08-28 09:58:26 EDT', 'daniel_megert'), ('RESOLVED', '2003-02-20 18:47:32 EST', 'erich_gamma'), ('FIXED', '2003-02-20 18:47:32 EST', 'erich_gamma')]</t>
  </si>
  <si>
    <t>2002-08-31 13:38:46 EDT</t>
  </si>
  <si>
    <t>2002-08-20 22:58 EDT</t>
  </si>
  <si>
    <t>2002-08-21 09:52:44 EDT</t>
  </si>
  <si>
    <t>[('CREATED', '2002-08-20 22:58 EDT'), ('Erich_Gamma', '2002-08-21 09:52:44 EDT', 'john.arthorne'), ('UI', '2002-08-21 09:52:44 EDT', 'john.arthorne'), ('JDT', '2002-08-21 09:52:44 EDT', 'john.arthorne'), ('Dirk_Baeumer', '2002-08-21 13:46:33 EDT', 'dirk_baeumer'), ('RESOLVED', '2002-08-31 13:38:46 EDT', 'dirk_baeumer'), ('WONTFIX', '2002-08-31 13:38:46 EDT', 'dirk_baeumer')]</t>
  </si>
  <si>
    <t>RESOLVED  DUPLICATE  of bug 20416</t>
  </si>
  <si>
    <t>2002-10-05 11:36:45 EDT</t>
  </si>
  <si>
    <t>2002-08-21 05:27 EDT</t>
  </si>
  <si>
    <t>2002-08-21 05:51:21 EDT</t>
  </si>
  <si>
    <t>[('CREATED', '2002-08-21 05:27 EDT'), ('Dirk_Baeumer', '2002-08-21 05:51:21 EDT', 'dirk_baeumer'), ('Rename constructors after rename type', '2002-08-21 05:51:21 EDT', 'dirk_baeumer'), ('RESOLVED', '2002-08-21 07:25:32 EDT', 'dirk_baeumer'), ('P5', '2002-08-21 07:25:32 EDT', 'dirk_baeumer'), ('LATER', '2002-08-21 07:25:32 EDT', 'dirk_baeumer'), ('Rename constructors after rename type [quick fix]', '2002-08-21 07:25:32 EDT', 'dirk_baeumer'), ('jdt-ui-inbox', '2002-09-12 09:42:58 EDT', 'dirk_baeumer'), ('NEW', '2002-09-12 09:42:58 EDT', 'dirk_baeumer'), ('ASSIGNED', '2002-09-12 10:12:12 EDT', 'dirk_baeumer'), ('RESOLVED', '2002-10-05 11:36:45 EDT', 'martinae'), ('DUPLICATE', '2002-10-05 11:36:45 EDT', 'martinae')]</t>
  </si>
  <si>
    <t>2002-09-30 06:31:18 EDT</t>
  </si>
  <si>
    <t>2002-08-21 06:10 EDT</t>
  </si>
  <si>
    <t>2002-09-18 07:34:27 EDT</t>
  </si>
  <si>
    <t>[('CREATED', '2002-08-21 06:10 EDT'), ('major', '2002-09-18 07:34:27 EDT', 'martinae'), ('RESOLVED', '2002-09-30 06:31:18 EDT', 'martinae'), ('FIXED', '2002-09-30 06:31:18 EDT', 'martinae'), ('2.1 M2', '2002-09-30 06:31:18 EDT', 'martinae')]</t>
  </si>
  <si>
    <t>2002-08-22 06:22:30 EDT</t>
  </si>
  <si>
    <t>2002-08-21 16:36 EDT</t>
  </si>
  <si>
    <t>2002-08-22 04:54:21 EDT</t>
  </si>
  <si>
    <t>[('CREATED', '2002-08-21 16:36 EDT'), ('Erich_Gamma', '2002-08-22 04:54:21 EDT', 'akiezun'), ('UI', '2002-08-22 04:54:21 EDT', 'akiezun'), ('RESOLVED', '2002-08-22 06:22:30 EDT', 'dirk_baeumer'), ('WONTFIX', '2002-08-22 06:22:30 EDT', 'dirk_baeumer'), ('Dirk_Baeumer', '2002-08-22 06:22:30 EDT', 'dirk_baeumer')]</t>
  </si>
  <si>
    <t>2002-08-28 10:51:23 EDT</t>
  </si>
  <si>
    <t>2002-08-22 12:07 EDT</t>
  </si>
  <si>
    <t>2002-08-22 12:15:06 EDT</t>
  </si>
  <si>
    <t>[('CREATED', '2002-08-22 12:07 EDT'), ('Dirk_Baeumer', '2002-08-22 12:15:06 EDT', 'dirk_baeumer'), ('Adam_Kiezun', '2002-08-22 12:15:06 EDT', 'dirk_baeumer'), ('NLS Tool: Default common prefix [refactoring]', '2002-08-22 12:15:06 EDT', 'dirk_baeumer'), ('RESOLVED', '2002-08-28 10:51:23 EDT', 'akiezun'), ('FIXED', '2002-08-28 10:51:23 EDT', 'akiezun')]</t>
  </si>
  <si>
    <t>2004-08-13 13:27:11 EDT</t>
  </si>
  <si>
    <t>2004-08-13 13:26:14 EDT</t>
  </si>
  <si>
    <t>2002-08-22 12:12 EDT</t>
  </si>
  <si>
    <t>2002-08-22 12:19:06 EDT</t>
  </si>
  <si>
    <t>[('CREATED', '2002-08-22 12:12 EDT'), ('Dirk_Baeumer', '2002-08-22 12:19:06 EDT', 'dirk_baeumer'), ('Adam_Kiezun', '2002-08-22 12:19:06 EDT', 'dirk_baeumer'), ('NLS Tool: Default package context in NLS wizard [refactoring]', '2002-08-22 12:19:06 EDT', 'dirk_baeumer'), ('enhancement', '2002-09-03 05:35:00 EDT', 'akiezun'), ('ASSIGNED', '2002-09-23 13:17:26 EDT', 'akiezun'), ('P4', '2002-09-24 10:33:07 EDT', 'akiezun'), ('RESOLVED', '2003-02-20 09:46:07 EST', 'akiezun'), ('LATER', '2003-02-20 09:46:07 EST', 'akiezun'), ('REOPENED', '2003-04-25 11:29:20 EDT', 'akiezun'), ('---', '2003-04-25 11:29:20 EDT', 'akiezun'), ('jdt-ui-inbox', '2003-04-25 11:29:35 EDT', 'akiezun'), ('NEW', '2003-04-25 11:29:35 EDT', 'akiezun'), ('RESOLVED', '2003-04-25 11:29:54 EDT', 'akiezun'), ('LATER', '2003-04-25 11:29:54 EDT', 'akiezun'), ('REOPENED', '2004-08-13 13:26:14 EDT', 'dirk_baeumer'), ('---', '2004-08-13 13:26:14 EDT', 'dirk_baeumer'), ('RESOLVED', '2004-08-13 13:27:11 EDT', 'dirk_baeumer'), ('FIXED', '2004-08-13 13:27:11 EDT', 'dirk_baeumer'), ('3.1', '2004-08-13 13:27:11 EDT', 'dirk_baeumer')]</t>
  </si>
  <si>
    <t>35921 (view as bug list)</t>
  </si>
  <si>
    <t>2002-08-23 10:04 EDT</t>
  </si>
  <si>
    <t>2002-08-23 10:15:38 EDT</t>
  </si>
  <si>
    <t>2012-06-21 13:03:50 EDT</t>
  </si>
  <si>
    <t>eric.jain</t>
  </si>
  <si>
    <t>[('CREATED', '2002-08-23 10:04 EDT'), ('Adam_Kiezun', '2002-08-23 10:15:38 EDT', 'dirk_baeumer'), ('interface to abstract class (and vice versa) [refactoring]', '2002-08-23 10:15:38 EDT', 'dirk_baeumer'), ('Dirk_Baeumer', '2002-08-23 10:15:38 EDT', 'dirk_baeumer'), ('P4', '2002-08-28 06:23:10 EDT', 'erich_gamma'), ('jdt-ui-inbox', '2002-09-12 09:32:32 EDT', 'dirk_baeumer'), ('ASSIGNED', '2002-09-12 10:08:26 EDT', 'dirk_baeumer'), ('[refactoring] [dcr] interface to abstract class (and vice versa)', '2006-06-12 03:00:27 EDT', 'martinae'), ('Eric.Jain', '2007-09-25 04:33:22 EDT', 'benno.baumgartner'), ('benno_baumgartner', '2007-09-25 04:33:38 EDT', 'benno.baumgartner'), ('daniel_megert', '2010-11-04 06:46:29 EDT', 'daniel_megert'), ('[refactoring] interface to abstract class (and vice versa)', '2010-11-04 06:46:29 EDT', 'daniel_megert'), (nan, '2012-06-21 13:03:50 EDT', 'eric.jain')]</t>
  </si>
  <si>
    <t>2002-09-05 11:08:49 EDT</t>
  </si>
  <si>
    <t>2002-08-23 15:39 EDT</t>
  </si>
  <si>
    <t>2002-08-24 08:23:06 EDT</t>
  </si>
  <si>
    <t>[('CREATED', '2002-08-23 15:39 EDT'), ('Olivier_Thomann', '2002-08-24 08:23:06 EDT', 'philippe_mulet'), ('2.1', '2002-08-24 08:23:06 EDT', 'philippe_mulet'), ('ASSIGNED', '2002-08-28 10:59:31 EDT', 'Olivier_Thomann'), ('Erich_Gamma', '2002-09-04 12:40:25 EDT', 'Olivier_Thomann'), ('NEW', '2002-09-04 12:40:25 EDT', 'Olivier_Thomann'), ('UI', '2002-09-04 12:40:25 EDT', 'Olivier_Thomann'), ('RESOLVED', '2002-09-05 11:08:49 EDT', 'dirk_baeumer'), ('WORKSFORME', '2002-09-05 11:08:49 EDT', 'dirk_baeumer')]</t>
  </si>
  <si>
    <t>2002-08-28 12:16:26 EDT</t>
  </si>
  <si>
    <t>2002-08-26 04:55 EDT</t>
  </si>
  <si>
    <t>2002-08-26 05:12:31 EDT</t>
  </si>
  <si>
    <t>[('CREATED', '2002-08-26 04:55 EDT'), ('Adam_Kiezun', '2002-08-26 05:12:31 EDT', 'akiezun'), ('nls: incorrect error if package starts with uppercase [refactoring]', '2002-08-26 08:50:39 EDT', 'akiezun'), ('RESOLVED', '2002-08-28 12:16:26 EDT', 'akiezun'), ('FIXED', '2002-08-28 12:16:26 EDT', 'akiezun')]</t>
  </si>
  <si>
    <t>22939 23329</t>
  </si>
  <si>
    <t>2002-09-13 10:51:22 EDT</t>
  </si>
  <si>
    <t>2002-08-28 05:33 EDT</t>
  </si>
  <si>
    <t>2002-08-28 06:12:28 EDT</t>
  </si>
  <si>
    <t>2003-05-14 11:04:44 EDT</t>
  </si>
  <si>
    <t>darin.eclipse</t>
  </si>
  <si>
    <t>[('CREATED', '2002-08-28 05:33 EDT'), ('Adam_Kiezun', '2002-08-28 06:12:28 EDT', 'akiezun'), ('22939', '2002-08-28 06:51:30 EDT', 'akiezun'), ('ASSIGNED', '2002-08-28 06:51:30 EDT', 'akiezun'), ('23329', '2002-08-28 07:07:02 EDT', 'akiezun'), ('RESOLVED', '2002-09-13 10:51:22 EDT', 'akiezun'), ('FIXED', '2002-09-13 10:51:22 EDT', 'akiezun'), ('2.1 M2', '2002-10-17 08:47:11 EDT', 'akiezun'), ('erich_gamma', '2003-05-14 11:04:44 EDT', 'darin.eclipse')]</t>
  </si>
  <si>
    <t>2002-12-19 12:28:39 EST</t>
  </si>
  <si>
    <t>2002-12-19 12:28:19 EST</t>
  </si>
  <si>
    <t>2002-08-30 07:33 EDT</t>
  </si>
  <si>
    <t>2002-09-05 09:35:58 EDT</t>
  </si>
  <si>
    <t>[('CREATED', '2002-08-30 07:33 EDT'), ('RESOLVED', '2002-09-05 09:35:58 EDT', 'akiezun'), ('LATER', '2002-09-05 09:35:58 EDT', 'akiezun'), ('REOPENED', '2002-12-19 12:28:19 EST', 'akiezun'), ('---', '2002-12-19 12:28:19 EST', 'akiezun'), ('RESOLVED', '2002-12-19 12:28:39 EST', 'akiezun'), ('FIXED', '2002-12-19 12:28:39 EST', 'akiezun'), ('2.1 M3', '2002-12-19 12:28:39 EST', 'akiezun')]</t>
  </si>
  <si>
    <t>36188 (view as bug list)</t>
  </si>
  <si>
    <t>2004-08-13 13:28:17 EDT</t>
  </si>
  <si>
    <t>2004-08-13 13:27:56 EDT</t>
  </si>
  <si>
    <t>2002-08-30 07:54 EDT</t>
  </si>
  <si>
    <t>2002-09-05 09:36:47 EDT</t>
  </si>
  <si>
    <t>[('CREATED', '2002-08-30 07:54 EDT'), ('RESOLVED', '2002-09-05 09:36:47 EDT', 'akiezun'), ('LATER', '2002-09-05 09:36:47 EDT', 'akiezun'), ('preuss', '2003-04-09 05:50:17 EDT', 'akiezun'), ('REOPENED', '2003-04-25 10:53:24 EDT', 'akiezun'), ('---', '2003-04-25 10:53:24 EDT', 'akiezun'), ('NEW', '2003-04-25 10:53:48 EDT', 'akiezun'), ('jdt-ui-inbox', '2003-04-25 10:53:48 EDT', 'akiezun'), ('RESOLVED', '2003-04-25 10:54:51 EDT', 'akiezun'), ('P4', '2003-04-25 10:54:51 EDT', 'akiezun'), ('LATER', '2003-04-25 10:54:51 EDT', 'akiezun'), ('replace constructor with factory method [refactoring]', '2003-04-25 10:54:51 EDT', 'akiezun'), ('neil_swingler', '2003-11-11 19:03:07 EST', 'neil'), ('bkotch', '2003-11-12 08:18:24 EST', 'bkotch'), ('REOPENED', '2004-08-13 13:27:56 EDT', 'dirk_baeumer'), ('---', '2004-08-13 13:27:56 EDT', 'dirk_baeumer'), ('RESOLVED', '2004-08-13 13:28:17 EDT', 'dirk_baeumer'), ('FIXED', '2004-08-13 13:28:17 EDT', 'dirk_baeumer'), ('3.0', '2004-08-13 13:28:17 EDT', 'dirk_baeumer')]</t>
  </si>
  <si>
    <t>2004-08-18 06:22:24 EDT</t>
  </si>
  <si>
    <t>2002-08-30 10:51 EDT</t>
  </si>
  <si>
    <t>2002-08-30 12:29:27 EDT</t>
  </si>
  <si>
    <t>[('CREATED', '2002-08-30 10:51 EDT'), ('Adam_Kiezun', '2002-08-30 12:29:27 EDT', 'akiezun'), ('Erich_Gamma', '2002-08-30 12:29:27 EDT', 'akiezun'), ('UI', '2002-08-30 12:29:27 EDT', 'akiezun'), ('Cannot copy/paste jar on build path [ccp] [build path]', '2002-08-31 13:27:21 EDT', 'dirk_baeumer'), ('jdt-ui-inbox', '2002-09-12 09:31:39 EDT', 'dirk_baeumer'), ('ASSIGNED', '2002-09-12 10:05:55 EDT', 'dirk_baeumer'), ('enhancement', '2002-09-18 04:17:00 EDT', 'akiezun'), ('normal', '2003-11-06 18:28:03 EST', 'jcagle'), ('RESOLVED', '2004-08-18 06:22:24 EDT', 'dirk_baeumer'), ('FIXED', '2004-08-18 06:22:24 EDT', 'dirk_baeumer')]</t>
  </si>
  <si>
    <t>2003-01-31 04:03:17 EST</t>
  </si>
  <si>
    <t>2002-09-02 16:25 EDT</t>
  </si>
  <si>
    <t>2002-09-02 16:25:59 EDT</t>
  </si>
  <si>
    <t>[('CREATED', '2002-09-02 16:25 EDT'), ('Pull-up method should help pulling up dependent methods/fields [refactoring]', '2002-09-02 16:25:59 EDT', 'erich_gamma'), ('jdt-ui-inbox', '2002-09-12 09:30:59 EDT', 'dirk_baeumer'), ('ASSIGNED', '2002-09-12 10:09:09 EDT', 'dirk_baeumer'), ('RESOLVED', '2003-01-31 04:03:17 EST', 'akiezun'), ('FIXED', '2003-01-31 04:03:17 EST', 'akiezun'), ('2.1 M5', '2003-01-31 04:03:17 EST', 'akiezun')]</t>
  </si>
  <si>
    <t>RESOLVED  DUPLICATE  of bug 6605</t>
  </si>
  <si>
    <t>2003-02-17 14:12:06 EST</t>
  </si>
  <si>
    <t>2002-09-02 16:28 EDT</t>
  </si>
  <si>
    <t>2002-09-12 09:31:00 EDT</t>
  </si>
  <si>
    <t>[('CREATED', '2002-09-02 16:28 EDT'), ('jdt-ui-inbox', '2002-09-12 09:31:00 EDT', 'dirk_baeumer'), ('ASSIGNED', '2002-09-12 10:09:14 EDT', 'dirk_baeumer'), ('stefan', '2003-02-17 13:43:54 EST', 'stefan'), ('RESOLVED', '2003-02-17 14:12:06 EST', 'dirk_baeumer'), ('DUPLICATE', '2003-02-17 14:12:06 EST', 'dirk_baeumer')]</t>
  </si>
  <si>
    <t>RESOLVED  DUPLICATE  of bug 11452</t>
  </si>
  <si>
    <t>2002-10-08 12:15:55 EDT</t>
  </si>
  <si>
    <t>2002-09-02 16:31 EDT</t>
  </si>
  <si>
    <t>2002-09-12 09:31:02 EDT</t>
  </si>
  <si>
    <t>[('CREATED', '2002-09-02 16:31 EDT'), ('jdt-ui-inbox', '2002-09-12 09:31:02 EDT', 'dirk_baeumer'), ('ASSIGNED', '2002-09-12 10:09:16 EDT', 'dirk_baeumer'), ('RESOLVED', '2002-10-08 12:15:55 EDT', 'dirk_baeumer'), ('DUPLICATE', '2002-10-08 12:15:55 EDT', 'dirk_baeumer')]</t>
  </si>
  <si>
    <t>2003-02-05 15:50:28 EST</t>
  </si>
  <si>
    <t>2002-09-03 06:54 EDT</t>
  </si>
  <si>
    <t>2002-09-12 09:31:35 EDT</t>
  </si>
  <si>
    <t>[('CREATED', '2002-09-03 06:54 EDT'), ('jdt-ui-inbox', '2002-09-12 09:31:35 EDT', 'dirk_baeumer'), ('ASSIGNED', '2002-09-12 10:05:48 EDT', 'dirk_baeumer'), ('RESOLVED', '2003-02-05 15:50:28 EST', 'dirk_baeumer'), ('WORKSFORME', '2003-02-05 15:50:28 EST', 'dirk_baeumer')]</t>
  </si>
  <si>
    <t>2002-09-04 08:42:11 EDT</t>
  </si>
  <si>
    <t>2002-09-03 07:04 EDT</t>
  </si>
  <si>
    <t>2002-09-03 07:07:13 EDT</t>
  </si>
  <si>
    <t>[('CREATED', '2002-09-03 07:04 EDT'), ('Adam_Kiezun', '2002-09-03 07:07:13 EDT', 'akiezun'), ('ASSIGNED', '2002-09-03 11:14:08 EDT', 'akiezun'), ('P2', '2002-09-04 05:52:11 EDT', 'akiezun'), ('RESOLVED', '2002-09-04 08:42:11 EDT', 'akiezun'), ('FIXED', '2002-09-04 08:42:11 EDT', 'akiezun')]</t>
  </si>
  <si>
    <t>2003-04-25 13:13:25 EDT</t>
  </si>
  <si>
    <t>2003-04-25 13:11:39 EDT</t>
  </si>
  <si>
    <t>2002-09-03 12:34 EDT</t>
  </si>
  <si>
    <t>2002-09-03 12:42:55 EDT</t>
  </si>
  <si>
    <t>[('CREATED', '2002-09-03 12:34 EDT'), ('Adam_Kiezun', '2002-09-03 12:42:55 EDT', 'akiezun'), ('ASSIGNED', '2002-09-05 05:44:40 EDT', 'akiezun'), ('P2', '2002-09-05 05:44:40 EDT', 'akiezun'), ('Need warning for inexact search matches', '2002-09-05 05:44:40 EDT', 'akiezun'), ('P3', '2003-01-27 07:28:58 EST', 'akiezun'), ('LATER', '2003-02-07 14:01:34 EST', 'akiezun'), ('RESOLVED', '2003-02-07 14:01:34 EST', 'akiezun'), ('REOPENED', '2003-04-25 13:11:39 EDT', 'akiezun'), ('---', '2003-04-25 13:11:39 EDT', 'akiezun'), ('RESOLVED', '2003-04-25 13:13:25 EDT', 'akiezun'), ('WONTFIX', '2003-04-25 13:13:25 EDT', 'akiezun')]</t>
  </si>
  <si>
    <t>2003-02-05 16:07:22 EST</t>
  </si>
  <si>
    <t>2002-09-04 11:40 EDT</t>
  </si>
  <si>
    <t>2002-09-04 11:40:30 EDT</t>
  </si>
  <si>
    <t>[('CREATED', '2002-09-04 11:40 EDT'), ('Adam_Kiezun', '2002-09-04 11:40:30 EDT', 'dirk_baeumer'), ('Dirk_Baeumer', '2002-09-04 11:50:02 EDT', 'dirk_baeumer'), ('jdt-ui-inbox', '2002-09-12 09:30:58 EDT', 'dirk_baeumer'), ('ASSIGNED', '2002-09-12 10:09:08 EDT', 'dirk_baeumer'), ('RESOLVED', '2003-02-05 16:07:22 EST', 'dirk_baeumer'), ('WONTFIX', '2003-02-05 16:07:22 EST', 'dirk_baeumer')]</t>
  </si>
  <si>
    <t>2003-02-12 13:03:03 EST</t>
  </si>
  <si>
    <t>2002-09-05 04:53 EDT</t>
  </si>
  <si>
    <t>2002-09-12 09:32:19 EDT</t>
  </si>
  <si>
    <t>[('CREATED', '2002-09-05 04:53 EDT'), ('jdt-ui-inbox', '2002-09-12 09:32:19 EDT', 'dirk_baeumer'), ('ASSIGNED', '2002-09-12 10:07:54 EDT', 'dirk_baeumer'), ('NEW', '2002-10-16 09:43:12 EDT', 'martinae'), ('Adam_Kiezun', '2002-10-16 09:43:12 EDT', 'martinae'), ('ASSIGNED', '2003-02-07 14:02:06 EST', 'akiezun'), ('RESOLVED', '2003-02-12 13:03:03 EST', 'akiezun'), ('FIXED', '2003-02-12 13:03:03 EST', 'akiezun'), ('2.1 RC1', '2003-02-12 13:03:03 EST', 'akiezun')]</t>
  </si>
  <si>
    <t>2003-01-14 04:27:12 EST</t>
  </si>
  <si>
    <t>2002-09-05 12:17 EDT</t>
  </si>
  <si>
    <t>2002-09-12 09:30:55 EDT</t>
  </si>
  <si>
    <t>[('CREATED', '2002-09-05 12:17 EDT'), ('jdt-ui-inbox', '2002-09-12 09:30:55 EDT', 'dirk_baeumer'), ('ASSIGNED', '2002-09-12 10:09:04 EDT', 'dirk_baeumer'), ('RESOLVED', '2003-01-14 04:27:12 EST', 'akiezun'), ('FIXED', '2003-01-14 04:27:12 EST', 'akiezun'), ('2.1 M4', '2003-01-14 04:27:12 EST', 'akiezun')]</t>
  </si>
  <si>
    <t>2003-04-28 06:04:06 EDT</t>
  </si>
  <si>
    <t>2009-08-30 02:39:59 EDT</t>
  </si>
  <si>
    <t>2002-09-06 07:24 EDT</t>
  </si>
  <si>
    <t>2002-09-06 07:57:58 EDT</t>
  </si>
  <si>
    <t>[('CREATED', '2002-09-06 07:24 EDT'), ('Erich_Gamma', '2002-09-06 07:57:58 EDT', 'akiezun'), ('UI', '2002-09-06 07:57:58 EDT', 'akiezun'), ('"Invert boolean" [refactoring]', '2002-09-06 07:57:58 EDT', 'akiezun'), ('Adam_Kiezun', '2002-09-06 07:57:58 EDT', 'akiezun'), ('RESOLVED', '2002-09-06 11:23:54 EDT', 'dirk_baeumer'), ('helpwanted', '2002-09-06 11:23:54 EDT', 'dirk_baeumer'), ('LATER', '2002-09-06 11:23:54 EDT', 'dirk_baeumer'), ('jdt-ui-inbox', '2002-09-12 09:42:28 EDT', 'dirk_baeumer'), ('NEW', '2002-09-12 09:42:28 EDT', 'dirk_baeumer'), ('ASSIGNED', '2002-09-12 10:11:16 EDT', 'dirk_baeumer'), ('"Invert boolean" [refactoring] [quick assist]', '2003-04-24 12:11:03 EDT', 'dirk_baeumer'), ('RESOLVED', '2003-04-28 06:04:06 EDT', 'dirk_baeumer'), ('WONTFIX', '2009-08-30 02:39:59 EDT', 'webmaster')]</t>
  </si>
  <si>
    <t>2002-09-13 13:47:33 EDT</t>
  </si>
  <si>
    <t>2002-09-06 10:17 EDT</t>
  </si>
  <si>
    <t>2002-09-12 09:51:52 EDT</t>
  </si>
  <si>
    <t>christopher.bradford</t>
  </si>
  <si>
    <t>[('CREATED', '2002-09-06 10:17 EDT'), ('jdt-ui-inbox', '2002-09-12 09:51:52 EDT', 'dirk_baeumer'), ('ASSIGNED', '2002-09-12 10:39:13 EDT', 'dirk_baeumer'), ('Outline view not updated on refactor [refactoring]', '2002-09-12 10:39:13 EDT', 'dirk_baeumer'), ('RESOLVED', '2002-09-13 13:47:33 EDT', 'christopher.bradford'), ('WORKSFORME', '2002-09-13 13:47:33 EDT', 'christopher.bradford')]</t>
  </si>
  <si>
    <t>RESOLVED  DUPLICATE  of bug 18080</t>
  </si>
  <si>
    <t>23334 (view as bug list)</t>
  </si>
  <si>
    <t>2002-11-25 05:02:34 EST</t>
  </si>
  <si>
    <t>2002-09-06 12:16 EDT</t>
  </si>
  <si>
    <t>2002-09-06 12:29:08 EDT</t>
  </si>
  <si>
    <t>[('CREATED', '2002-09-06 12:16 EDT'), ('Adam_Kiezun', '2002-09-06 12:29:08 EDT', 'akiezun'), ('enhancement', '2002-09-06 12:29:08 EDT', 'akiezun'), ('andrew_cornwall', '2002-09-09 13:11:47 EDT', 'akiezun'), ('jdt-ui-inbox', '2002-09-12 09:51:30 EDT', 'dirk_baeumer'), ('ASSIGNED', '2002-09-12 10:11:51 EDT', 'dirk_baeumer'), ('RESOLVED', '2002-11-25 05:02:34 EST', 'dirk_baeumer'), ('DUPLICATE', '2002-11-25 05:02:34 EST', 'dirk_baeumer')]</t>
  </si>
  <si>
    <t>2002-09-18 12:09:21 EDT</t>
  </si>
  <si>
    <t>2002-09-08 19:53 EDT</t>
  </si>
  <si>
    <t>2002-09-12 09:51:39 EDT</t>
  </si>
  <si>
    <t>[('CREATED', '2002-09-08 19:53 EDT'), ('jdt-ui-inbox', '2002-09-12 09:51:39 EDT', 'dirk_baeumer'), ('ASSIGNED', '2002-09-12 10:09:49 EDT', 'dirk_baeumer'), ('Dirk_Baeumer', '2002-09-12 10:09:49 EDT', 'dirk_baeumer'), ('RESOLVED', '2002-09-18 12:09:21 EDT', 'dirk_baeumer'), ('WORKSFORME', '2002-09-18 12:09:21 EDT', 'dirk_baeumer')]</t>
  </si>
  <si>
    <t>2002-09-13 06:14:30 EDT</t>
  </si>
  <si>
    <t>2002-09-09 09:48 EDT</t>
  </si>
  <si>
    <t>2002-10-17 08:47:35 EDT</t>
  </si>
  <si>
    <t>[('CREATED', '2002-09-09 09:48 EDT'), ('RESOLVED', '2002-09-13 06:14:30 EDT', 'akiezun'), ('FIXED', '2002-09-13 06:14:30 EDT', 'akiezun'), ('2.1 M2', '2002-10-17 08:47:35 EDT', 'akiezun')]</t>
  </si>
  <si>
    <t>RESOLVED  DUPLICATE  of bug 23277</t>
  </si>
  <si>
    <t>2002-09-09 13:11:47 EDT</t>
  </si>
  <si>
    <t>2002-09-09 12:47 EDT</t>
  </si>
  <si>
    <t>[('CREATED', '2002-09-09 12:47 EDT'), ('RESOLVED', '2002-09-09 13:11:47 EDT', 'akiezun'), ('DUPLICATE', '2002-09-09 13:11:47 EDT', 'akiezun')]</t>
  </si>
  <si>
    <t>2002-09-13 09:12:27 EDT</t>
  </si>
  <si>
    <t>2002-09-10 10:39 EDT</t>
  </si>
  <si>
    <t>2002-10-17 08:48:18 EDT</t>
  </si>
  <si>
    <t>[('CREATED', '2002-09-10 10:39 EDT'), ('RESOLVED', '2002-09-13 09:12:27 EDT', 'akiezun'), ('FIXED', '2002-09-13 09:12:27 EDT', 'akiezun'), ('2.1 M2', '2002-10-17 08:48:18 EDT', 'akiezun')]</t>
  </si>
  <si>
    <t>27300 (view as bug list)</t>
  </si>
  <si>
    <t>2002-09-17 04:39:28 EDT</t>
  </si>
  <si>
    <t>2002-09-11 11:05 EDT</t>
  </si>
  <si>
    <t>2002-09-16 12:30:14 EDT</t>
  </si>
  <si>
    <t>2002-11-28 08:59:29 EST</t>
  </si>
  <si>
    <t>sonia_dimitrov</t>
  </si>
  <si>
    <t>[('CREATED', '2002-09-11 11:05 EDT'), ('jdt-ui-inbox', '2002-09-16 12:30:14 EDT', 'philippe_mulet'), ('UI', '2002-09-16 12:30:14 EDT', 'philippe_mulet'), ('Martin_Aeschlimann', '2002-09-16 13:13:11 EDT', 'martinae'), ('claude_knaus', '2002-09-16 14:16:47 EDT', 'martinae'), ('RESOLVED', '2002-09-17 04:39:28 EDT', 'Claude_Knaus'), ('WORKSFORME', '2002-09-17 04:39:28 EDT', 'Claude_Knaus'), ('djouvin', '2002-11-28 08:59:29 EST', 'sonia_dimitrov')]</t>
  </si>
  <si>
    <t>23572 23605 (view as bug list)</t>
  </si>
  <si>
    <t>2002-09-12 03:01:31 EDT</t>
  </si>
  <si>
    <t>2002-09-11 16:23 EDT</t>
  </si>
  <si>
    <t>2002-09-11 16:34:41 EDT</t>
  </si>
  <si>
    <t>2002-09-16 11:17:04 EDT</t>
  </si>
  <si>
    <t>[('CREATED', '2002-09-11 16:23 EDT'), ('Dirk_Baeumer', '2002-09-11 16:34:41 EDT', 'akiezun'), ('ArrayStoreException attempting rename field [refactoring]', '2002-09-11 16:34:41 EDT', 'akiezun'), ('Adam_Kiezun', '2002-09-11 16:34:41 EDT', 'akiezun'), ('RESOLVED', '2002-09-12 03:01:31 EDT', 'dirk_baeumer'), ('P1', '2002-09-12 03:01:31 EDT', 'dirk_baeumer'), ('FIXED', '2002-09-12 03:01:31 EDT', 'dirk_baeumer'), ('2.1 M1', '2002-09-12 03:01:31 EDT', 'dirk_baeumer'), ('critical', '2002-09-12 03:01:31 EDT', 'dirk_baeumer'), ('Michael_Valenta', '2002-09-13 13:22:59 EDT', 'akiezun'), ('Luc_Bourlier', '2002-09-16 11:17:04 EDT', 'akiezun')]</t>
  </si>
  <si>
    <t>2003-01-31 03:25:36 EST</t>
  </si>
  <si>
    <t>2002-09-12 04:25 EDT</t>
  </si>
  <si>
    <t>2002-09-12 11:18:11 EDT</t>
  </si>
  <si>
    <t>[('CREATED', '2002-09-12 04:25 EDT'), ('enhancement', '2002-09-12 11:18:11 EDT', 'dirk_baeumer'), ('ASSIGNED', '2002-09-12 11:18:11 EDT', 'dirk_baeumer'), ("'f' hot key for Refresh vs. Refactor [actions]", '2002-09-12 11:18:11 EDT', 'dirk_baeumer'), ('jthorpe', '2002-09-12 11:18:11 EDT', 'jthorpe'), ('normal', '2002-09-18 10:52:07 EDT', 'dirk_baeumer'), ('mcgarr', '2003-01-30 13:58:09 EST', 'mcgarr'), ('dirk_baeumer', '2003-01-31 03:25:08 EST', 'dirk_baeumer'), ('NEW', '2003-01-31 03:25:08 EST', 'dirk_baeumer'), ('RESOLVED', '2003-01-31 03:25:36 EST', 'dirk_baeumer'), ('FIXED', '2003-01-31 03:25:36 EST', 'dirk_baeumer'), ('2.1 M5', '2003-01-31 03:25:36 EST', 'dirk_baeumer')]</t>
  </si>
  <si>
    <t>60992 (view as bug list)</t>
  </si>
  <si>
    <t>2004-10-26 08:31:53 EDT</t>
  </si>
  <si>
    <t>2004-11-04 11:20:56 EST</t>
  </si>
  <si>
    <t>2003-04-08 13:58:10 EDT</t>
  </si>
  <si>
    <t>2002-09-12 11:37 EDT</t>
  </si>
  <si>
    <t>2002-09-13 06:35:47 EDT</t>
  </si>
  <si>
    <t>[('CREATED', '2002-09-12 11:37 EDT'), ('enhancement', '2002-09-13 06:35:47 EDT', 'akiezun'), ('move inner to top level - cannot handle some type accesses', '2002-09-13 06:35:47 EDT', 'akiezun'), ('ASSIGNED', '2002-09-23 13:16:22 EDT', 'akiezun'), ('LATER', '2003-02-20 09:46:31 EST', 'akiezun'), ('RESOLVED', '2003-02-20 09:46:31 EST', 'akiezun'), ('REOPENED', '2003-04-08 13:58:10 EDT', 'akiezun'), ('---', '2003-04-08 13:58:10 EDT', 'akiezun'), ('move inner to top level - cannot handle some type accesses [refactoring]', '2003-04-25 13:15:25 EDT', 'akiezun'), ('tobias_widmer', '2004-10-07 09:15:42 EDT', 'tobias_widmer'), ('nick_edgar', '2004-10-07 13:35:24 EDT', 'markus.kell.r'), ('markus_keller', '2004-10-07 13:39:28 EDT', 'markus.kell.r'), ('tobias_widmer', '2004-10-07 13:39:28 EDT', 'markus.kell.r'), ('NEW', '2004-10-07 13:39:28 EDT', 'markus.kell.r'), ('P1', '2004-10-07 13:39:28 EDT', 'markus.kell.r'), ('3.1 M3', '2004-10-07 13:39:28 EDT', 'markus.kell.r'), ('RESOLVED', '2004-10-26 08:31:53 EDT', 'tobias_widmer'), ('FIXED', '2004-10-26 08:31:53 EDT', 'tobias_widmer'), ('VERIFIED', '2004-11-04 11:20:56 EST', 'markus.kell.r')]</t>
  </si>
  <si>
    <t>2002-09-13 05:21:59 EDT</t>
  </si>
  <si>
    <t>2002-09-13 05:18 EDT</t>
  </si>
  <si>
    <t>[('CREATED', '2002-09-13 05:18 EDT'), ('RESOLVED', '2002-09-13 05:21:59 EDT', 'Claude_Knaus'), ('WORKSFORME', '2002-09-13 05:21:59 EDT', 'Claude_Knaus')]</t>
  </si>
  <si>
    <t>36887</t>
  </si>
  <si>
    <t>2004-08-13 13:30:06 EDT</t>
  </si>
  <si>
    <t>2004-08-13 13:29:46 EDT</t>
  </si>
  <si>
    <t>2002-09-13 06:19 EDT</t>
  </si>
  <si>
    <t>2002-09-13 06:31:45 EDT</t>
  </si>
  <si>
    <t>[('CREATED', '2002-09-13 06:19 EDT'), ('jdt-ui-inbox', '2002-09-13 06:31:45 EDT', 'akiezun'), ('UI', '2002-09-13 06:31:45 EDT', 'akiezun'), ('ASSIGNED', '2002-09-13 08:12:48 EDT', 'dirk_baeumer'), ('Refactor/Rename data member incorrectly changes @param [refactoring]', '2002-09-13 08:12:48 EDT', 'dirk_baeumer'), ('minor', '2002-09-13 08:13:33 EDT', 'dirk_baeumer'), ('Adam_Kiezun', '2002-09-17 03:57:56 EDT', 'martinae'), ('NEW', '2002-09-17 03:57:56 EDT', 'martinae'), ('ASSIGNED', '2002-09-23 13:16:09 EDT', 'akiezun'), ('RESOLVED', '2002-12-18 06:26:07 EST', 'akiezun'), ('LATER', '2002-12-18 06:26:07 EST', 'akiezun'), ('REOPENED', '2003-04-25 10:56:43 EDT', 'akiezun'), ('---', '2003-04-25 10:56:43 EDT', 'akiezun'), ('36887', '2003-04-25 11:00:26 EDT', 'akiezun'), ('jdt-ui-inbox', '2003-04-25 11:00:26 EDT', 'akiezun'), ('NEW', '2003-04-25 11:00:26 EDT', 'akiezun'), ('adam_kiezun', '2003-04-25 11:01:01 EDT', 'akiezun'), ('RESOLVED', '2003-04-25 11:01:01 EDT', 'akiezun'), ('LATER', '2003-04-25 11:01:01 EDT', 'akiezun'), ('REOPENED', '2004-08-13 13:29:46 EDT', 'dirk_baeumer'), ('---', '2004-08-13 13:29:46 EDT', 'dirk_baeumer'), ('RESOLVED', '2004-08-13 13:30:06 EDT', 'dirk_baeumer'), ('FIXED', '2004-08-13 13:30:06 EDT', 'dirk_baeumer'), ('3.0', '2004-08-13 13:30:06 EDT', 'dirk_baeumer')]</t>
  </si>
  <si>
    <t>2003-04-08 11:56:16 EDT</t>
  </si>
  <si>
    <t>2002-09-13 07:03 EDT</t>
  </si>
  <si>
    <t>2002-09-17 03:56:51 EDT</t>
  </si>
  <si>
    <t>[('CREATED', '2002-09-13 07:03 EDT'), ('ASSIGNED', '2002-09-17 03:56:51 EDT', 'martinae'), ('Externalize Strings as Refactoring [misc]', '2002-09-17 04:07:22 EDT', 'martinae'), ('Externalize Strings as Refactoring [actions]', '2002-09-17 04:49:06 EDT', 'martinae'), ('RESOLVED', '2003-04-08 11:56:16 EDT', 'akiezun'), ('WONTFIX', '2003-04-08 11:56:16 EDT', 'akiezun')]</t>
  </si>
  <si>
    <t>RESOLVED  DUPLICATE  of bug 23434</t>
  </si>
  <si>
    <t>2002-09-13 13:22:59 EDT</t>
  </si>
  <si>
    <t>2002-09-13 13:13 EDT</t>
  </si>
  <si>
    <t>[('CREATED', '2002-09-13 13:13 EDT'), ('RESOLVED', '2002-09-13 13:22:59 EDT', 'akiezun'), ('DUPLICATE', '2002-09-13 13:22:59 EDT', 'akiezun')]</t>
  </si>
  <si>
    <t>24230</t>
  </si>
  <si>
    <t>2002-10-11 14:37:24 EDT</t>
  </si>
  <si>
    <t>2002-09-14 09:50 EDT</t>
  </si>
  <si>
    <t>2002-09-16 05:42:27 EDT</t>
  </si>
  <si>
    <t>2002-10-17 08:45:04 EDT</t>
  </si>
  <si>
    <t>[('CREATED', '2002-09-14 09:50 EDT'), ('jdt-ui-inbox', '2002-09-16 05:42:27 EDT', 'akiezun'), ('UI', '2002-09-16 05:42:27 EDT', 'akiezun'), ('Adam_Kiezun', '2002-09-16 05:43:36 EDT', 'akiezun'), ('Reorder parameter refactoring of constructors broken [refactoring]', '2002-09-16 05:43:36 EDT', 'akiezun'), ('Adam_Kiezun', '2002-09-16 05:46:28 EDT', 'akiezun'), ('P2', '2002-09-16 05:46:28 EDT', 'akiezun'), ('normal', '2002-09-17 04:54:53 EDT', 'akiezun'), ('ASSIGNED', '2002-09-17 04:54:53 EDT', 'akiezun'), ('24230', '2002-09-17 04:54:53 EDT', 'akiezun'), ('RESOLVED', '2002-10-11 14:37:24 EDT', 'akiezun'), ('FIXED', '2002-10-11 14:37:24 EDT', 'akiezun'), ('2.1 M2', '2002-10-17 08:45:04 EDT', 'akiezun')]</t>
  </si>
  <si>
    <t>2002-09-16 10:40 EDT</t>
  </si>
  <si>
    <t>[('CREATED', '2002-09-16 10:40 EDT'), ('RESOLVED', '2002-09-16 11:17:04 EDT', 'akiezun'), ('DUPLICATE', '2002-09-16 11:17:04 EDT', 'akiezun')]</t>
  </si>
  <si>
    <t>2002-09-17 03:56:52 EDT</t>
  </si>
  <si>
    <t>2002-09-17 00:09 EDT</t>
  </si>
  <si>
    <t>[('CREATED', '2002-09-17 00:09 EDT'), ('Adam_Kiezun', '2002-09-17 03:56:52 EDT', 'akiezun'), ('RESOLVED', '2002-09-17 03:56:52 EDT', 'akiezun'), ('UI', '2002-09-17 03:56:52 EDT', 'akiezun'), ('FIXED', '2002-09-17 03:56:52 EDT', 'akiezun')]</t>
  </si>
  <si>
    <t>2002-10-16 10:40:56 EDT</t>
  </si>
  <si>
    <t>2002-09-17 11:32 EDT</t>
  </si>
  <si>
    <t>2002-09-17 11:54:11 EDT</t>
  </si>
  <si>
    <t>2002-10-17 08:46:15 EDT</t>
  </si>
  <si>
    <t>[('CREATED', '2002-09-17 11:32 EDT'), ('Adam_Kiezun', '2002-09-17 11:54:11 EDT', 'akiezun'), ("Refactor Move doesn't handle inner classes correctly [refactoring]", '2002-09-17 11:54:11 EDT', 'akiezun'), ('UI', '2002-09-18 08:22:07 EDT', 'akiezun'), ('ASSIGNED', '2002-09-20 12:14:55 EDT', 'akiezun'), ('P2', '2002-09-20 12:14:55 EDT', 'akiezun'), ('FIXED', '2002-10-16 10:40:56 EDT', 'akiezun'), ('RESOLVED', '2002-10-16 10:40:56 EDT', 'akiezun'), ('2.1 M2', '2002-10-17 08:46:15 EDT', 'akiezun')]</t>
  </si>
  <si>
    <t>2003-04-25 11:08:07 EDT</t>
  </si>
  <si>
    <t>2009-08-30 02:22:32 EDT</t>
  </si>
  <si>
    <t>2002-09-23 06:22:51 EDT</t>
  </si>
  <si>
    <t>2003-04-25 11:05:06 EDT</t>
  </si>
  <si>
    <t>2002-09-17 14:42 EDT</t>
  </si>
  <si>
    <t>2002-09-17 18:19:48 EDT</t>
  </si>
  <si>
    <t>[('CREATED', '2002-09-17 14:42 EDT'), ('Adam_Kiezun', '2002-09-17 18:19:48 EDT', 'akiezun'), ('copy and pasting types [ccp]', '2002-09-17 18:19:48 EDT', 'akiezun'), ('Adam_Kiezun', '2002-09-23 06:02:25 EDT', 'martinae'), ('RESOLVED', '2002-09-23 06:22:51 EDT', 'akiezun'), ('WORKSFORME', '2002-09-23 06:22:51 EDT', 'akiezun'), ('---', '2002-09-23 20:57:35 EDT', 'jeffmcaffer'), ('REOPENED', '2002-09-23 20:57:35 EDT', 'jeffmcaffer'), ('ASSIGNED', '2002-09-24 10:25:33 EDT', 'akiezun'), ('RESOLVED', '2002-12-20 11:31:54 EST', 'akiezun'), ('LATER', '2002-12-20 11:31:54 EST', 'akiezun'), ('REOPENED', '2003-04-25 11:05:06 EDT', 'akiezun'), ('---', '2003-04-25 11:05:06 EDT', 'akiezun'), ('jdt-ui-inbox', '2003-04-25 11:05:16 EDT', 'akiezun'), ('NEW', '2003-04-25 11:05:16 EDT', 'akiezun'), ('enhancement', '2003-04-25 11:08:07 EDT', 'akiezun'), ('RESOLVED', '2003-04-25 11:08:07 EDT', 'akiezun'), ('P4', '2003-04-25 11:08:07 EDT', 'akiezun'), ('LATER', '2003-04-25 11:08:07 EDT', 'akiezun'), ('P3', '2003-04-25 12:33:11 EDT', 'dirk_baeumer'), ('WONTFIX', '2009-08-30 02:22:32 EDT', 'denis.roy')]</t>
  </si>
  <si>
    <t>2002-09-18 09:25:38 EDT</t>
  </si>
  <si>
    <t>2002-11-14 06:16:31 EST</t>
  </si>
  <si>
    <t>2002-09-18 06:22 EDT</t>
  </si>
  <si>
    <t>2002-09-18 08:21:10 EDT</t>
  </si>
  <si>
    <t>[('CREATED', '2002-09-18 06:22 EDT'), ('ASSIGNED', '2002-09-18 08:21:10 EDT', 'akiezun'), ('P2', '2002-09-18 08:21:10 EDT', 'akiezun'), ('RESOLVED', '2002-09-18 09:25:38 EDT', 'akiezun'), ('FIXED', '2002-09-18 09:25:38 EDT', 'akiezun'), ('2.1 M2', '2002-10-17 08:46:43 EDT', 'akiezun'), ('VERIFIED', '2002-11-14 06:16:31 EST', 'Claude_Knaus')]</t>
  </si>
  <si>
    <t>46496 (view as bug list)</t>
  </si>
  <si>
    <t>24010</t>
  </si>
  <si>
    <t>2005-01-17 06:25:50 EST</t>
  </si>
  <si>
    <t>2003-04-25 11:09:47 EDT</t>
  </si>
  <si>
    <t>2002-09-18 07:10 EDT</t>
  </si>
  <si>
    <t>2002-09-23 12:32:29 EDT</t>
  </si>
  <si>
    <t>tobias_widmer</t>
  </si>
  <si>
    <t>[('CREATED', '2002-09-18 07:10 EDT'), ('ASSIGNED', '2002-09-23 12:32:29 EDT', 'akiezun'), ('24010', '2002-09-23 12:32:29 EDT', 'akiezun'), ('LATER', '2003-02-20 09:47:13 EST', 'akiezun'), ('2.2', '2003-02-20 09:47:13 EST', 'akiezun'), ('RESOLVED', '2003-02-20 09:47:13 EST', 'akiezun'), ('REOPENED', '2003-04-25 11:09:47 EDT', 'akiezun'), ('---', '2003-04-25 11:09:47 EDT', 'akiezun'), ('Extract Interface: Should work on inner classes as well [refactoring]', '2003-04-25 13:15:38 EDT', 'akiezun'), ('P2', '2003-04-25 13:27:35 EDT', 'akiezun'), ('ASSIGNED', '2003-04-25 13:27:42 EDT', 'akiezun'), ('dirk_baeumer', '2003-11-13 11:29:43 EST', 'dirk_baeumer'), ('Extract Interface: Should work on member and local classes as well [refactoring]', '2003-11-13 11:30:33 EST', 'dirk_baeumer'), (nan, '2003-12-16 09:00:11 EST', 'dirk_baeumer'), ('dirk_baeumer', '2003-12-16 09:00:11 EST', 'dirk_baeumer'), ('NEW', '2003-12-16 09:00:11 EST', 'dirk_baeumer'), ('P3', '2003-12-16 09:00:11 EST', 'dirk_baeumer'), ('---', '2004-05-07 09:04:39 EDT', 'dirk_baeumer'), ('tobias_widmer', '2004-12-20 12:02:47 EST', 'dirk_baeumer'), ('FIXED', '2005-01-17 06:25:50 EST', 'tobias_widmer'), ('RESOLVED', '2005-01-17 06:25:50 EST', 'tobias_widmer')]</t>
  </si>
  <si>
    <t>2003-04-25 11:11:03 EDT</t>
  </si>
  <si>
    <t>2009-08-30 02:37:23 EDT</t>
  </si>
  <si>
    <t>2003-04-25 11:10:25 EDT</t>
  </si>
  <si>
    <t>2002-09-18 07:14 EDT</t>
  </si>
  <si>
    <t>2002-09-20 12:06:29 EDT</t>
  </si>
  <si>
    <t>[('CREATED', '2002-09-18 07:14 EDT'), ('ASSIGNED', '2002-09-20 12:06:29 EDT', 'akiezun'), ('P4', '2002-09-24 10:31:02 EDT', 'akiezun'), ('RESOLVED', '2003-02-20 09:47:46 EST', 'akiezun'), ('LATER', '2003-02-20 09:47:46 EST', 'akiezun'), ('REOPENED', '2003-04-25 11:10:25 EDT', 'akiezun'), ('---', '2003-04-25 11:10:25 EDT', 'akiezun'), ('adam_kiezun', '2003-04-25 11:10:54 EDT', 'akiezun'), ('jdt-ui-inbox', '2003-04-25 11:10:54 EDT', 'akiezun'), ('NEW', '2003-04-25 11:10:54 EDT', 'akiezun'), ('RESOLVED', '2003-04-25 11:11:03 EDT', 'akiezun'), ('LATER', '2003-04-25 11:11:03 EDT', 'akiezun'), ('Extract Interface: Option to remove abstract methods which are extracted [refactoring]', '2003-04-25 11:11:15 EDT', 'akiezun'), ('WONTFIX', '2009-08-30 02:37:23 EDT', 'webmaster')]</t>
  </si>
  <si>
    <t>2003-04-25 11:14:45 EDT</t>
  </si>
  <si>
    <t>2009-08-30 02:19:06 EDT</t>
  </si>
  <si>
    <t>2003-04-25 11:13:10 EDT</t>
  </si>
  <si>
    <t>2002-09-18 10:02 EDT</t>
  </si>
  <si>
    <t>2002-09-23 13:14:20 EDT</t>
  </si>
  <si>
    <t>[('CREATED', '2002-09-18 10:02 EDT'), ('ASSIGNED', '2002-09-23 13:14:20 EDT', 'akiezun'), ('RESOLVED', '2003-01-27 08:04:39 EST', 'akiezun'), ('LATER', '2003-01-27 08:04:39 EST', 'akiezun'), ('Move To Top Level: reference to private members results in compile errors[refactoring]', '2003-04-25 11:11:33 EDT', 'akiezun'), ('REOPENED', '2003-04-25 11:13:10 EDT', 'akiezun'), ('P4', '2003-04-25 11:13:10 EDT', 'akiezun'), ('---', '2003-04-25 11:13:10 EDT', 'akiezun'), ('jdt-ui-inbox', '2003-04-25 11:13:20 EDT', 'akiezun'), ('NEW', '2003-04-25 11:13:20 EDT', 'akiezun'), ('adam_kiezun', '2003-04-25 11:14:45 EDT', 'akiezun'), ('RESOLVED', '2003-04-25 11:14:45 EDT', 'akiezun'), ('LATER', '2003-04-25 11:14:45 EDT', 'akiezun'), ('WONTFIX', '2009-08-30 02:19:06 EDT', 'denis.roy')]</t>
  </si>
  <si>
    <t>2002-09-24 10:19:32 EDT</t>
  </si>
  <si>
    <t>2002-11-14 06:22:46 EST</t>
  </si>
  <si>
    <t>2002-09-18 10:07 EDT</t>
  </si>
  <si>
    <t>2002-09-20 12:05:09 EDT</t>
  </si>
  <si>
    <t>[('CREATED', '2002-09-18 10:07 EDT'), ('ASSIGNED', '2002-09-20 12:05:09 EDT', 'akiezun'), ('RESOLVED', '2002-09-24 10:19:32 EDT', 'akiezun'), ('FIXED', '2002-09-24 10:19:32 EDT', 'akiezun'), ('2.1 M2', '2002-10-17 08:48:40 EDT', 'akiezun'), ('VERIFIED', '2002-11-14 06:22:46 EST', 'Claude_Knaus')]</t>
  </si>
  <si>
    <t>2002-09-18 11:05:33 EDT</t>
  </si>
  <si>
    <t>2002-09-18 12:20:55 EDT</t>
  </si>
  <si>
    <t>2002-09-18 10:15 EDT</t>
  </si>
  <si>
    <t>2002-09-18 10:15:59 EDT</t>
  </si>
  <si>
    <t>[('CREATED', '2002-09-18 10:15 EDT'), ('Adam_Kiezun', '2002-09-18 10:15:59 EDT', 'akiezun'), ('P1', '2002-09-18 10:15:59 EDT', 'akiezun'), ('RESOLVED', '2002-09-18 11:05:33 EDT', 'akiezun'), ('FIXED', '2002-09-18 11:05:33 EDT', 'akiezun'), ('VERIFIED', '2002-09-18 12:20:55 EDT', 'markus.kell.r')]</t>
  </si>
  <si>
    <t>2003-06-06 05:26:47 EDT</t>
  </si>
  <si>
    <t>2003-04-25 11:18:01 EDT</t>
  </si>
  <si>
    <t>2002-09-18 10:16 EDT</t>
  </si>
  <si>
    <t>2002-09-23 12:32:04 EDT</t>
  </si>
  <si>
    <t>[('CREATED', '2002-09-18 10:16 EDT'), ('P4', '2002-09-23 12:32:04 EDT', 'akiezun'), ('ASSIGNED', '2002-09-23 13:14:04 EDT', 'akiezun'), ('RESOLVED', '2003-02-20 09:48:35 EST', 'akiezun'), ('LATER', '2003-02-20 09:48:35 EST', 'akiezun'), ('2.2', '2003-02-20 09:48:35 EST', 'akiezun'), ('REOPENED', '2003-04-25 11:18:01 EDT', 'akiezun'), ('---', '2003-04-25 11:18:01 EDT', 'akiezun'), ('Move To Top Level: Should also support move to same compilation unit[refactoring]', '2003-04-25 11:18:12 EDT', 'akiezun'), ('ASSIGNED', '2003-04-25 13:28:29 EDT', 'akiezun'), ('3.0 M2', '2003-06-05 19:00:46 EDT', 'akiezun'), ('RESOLVED', '2003-06-06 05:26:47 EDT', 'akiezun'), ('FIXED', '2003-06-06 05:26:47 EDT', 'akiezun')]</t>
  </si>
  <si>
    <t>2003-04-25 11:20:00 EDT</t>
  </si>
  <si>
    <t>2009-08-30 02:15:08 EDT</t>
  </si>
  <si>
    <t>2003-04-25 11:18:56 EDT</t>
  </si>
  <si>
    <t>2002-09-18 10:33 EDT</t>
  </si>
  <si>
    <t>2002-09-20 12:02:23 EDT</t>
  </si>
  <si>
    <t>[('CREATED', '2002-09-18 10:33 EDT'), ('ASSIGNED', '2002-09-20 12:02:23 EDT', 'akiezun'), ('P2', '2002-09-20 12:02:23 EDT', 'akiezun'), ('P3', '2003-01-27 07:30:11 EST', 'akiezun'), ('RESOLVED', '2003-01-27 08:05:03 EST', 'akiezun'), ('LATER', '2003-01-27 08:05:03 EST', 'akiezun'), ('REOPENED', '2003-04-25 11:18:56 EDT', 'akiezun'), ('---', '2003-04-25 11:18:56 EDT', 'akiezun'), ('Move To Top Level: compilation error when moving an inner class extending another #1[refactoring]', '2003-04-25 11:18:56 EDT', 'akiezun'), ('adam_kiezun', '2003-04-25 11:19:31 EDT', 'akiezun'), ('jdt-ui-inbox', '2003-04-25 11:19:31 EDT', 'akiezun'), ('NEW', '2003-04-25 11:19:31 EDT', 'akiezun'), ('P4', '2003-04-25 11:19:31 EDT', 'akiezun'), ('RESOLVED', '2003-04-25 11:20:00 EDT', 'akiezun'), ('LATER', '2003-04-25 11:20:00 EDT', 'akiezun'), ('WONTFIX', '2009-08-30 02:15:08 EDT', 'denis.roy')]</t>
  </si>
  <si>
    <t>2003-04-25 11:21:26 EDT</t>
  </si>
  <si>
    <t>2009-08-30 02:40:16 EDT</t>
  </si>
  <si>
    <t>2003-04-25 11:20:41 EDT</t>
  </si>
  <si>
    <t>2002-09-20 11:55:54 EDT</t>
  </si>
  <si>
    <t>[('CREATED', '2002-09-18 10:33 EDT'), ('ASSIGNED', '2002-09-20 11:55:54 EDT', 'akiezun'), ('P2', '2002-09-20 11:55:54 EDT', 'akiezun'), ('P3', '2003-01-27 07:30:39 EST', 'akiezun'), ('LATER', '2003-01-27 08:24:52 EST', 'akiezun'), ('RESOLVED', '2003-01-27 08:24:52 EST', 'akiezun'), ('REOPENED', '2003-04-25 11:20:41 EDT', 'akiezun'), ('---', '2003-04-25 11:20:41 EDT', 'akiezun'), ('Move To Top Level: compilation error when moving an inner class extending another #2[refactoring]', '2003-04-25 11:20:41 EDT', 'akiezun'), ('jdt-ui-inbox', '2003-04-25 11:20:56 EDT', 'akiezun'), ('NEW', '2003-04-25 11:20:56 EDT', 'akiezun'), ('P4', '2003-04-25 11:20:56 EDT', 'akiezun'), ('RESOLVED', '2003-04-25 11:21:26 EDT', 'akiezun'), ('LATER', '2003-04-25 11:21:26 EDT', 'akiezun'), ('adam_kiezun', '2003-04-25 11:21:34 EDT', 'akiezun'), ('WONTFIX', '2009-08-30 02:40:16 EDT', 'webmaster')]</t>
  </si>
  <si>
    <t>RESOLVED  DUPLICATE  of bug 41241</t>
  </si>
  <si>
    <t>2003-08-27 08:03:25 EDT</t>
  </si>
  <si>
    <t>2002-09-18 10:37 EDT</t>
  </si>
  <si>
    <t>2002-09-18 10:44:27 EDT</t>
  </si>
  <si>
    <t>[('CREATED', '2002-09-18 10:37 EDT'), ('enhancement', '2002-09-18 10:44:27 EDT', 'akiezun'), ('Cannot use Refactor to move a static inner class [refactoring]', '2002-09-18 10:44:27 EDT', 'akiezun'), ('ASSIGNED', '2002-09-23 05:24:30 EDT', 'martinae'), ('RESOLVED', '2003-08-27 08:03:25 EDT', 'dirk_baeumer'), ('DUPLICATE', '2003-08-27 08:03:25 EDT', 'dirk_baeumer')]</t>
  </si>
  <si>
    <t>2002-12-18 06:30:44 EST</t>
  </si>
  <si>
    <t>2009-08-30 02:13:03 EDT</t>
  </si>
  <si>
    <t>2002-09-18 10:51 EDT</t>
  </si>
  <si>
    <t>2002-09-23 13:13:21 EDT</t>
  </si>
  <si>
    <t>[('CREATED', '2002-09-18 10:51 EDT'), ('ASSIGNED', '2002-09-23 13:13:21 EDT', 'akiezun'), ('RESOLVED', '2002-12-18 06:30:44 EST', 'akiezun'), ('LATER', '2002-12-18 06:30:44 EST', 'akiezun'), ('CLOSED', '2003-04-25 11:22:05 EDT', 'akiezun'), ('Move To Top Level: compile error in corner case[refactoring]', '2003-04-25 11:22:24 EDT', 'akiezun'), ('WONTFIX', '2009-08-30 02:13:03 EDT', 'denis.roy'), ('jdt-ui-inbox', '2009-08-30 02:13:03 EDT', 'denis.roy')]</t>
  </si>
  <si>
    <t>2002-09-20 11:05:59 EDT</t>
  </si>
  <si>
    <t>2002-09-18 12:34 EDT</t>
  </si>
  <si>
    <t>[('CREATED', '2002-09-18 12:34 EDT'), ('RESOLVED', '2002-09-20 11:05:59 EDT', 'martinae'), ('WONTFIX', '2002-09-20 11:05:59 EDT', 'martinae')]</t>
  </si>
  <si>
    <t>2003-02-14 08:36:59 EST</t>
  </si>
  <si>
    <t>2009-08-30 02:21:39 EDT</t>
  </si>
  <si>
    <t>2002-09-19 09:20 EDT</t>
  </si>
  <si>
    <t>2002-09-19 09:20:15 EDT</t>
  </si>
  <si>
    <t>[('CREATED', '2002-09-19 09:20 EDT'), ('Adam_Kiezun', '2002-09-19 09:20:15 EDT', 'akiezun'), ('Dirk_Baeumer', '2002-09-23 05:19:42 EDT', 'martinae'), ('"Surround with try/catch" on invalid selection gives bogus hints [refactoring]', '2002-09-23 05:28:00 EDT', 'martinae'), ('jdt-ui-inbox', '2003-02-14 08:36:42 EST', 'dirk_baeumer'), ('RESOLVED', '2003-02-14 08:36:59 EST', 'dirk_baeumer'), ('LATER', '2003-02-14 08:36:59 EST', 'dirk_baeumer'), ('P4', '2004-08-13 13:31:06 EDT', 'dirk_baeumer'), ('WONTFIX', '2009-08-30 02:21:39 EDT', 'denis.roy')]</t>
  </si>
  <si>
    <t>2002-09-20 09:02:01 EDT</t>
  </si>
  <si>
    <t>2002-09-19 12:01 EDT</t>
  </si>
  <si>
    <t>2002-10-17 08:48:54 EDT</t>
  </si>
  <si>
    <t>[('CREATED', '2002-09-19 12:01 EDT'), ('RESOLVED', '2002-09-20 09:02:01 EDT', 'akiezun'), ('FIXED', '2002-09-20 09:02:01 EDT', 'akiezun'), ('2.1 M2', '2002-10-17 08:48:54 EDT', 'akiezun')]</t>
  </si>
  <si>
    <t>2002-09-20 11:41:48 EDT</t>
  </si>
  <si>
    <t>2002-09-19 12:08 EDT</t>
  </si>
  <si>
    <t>2002-09-19 12:11:50 EDT</t>
  </si>
  <si>
    <t>2002-10-17 08:49:07 EDT</t>
  </si>
  <si>
    <t>[('CREATED', '2002-09-19 12:08 EDT'), ('2.0', '2002-09-19 12:11:50 EDT', 'Rory_Lucyshyn-Wright'), ('Adam_Kiezun', '2002-09-19 12:22:38 EDT', 'akiezun'), ('RESOLVED', '2002-09-20 11:41:48 EDT', 'akiezun'), ('FIXED', '2002-09-20 11:41:48 EDT', 'akiezun'), ('2.1 M2', '2002-10-17 08:49:07 EDT', 'akiezun')]</t>
  </si>
  <si>
    <t>2002-09-20 10:08:37 EDT</t>
  </si>
  <si>
    <t>2002-09-20 09:18 EDT</t>
  </si>
  <si>
    <t>2002-09-20 09:22:20 EDT</t>
  </si>
  <si>
    <t>Olivier_Thomann</t>
  </si>
  <si>
    <t>[('CREATED', '2002-09-20 09:18 EDT'), ('ASSIGNED', '2002-09-20 09:22:20 EDT', 'Olivier_Thomann'), ('2.1 M2', '2002-09-20 09:46:30 EDT', 'Olivier_Thomann'), ('FIXED', '2002-09-20 10:08:37 EDT', 'Olivier_Thomann'), ('RESOLVED', '2002-09-20 10:08:37 EDT', 'Olivier_Thomann')]</t>
  </si>
  <si>
    <t>VERIFIED  DUPLICATE  of bug 23627</t>
  </si>
  <si>
    <t>2002-09-21 18:32:45 EDT</t>
  </si>
  <si>
    <t>2002-11-14 06:31:04 EST</t>
  </si>
  <si>
    <t>2002-09-20 16:53 EDT</t>
  </si>
  <si>
    <t>[('CREATED', '2002-09-20 16:53 EDT'), ('RESOLVED', '2002-09-21 18:32:45 EDT', 'akiezun'), ('DUPLICATE', '2002-09-21 18:32:45 EDT', 'akiezun'), ('VERIFIED', '2002-11-14 06:31:04 EST', 'Claude_Knaus')]</t>
  </si>
  <si>
    <t>2003-01-27 07:18:47 EST</t>
  </si>
  <si>
    <t>2002-09-20 18:18 EDT</t>
  </si>
  <si>
    <t>2002-09-21 18:30:16 EDT</t>
  </si>
  <si>
    <t>[('CREATED', '2002-09-20 18:18 EDT'), ('jdt-ui-inbox', '2002-09-21 18:30:16 EDT', 'akiezun'), ('UI', '2002-09-21 18:30:16 EDT', 'akiezun'), ('Add Refactor/Push down [refactoring]', '2002-09-21 18:30:16 EDT', 'akiezun'), ('Adam_Kiezun', '2002-09-23 04:56:26 EDT', 'martinae'), ('ASSIGNED', '2002-09-23 13:13:10 EDT', 'akiezun'), ('RESOLVED', '2003-01-27 07:18:47 EST', 'akiezun'), ('FIXED', '2003-01-27 07:18:47 EST', 'akiezun'), ('2.1 M5', '2003-01-27 07:18:47 EST', 'akiezun')]</t>
  </si>
  <si>
    <t>RESOLVED  DUPLICATE  of bug 23701</t>
  </si>
  <si>
    <t>2002-09-21 18:34:38 EDT</t>
  </si>
  <si>
    <t>2002-09-21 17:01 EDT</t>
  </si>
  <si>
    <t>[('CREATED', '2002-09-21 17:01 EDT'), ('RESOLVED', '2002-09-21 18:34:38 EDT', 'akiezun'), ('DUPLICATE', '2002-09-21 18:34:38 EDT', 'akiezun')]</t>
  </si>
  <si>
    <t>2002-09-23 12:24:07 EDT</t>
  </si>
  <si>
    <t>2002-09-21 17:06 EDT</t>
  </si>
  <si>
    <t>2002-09-23 04:48:21 EDT</t>
  </si>
  <si>
    <t>[('CREATED', '2002-09-21 17:06 EDT'), ('Adam_Kiezun', '2002-09-23 04:48:21 EDT', 'martinae'), ('critical', '2002-09-23 04:48:45 EDT', 'martinae'), ('P2', '2002-09-23 04:48:45 EDT', 'martinae'), ('2.1 M2', '2002-09-23 04:48:45 EDT', 'martinae'), ('RESOLVED', '2002-09-23 12:24:07 EDT', 'akiezun'), ('FIXED', '2002-09-23 12:24:07 EDT', 'akiezun')]</t>
  </si>
  <si>
    <t>2002-10-30 12:23:59 EST</t>
  </si>
  <si>
    <t>2002-11-14 08:42:01 EST</t>
  </si>
  <si>
    <t>2002-09-24 08:51 EDT</t>
  </si>
  <si>
    <t>2002-09-24 08:51:39 EDT</t>
  </si>
  <si>
    <t>[('CREATED', '2002-09-24 08:51 EDT'), ('performance', '2002-09-24 08:51:39 EDT', 'Tod_Creasey'), ('Daniel_Megert', '2002-09-25 09:03:06 EDT', 'martinae'), ('Andre_Weinand', '2002-09-26 09:44:24 EDT', 'daniel_megert'), ('Dirk_Baeumer', '2002-09-27 11:18:47 EDT', 'andre_weinand'), ('Erich_Gamma', '2002-09-30 05:07:46 EDT', 'dirk_baeumer'), ('Kai-Uwe_Maetzel', '2002-10-18 04:55:35 EDT', 'erich_gamma'), ('RESOLVED', '2002-10-30 12:23:59 EST', 'kai-uwe_maetzel'), ('FIXED', '2002-10-30 12:23:59 EST', 'kai-uwe_maetzel'), ('VERIFIED', '2002-11-14 08:42:01 EST', 'dirk_baeumer')]</t>
  </si>
  <si>
    <t>RESOLVED  DUPLICATE  of bug 35788</t>
  </si>
  <si>
    <t>2003-04-09 05:48:53 EDT</t>
  </si>
  <si>
    <t>2003-04-09 05:48:38 EDT</t>
  </si>
  <si>
    <t>2002-09-25 06:20 EDT</t>
  </si>
  <si>
    <t>2002-10-16 09:25:23 EDT</t>
  </si>
  <si>
    <t>[('CREATED', '2002-09-25 06:20 EDT'), ('ASSIGNED', '2002-10-16 09:25:23 EDT', 'akiezun'), ('RESOLVED', '2002-12-18 06:37:46 EST', 'akiezun'), ('LATER', '2002-12-18 06:37:46 EST', 'akiezun'), ('REOPENED', '2003-04-09 05:48:38 EDT', 'akiezun'), ('---', '2003-04-09 05:48:38 EDT', 'akiezun'), ('DUPLICATE', '2003-04-09 05:48:53 EDT', 'akiezun'), ('RESOLVED', '2003-04-09 05:48:53 EDT', 'akiezun')]</t>
  </si>
  <si>
    <t>2003-02-12 13:33:52 EST</t>
  </si>
  <si>
    <t>2002-09-26 10:26 EDT</t>
  </si>
  <si>
    <t>2002-09-26 10:26:26 EDT</t>
  </si>
  <si>
    <t>[('CREATED', '2002-09-26 10:26 EDT'), ('gmendel', '2002-09-26 10:26:26 EDT', 'gmendel'), ('dirk_baeumer', '2002-09-27 04:24:33 EDT', 'martinae'), ('Dirk_Baeumer', '2002-09-27 04:24:33 EDT', 'martinae'), ('Use refactoring programatically [refactoring]', '2002-09-27 04:24:33 EDT', 'martinae'), (nan, '2002-09-27 04:36:54 EDT', 'dirk_baeumer'), ('tammo.freese', '2003-01-24 04:15:49 EST', 'freese'), ('2.1 M5', '2003-02-12 13:33:52 EST', 'dirk_baeumer'), ('RESOLVED', '2003-02-12 13:33:52 EST', 'dirk_baeumer'), ('FIXED', '2003-02-12 13:33:52 EST', 'dirk_baeumer')]</t>
  </si>
  <si>
    <t>374286 (view as bug list)</t>
  </si>
  <si>
    <t>2003-08-27 08:04:58 EDT</t>
  </si>
  <si>
    <t>2002-09-26 15:29 EDT</t>
  </si>
  <si>
    <t>2002-09-26 16:59:16 EDT</t>
  </si>
  <si>
    <t>2012-04-10 01:03:29 EDT</t>
  </si>
  <si>
    <t>deepakazad</t>
  </si>
  <si>
    <t>[('CREATED', '2002-09-26 15:29 EDT'), ('jdt-ui-inbox', '2002-09-26 16:59:16 EDT', 'Olivier_Thomann'), ('UI', '2002-09-26 16:59:16 EDT', 'Olivier_Thomann'), ('ASSIGNED', '2002-09-27 04:15:16 EDT', 'martinae'), ('DCR: Change member visibility [code manipulation]', '2002-09-27 04:15:16 EDT', 'martinae'), ('RESOLVED', '2003-08-27 08:04:58 EDT', 'dirk_baeumer'), ('WONTFIX', '2003-08-27 08:04:58 EDT', 'dirk_baeumer'), ('junk', '2012-04-10 01:03:29 EDT', 'deepakazad')]</t>
  </si>
  <si>
    <t>2002-10-09 10:05:25 EDT</t>
  </si>
  <si>
    <t>2002-09-27 06:59 EDT</t>
  </si>
  <si>
    <t>2002-10-01 04:43:09 EDT</t>
  </si>
  <si>
    <t>[('CREATED', '2002-09-27 06:59 EDT'), ('Martin_Aeschlimann', '2002-10-01 04:43:09 EDT', 'martinae'), ("Type hierarchy browser doesn't update methods when focused type is renamed [type hierarchy]", '2002-10-01 04:43:09 EDT', 'martinae'), ('RESOLVED', '2002-10-09 10:05:25 EDT', 'martinae'), ('FIXED', '2002-10-09 10:05:25 EDT', 'martinae'), ('2.1 M2', '2002-10-09 10:05:25 EDT', 'martinae')]</t>
  </si>
  <si>
    <t>2004-05-18 05:31:04 EDT</t>
  </si>
  <si>
    <t>2002-09-27 10:00 EDT</t>
  </si>
  <si>
    <t>2002-09-27 10:10:38 EDT</t>
  </si>
  <si>
    <t>[('CREATED', '2002-09-27 10:00 EDT'), ('Dirk_Baeumer', '2002-09-27 10:10:38 EDT', 'akiezun'), ('invalid results for Self Encapsulate Field [refactoring]', '2002-09-27 10:10:38 EDT', 'akiezun'), ('RESOLVED', '2004-05-18 05:31:04 EDT', 'dirk_baeumer'), ('WORKSFORME', '2004-05-18 05:31:04 EDT', 'dirk_baeumer')]</t>
  </si>
  <si>
    <t>2002-12-18 06:38:49 EST</t>
  </si>
  <si>
    <t>2002-09-27 10:23 EDT</t>
  </si>
  <si>
    <t>2002-09-27 10:29:01 EDT</t>
  </si>
  <si>
    <t>[('CREATED', '2002-09-27 10:23 EDT'), ('Moving all classes to another package does not remove the imports [refactoring]', '2002-09-27 10:29:01 EDT', 'akiezun'), ('Adam_Kiezun', '2002-09-27 12:25:01 EDT', 'akiezun'), ('ASSIGNED', '2002-10-16 09:25:11 EDT', 'akiezun'), ('P4', '2002-10-16 09:25:11 EDT', 'akiezun'), ('minor', '2002-10-16 09:25:11 EDT', 'akiezun'), ('RESOLVED', '2002-12-18 06:38:49 EST', 'akiezun'), ('WONTFIX', '2002-12-18 06:38:49 EST', 'akiezun')]</t>
  </si>
  <si>
    <t>2002-10-11 12:03:37 EDT</t>
  </si>
  <si>
    <t>2002-09-27 18:58 EDT</t>
  </si>
  <si>
    <t>2002-09-30 04:53:58 EDT</t>
  </si>
  <si>
    <t>2002-10-17 08:49:29 EDT</t>
  </si>
  <si>
    <t>[('CREATED', '2002-09-27 18:58 EDT'), ('jdt-ui-inbox', '2002-09-30 04:53:58 EDT', 'philippe_mulet'), ('UI', '2002-09-30 04:53:58 EDT', 'philippe_mulet'), ('Adam_Kiezun', '2002-09-30 05:09:59 EDT', 'akiezun'), ('RESOLVED', '2002-10-11 12:03:37 EDT', 'akiezun'), ('FIXED', '2002-10-11 12:03:37 EDT', 'akiezun'), ('2.1 M2', '2002-10-17 08:49:29 EDT', 'akiezun')]</t>
  </si>
  <si>
    <t>2002-10-01 04:12:25 EDT</t>
  </si>
  <si>
    <t>2002-09-30 22:03 EDT</t>
  </si>
  <si>
    <t>[('CREATED', '2002-09-30 22:03 EDT'), ('Adam_Kiezun', '2002-10-01 04:12:25 EDT', 'akiezun'), ('RESOLVED', '2002-10-01 04:12:25 EDT', 'akiezun'), ('FIXED', '2002-10-01 04:12:25 EDT', 'akiezun')]</t>
  </si>
  <si>
    <t>2003-02-04 12:31:38 EST</t>
  </si>
  <si>
    <t>2002-10-01 05:25 EDT</t>
  </si>
  <si>
    <t>2002-10-01 07:05:15 EDT</t>
  </si>
  <si>
    <t>[('CREATED', '2002-10-01 05:25 EDT'), ('Adam_Kiezun', '2002-10-01 07:05:15 EDT', 'akiezun'), ('ASSIGNED', '2002-10-16 09:03:42 EDT', 'akiezun'), ('2.1 M5', '2002-12-18 06:39:15 EST', 'akiezun'), ('Rename on unsaved compilation unit when class already renamed', '2003-01-28 07:06:48 EST', 'akiezun'), ('RESOLVED', '2003-02-04 12:31:38 EST', 'akiezun'), ('FIXED', '2003-02-04 12:31:38 EST', 'akiezun')]</t>
  </si>
  <si>
    <t>2002-10-07 10:45:15 EDT</t>
  </si>
  <si>
    <t>2002-10-01 09:51 EDT</t>
  </si>
  <si>
    <t>2002-10-17 08:49:41 EDT</t>
  </si>
  <si>
    <t>[('CREATED', '2002-10-01 09:51 EDT'), ('RESOLVED', '2002-10-07 10:45:15 EDT', 'akiezun'), ('FIXED', '2002-10-07 10:45:15 EDT', 'akiezun'), ('2.1 M2', '2002-10-17 08:49:41 EDT', 'akiezun')]</t>
  </si>
  <si>
    <t>2002-10-07 10:45:38 EDT</t>
  </si>
  <si>
    <t>2002-10-01 14:18 EDT</t>
  </si>
  <si>
    <t>2002-10-17 08:49:48 EDT</t>
  </si>
  <si>
    <t>[('CREATED', '2002-10-01 14:18 EDT'), ('RESOLVED', '2002-10-07 10:45:38 EDT', 'akiezun'), ('FIXED', '2002-10-07 10:45:38 EDT', 'akiezun'), ('2.1 M2', '2002-10-17 08:49:48 EDT', 'akiezun')]</t>
  </si>
  <si>
    <t>RESOLVED  DUPLICATE  of bug 10605</t>
  </si>
  <si>
    <t>2002-11-11 07:12:27 EST</t>
  </si>
  <si>
    <t>2002-10-01 16:55 EDT</t>
  </si>
  <si>
    <t>2002-10-02 04:18:50 EDT</t>
  </si>
  <si>
    <t>[('CREATED', '2002-10-01 16:55 EDT'), ('Adam_Kiezun', '2002-10-02 04:18:50 EDT', 'akiezun'), ('enhancement', '2002-10-02 04:18:50 EDT', 'akiezun'), ('New refactoring request: Make static [refactoring]', '2002-10-02 04:18:50 EDT', 'akiezun'), ('RESOLVED', '2002-11-11 07:12:27 EST', 'akiezun'), ('DUPLICATE', '2002-11-11 07:12:27 EST', 'akiezun')]</t>
  </si>
  <si>
    <t>37968 (view as bug list)</t>
  </si>
  <si>
    <t>2003-04-25 11:24:06 EDT</t>
  </si>
  <si>
    <t>2009-08-30 02:15:00 EDT</t>
  </si>
  <si>
    <t>2003-04-25 11:23:26 EDT</t>
  </si>
  <si>
    <t>2002-10-02 09:25 EDT</t>
  </si>
  <si>
    <t>2002-10-02 09:33:41 EDT</t>
  </si>
  <si>
    <t>[('CREATED', '2002-10-02 09:25 EDT'), ('Adam_Kiezun', '2002-10-02 09:33:41 EDT', 'akiezun'), ('Externalize Strings: cannot finish when I should be able to [refactoring]', '2002-10-02 09:33:41 EDT', 'akiezun'), ('RESOLVED', '2003-02-07 13:51:32 EST', 'akiezun'), ('LATER', '2003-02-07 13:51:32 EST', 'akiezun'), ('minor', '2003-04-25 11:23:26 EDT', 'akiezun'), ('REOPENED', '2003-04-25 11:23:26 EDT', 'akiezun'), ('P4', '2003-04-25 11:23:26 EDT', 'akiezun'), ('---', '2003-04-25 11:23:26 EDT', 'akiezun'), ('jdt-ui-inbox', '2003-04-25 11:23:37 EDT', 'akiezun'), ('NEW', '2003-04-25 11:23:37 EDT', 'akiezun'), ('RESOLVED', '2003-04-25 11:24:06 EDT', 'akiezun'), ('LATER', '2003-04-25 11:24:06 EDT', 'akiezun'), ('adam_kiezun', '2003-04-25 11:24:16 EDT', 'akiezun'), ('philippe_mulet', '2003-05-23 05:08:55 EDT', 'dirk_baeumer'), ('WONTFIX', '2009-08-30 02:15:00 EDT', 'denis.roy')]</t>
  </si>
  <si>
    <t>39715 (view as bug list)</t>
  </si>
  <si>
    <t>2002-10-04 05:19 EDT</t>
  </si>
  <si>
    <t>2002-10-04 05:22:10 EDT</t>
  </si>
  <si>
    <t>2020-03-11 03:12:05 EDT</t>
  </si>
  <si>
    <t>kaiwinter</t>
  </si>
  <si>
    <t>[('CREATED', '2002-10-04 05:19 EDT'), ('Synchronize changes in interfaces with implementing classes [code manipulation]', '2002-10-04 05:22:10 EDT', 'akiezun'), ('adam_kiezun', '2002-10-08 05:58:05 EDT', 'martinae'), ('ASSIGNED', '2002-10-16 09:35:18 EDT', 'martinae'), ('Synchronize changes in interfaces with implementing classes [refactoring]', '2002-10-16 09:38:41 EDT', 'martinae'), ('benno_baumgartner', '2006-06-16 02:23:17 EDT', 'martinae'), ('NEW', '2006-06-16 02:23:17 EDT', 'martinae'), ('[clean up] Synchronize changes in interfaces with implementing classes', '2006-06-16 02:23:17 EDT', 'martinae'), ('martin_aeschlimann', '2006-06-16 03:28:18 EDT', 'benno.baumgartner'), ('jdt-ui-inbox', '2007-06-25 04:34:05 EDT', 'benno.baumgartner'), ('[refactoring] Change interface signature', '2007-06-25 04:34:05 EDT', 'benno.baumgartner'), ('[refactoring] [dcr] Change interface signature', '2007-07-04 11:23:14 EDT', 'martinae'), ('ggregory', '2007-07-24 11:43:16 EDT', 'benno.baumgartner'), ('mn', '2008-11-29 17:22:15 EST', 'mn'), ('daniel_megert', '2008-11-30 07:12:32 EST', 'daniel_megert'), ('ASSIGNED', '2008-11-30 07:12:32 EST', 'daniel_megert'), ('[refactoring] Change interface signature', '2010-11-04 06:44:46 EDT', 'daniel_megert'), ('kaiwinter', '2020-03-11 03:12:05 EDT', 'kaiwinter')]</t>
  </si>
  <si>
    <t>2002-10-11 04:35:02 EDT</t>
  </si>
  <si>
    <t>2002-10-09 08:08 EDT</t>
  </si>
  <si>
    <t>2002-10-09 08:40:51 EDT</t>
  </si>
  <si>
    <t>2002-10-17 08:44:22 EDT</t>
  </si>
  <si>
    <t>[('CREATED', '2002-10-09 08:08 EDT'), ('Adam_Kiezun', '2002-10-09 08:40:51 EDT', 'akiezun'), ('RESOLVED', '2002-10-11 04:35:02 EDT', 'akiezun'), ('FIXED', '2002-10-11 04:35:02 EDT', 'akiezun'), ('2.1 M2', '2002-10-17 08:44:22 EDT', 'akiezun')]</t>
  </si>
  <si>
    <t>2002-10-23 10:51:26 EDT</t>
  </si>
  <si>
    <t>2002-11-14 08:46:42 EST</t>
  </si>
  <si>
    <t>2002-10-09 09:28 EDT</t>
  </si>
  <si>
    <t>2002-10-09 09:36:55 EDT</t>
  </si>
  <si>
    <t>[('CREATED', '2002-10-09 09:28 EDT'), ('Adam_Kiezun', '2002-10-09 09:36:55 EDT', 'akiezun'), ('Move To Top Level: puts several statements on one line [refactoring]', '2002-10-09 09:36:55 EDT', 'akiezun'), ('ASSIGNED', '2002-10-16 09:01:33 EDT', 'akiezun'), ('RESOLVED', '2002-10-23 10:51:26 EDT', 'akiezun'), ('FIXED', '2002-10-23 10:51:26 EDT', 'akiezun'), ('VERIFIED', '2002-11-14 08:46:42 EST', 'dirk_baeumer')]</t>
  </si>
  <si>
    <t>2002-10-09 10:24:20 EDT</t>
  </si>
  <si>
    <t>2002-10-09 09:46 EDT</t>
  </si>
  <si>
    <t>2002-10-09 10:05:51 EDT</t>
  </si>
  <si>
    <t>2002-10-17 08:44:11 EDT</t>
  </si>
  <si>
    <t>[('CREATED', '2002-10-09 09:46 EDT'), ('Adam_Kiezun', '2002-10-09 10:05:51 EDT', 'akiezun'), ('RESOLVED', '2002-10-09 10:24:20 EDT', 'akiezun'), ('FIXED', '2002-10-09 10:24:20 EDT', 'akiezun'), ('2.1 M2', '2002-10-17 08:44:11 EDT', 'akiezun')]</t>
  </si>
  <si>
    <t>2002-10-11 13:18:53 EDT</t>
  </si>
  <si>
    <t>2002-10-17 09:19:01 EDT</t>
  </si>
  <si>
    <t>2002-10-09 11:53 EDT</t>
  </si>
  <si>
    <t>2002-10-09 13:57:08 EDT</t>
  </si>
  <si>
    <t>[('CREATED', '2002-10-09 11:53 EDT'), ('Adam_Kiezun', '2002-10-09 13:57:08 EDT', 'akiezun'), ('Rename field with getter misses getter of interface [refactoring]', '2002-10-09 13:57:08 EDT', 'akiezun'), ('RESOLVED', '2002-10-11 13:18:53 EDT', 'akiezun'), ('FIXED', '2002-10-11 13:18:53 EDT', 'akiezun'), ('2.1 M2', '2002-10-17 08:44:00 EDT', 'akiezun'), ('VERIFIED', '2002-10-17 09:19:01 EDT', 'markus.kell.r')]</t>
  </si>
  <si>
    <t>RESOLVED  DUPLICATE  of bug 35870</t>
  </si>
  <si>
    <t>24823 25138 (view as bug list)</t>
  </si>
  <si>
    <t>2003-04-11 10:24:19 EDT</t>
  </si>
  <si>
    <t>2003-04-11 10:24:00 EDT</t>
  </si>
  <si>
    <t>2002-10-10 22:28 EDT</t>
  </si>
  <si>
    <t>2002-10-11 04:11:30 EDT</t>
  </si>
  <si>
    <t>[('CREATED', '2002-10-10 22:28 EDT'), ('Martin_Aeschlimann', '2002-10-11 04:11:30 EDT', 'akiezun'), ('enhancement', '2002-10-11 04:11:30 EDT', 'akiezun'), ('RESOLVED', '2003-02-19 14:04:01 EST', 'martinae'), ('LATER', '2003-02-19 14:04:01 EST', 'martinae'), ('thomas.eichberger', '2003-02-19 14:04:57 EST', 'martinae'), ('mlq.eclipse', '2003-02-19 14:05:55 EST', 'martinae'), ('REOPENED', '2003-04-11 10:24:00 EDT', 'martinae'), ('---', '2003-04-11 10:24:00 EDT', 'martinae'), ('RESOLVED', '2003-04-11 10:24:19 EDT', 'martinae'), ('DUPLICATE', '2003-04-11 10:24:19 EDT', 'martinae')]</t>
  </si>
  <si>
    <t>2002-10-16 08:44:09 EDT</t>
  </si>
  <si>
    <t>2009-08-30 02:21:43 EDT</t>
  </si>
  <si>
    <t>2002-10-14 00:38 EDT</t>
  </si>
  <si>
    <t>2002-10-14 04:59:29 EDT</t>
  </si>
  <si>
    <t>[('CREATED', '2002-10-14 00:38 EDT'), ('Adam_Kiezun', '2002-10-14 04:59:29 EDT', 'akiezun'), ('Externalize strings keys [refactoring]', '2002-10-14 04:59:29 EDT', 'akiezun'), ('P4', '2002-10-14 08:23:51 EDT', 'akiezun'), ('RESOLVED', '2002-10-16 08:44:09 EDT', 'akiezun'), ('LATER', '2002-10-16 08:44:09 EDT', 'akiezun'), ('CLOSED', '2003-04-08 13:59:25 EDT', 'akiezun'), ('WONTFIX', '2009-08-30 02:21:43 EDT', 'denis.roy'), ('jdt-ui-inbox', '2009-08-30 02:21:43 EDT', 'denis.roy')]</t>
  </si>
  <si>
    <t>2002-10-23 12:42:05 EDT</t>
  </si>
  <si>
    <t>2002-11-14 08:53:34 EST</t>
  </si>
  <si>
    <t>2002-10-14 03:53 EDT</t>
  </si>
  <si>
    <t>2002-10-14 04:58:28 EDT</t>
  </si>
  <si>
    <t>[('CREATED', '2002-10-14 03:53 EDT'), ('Adam_Kiezun', '2002-10-14 04:58:28 EDT', 'akiezun'), ('Refactoring leads to bad code when refactoring strings containing "\\" (backslash) [refactoring]', '2002-10-14 04:58:28 EDT', 'akiezun'), ('ASSIGNED', '2002-10-16 08:44:32 EDT', 'akiezun'), ('RESOLVED', '2002-10-23 12:42:05 EDT', 'akiezun'), ('FIXED', '2002-10-23 12:42:05 EDT', 'akiezun'), ('VERIFIED', '2002-11-14 08:53:34 EST', 'dirk_baeumer')]</t>
  </si>
  <si>
    <t>2002-12-02 11:47:38 EST</t>
  </si>
  <si>
    <t>2002-10-14 07:51 EDT</t>
  </si>
  <si>
    <t>2002-10-14 07:52:01 EDT</t>
  </si>
  <si>
    <t>[('CREATED', '2002-10-14 07:51 EDT'), ('P2', '2002-10-14 07:52:01 EDT', 'erich_gamma'), ('2.1 M3', '2002-10-14 07:52:01 EDT', 'erich_gamma'), ('Daniel_Megert', '2002-11-07 09:22:29 EST', 'dirk_baeumer'), ('2.1 M4', '2002-11-07 12:32:48 EST', 'dirk_baeumer'), (nan, '2002-11-07 12:32:48 EST', 'dirk_baeumer'), ('Adam_Kiezun', '2002-11-25 12:04:30 EST', 'dirk_baeumer'), ('Martin_Aeschlimann', '2002-11-28 05:24:53 EST', 'dirk_baeumer'), ('Claude_Knaus', '2002-11-28 05:24:53 EST', 'dirk_baeumer'), ('Dirk_Baeumer', '2002-11-28 05:25:06 EST', 'dirk_baeumer'), ('RESOLVED', '2002-12-02 11:47:38 EST', 'Claude_Knaus'), ('FIXED', '2002-12-02 11:47:38 EST', 'Claude_Knaus')]</t>
  </si>
  <si>
    <t>2003-04-25 11:25:23 EDT</t>
  </si>
  <si>
    <t>2009-08-30 02:36:02 EDT</t>
  </si>
  <si>
    <t>2003-04-25 11:24:40 EDT</t>
  </si>
  <si>
    <t>2002-10-14 18:16 EDT</t>
  </si>
  <si>
    <t>2002-10-15 04:56:39 EDT</t>
  </si>
  <si>
    <t>[('CREATED', '2002-10-14 18:16 EDT'), ('jdt-ui-inbox', '2002-10-15 04:56:39 EDT', 'akiezun'), ('UI', '2002-10-15 04:56:39 EDT', 'akiezun'), ('Extract Interface to Add to an existing interface.[Refactoring]', '2002-10-15 04:56:39 EDT', 'akiezun'), ('Adam_Kiezun', '2002-10-15 10:34:25 EDT', 'martinae'), ('RESOLVED', '2003-02-20 09:55:05 EST', 'akiezun'), ('LATER', '2003-02-20 09:55:05 EST', 'akiezun'), ('REOPENED', '2003-04-25 11:24:40 EDT', 'akiezun'), ('---', '2003-04-25 11:24:40 EDT', 'akiezun'), ('jdt-ui-inbox', '2003-04-25 11:24:48 EDT', 'akiezun'), ('NEW', '2003-04-25 11:24:48 EDT', 'akiezun'), ('adam_kiezun', '2003-04-25 11:25:23 EDT', 'akiezun'), ('RESOLVED', '2003-04-25 11:25:23 EDT', 'akiezun'), ('P4', '2003-04-25 11:25:23 EDT', 'akiezun'), ('LATER', '2003-04-25 11:25:23 EDT', 'akiezun'), ('Extract Interface to Add to an existing interface.[refactoring]', '2003-04-25 11:25:23 EDT', 'akiezun'), ('WONTFIX', '2009-08-30 02:36:02 EDT', 'webmaster')]</t>
  </si>
  <si>
    <t>2002-10-15 12:39:56 EDT</t>
  </si>
  <si>
    <t>2002-10-15 11:20 EDT</t>
  </si>
  <si>
    <t>2002-10-15 11:44:14 EDT</t>
  </si>
  <si>
    <t>2002-10-17 08:46:55 EDT</t>
  </si>
  <si>
    <t>[('CREATED', '2002-10-15 11:20 EDT'), ('Adam_Kiezun', '2002-10-15 11:44:14 EDT', 'martinae'), ('P2', '2002-10-15 11:44:14 EDT', 'martinae'), ('NPE when starting rename refactoring [refactoring]', '2002-10-15 11:44:14 EDT', 'martinae'), ('FIXED', '2002-10-15 12:39:56 EDT', 'akiezun'), ('RESOLVED', '2002-10-15 12:39:56 EDT', 'akiezun'), ('2.1 M2', '2002-10-17 08:46:55 EDT', 'akiezun')]</t>
  </si>
  <si>
    <t>2002-11-12 12:06:10 EST</t>
  </si>
  <si>
    <t>2002-11-14 08:55:50 EST</t>
  </si>
  <si>
    <t>2002-10-15 19:44 EDT</t>
  </si>
  <si>
    <t>2002-10-16 04:21:21 EDT</t>
  </si>
  <si>
    <t>[('CREATED', '2002-10-15 19:44 EDT'), ('Adam_Kiezun', '2002-10-16 04:21:21 EDT', 'akiezun'), ('Refactor String "+" expression not correct [refactoring]', '2002-10-16 04:21:21 EDT', 'akiezun'), ('ASSIGNED', '2002-10-16 08:45:22 EDT', 'akiezun'), ('RESOLVED', '2002-11-12 12:06:10 EST', 'akiezun'), ('FIXED', '2002-11-12 12:06:10 EST', 'akiezun'), ('2.1 M3', '2002-11-12 12:06:10 EST', 'akiezun'), ('VERIFIED', '2002-11-14 08:55:50 EST', 'dirk_baeumer')]</t>
  </si>
  <si>
    <t>RESOLVED  DUPLICATE  of bug 11334</t>
  </si>
  <si>
    <t>2002-10-16 09:15 EDT</t>
  </si>
  <si>
    <t>2002-10-16 09:19:16 EDT</t>
  </si>
  <si>
    <t>[('CREATED', '2002-10-16 09:15 EDT'), ('Dirk_Baeumer', '2002-10-16 09:19:16 EDT', 'martinae'), ('RESOLVED', '2002-11-06 11:23:35 EST', 'dirk_baeumer'), ('DUPLICATE', '2002-11-06 11:23:35 EST', 'dirk_baeumer')]</t>
  </si>
  <si>
    <t>2002-10-29 08:26:32 EST</t>
  </si>
  <si>
    <t>2002-11-14 08:58:42 EST</t>
  </si>
  <si>
    <t>2002-10-16 11:48 EDT</t>
  </si>
  <si>
    <t>2002-10-16 11:56:31 EDT</t>
  </si>
  <si>
    <t>[('CREATED', '2002-10-16 11:48 EDT'), ('Refactoring should use IWorkbench.saveAllEditors', '2002-10-16 11:56:31 EDT', 'eduardo_pereira'), ('jdt-text-inbox', '2002-10-21 04:29:13 EDT', 'martinae'), ('Text', '2002-10-21 04:29:13 EDT', 'martinae'), ('jdt-ui-inbox', '2002-10-28 08:20:12 EST', 'kai-uwe_maetzel'), ('UI', '2002-10-28 08:20:12 EST', 'kai-uwe_maetzel'), ('Dirk_Baeumer', '2002-10-29 03:30:53 EST', 'Claude_Knaus'), ('Adam_Kiezun', '2002-10-29 03:30:53 EST', 'Claude_Knaus'), ('Refactoring should use IWorkbench.saveAllEditors [refactoring]', '2002-10-29 03:30:53 EST', 'Claude_Knaus'), ('RESOLVED', '2002-10-29 08:26:32 EST', 'akiezun'), ('FIXED', '2002-10-29 08:26:32 EST', 'akiezun'), ('VERIFIED', '2002-11-14 08:58:42 EST', 'dirk_baeumer')]</t>
  </si>
  <si>
    <t>2002-11-22 12:28:25 EST</t>
  </si>
  <si>
    <t>2002-10-17 05:16 EDT</t>
  </si>
  <si>
    <t>[('CREATED', '2002-10-17 05:16 EDT'), ('RESOLVED', '2002-11-22 12:28:25 EST', 'dirk_baeumer'), ('FIXED', '2002-11-22 12:28:25 EST', 'dirk_baeumer')]</t>
  </si>
  <si>
    <t>2002-11-06 11:51:45 EST</t>
  </si>
  <si>
    <t>2002-11-14 05:27:31 EST</t>
  </si>
  <si>
    <t>2002-10-17 05:31 EDT</t>
  </si>
  <si>
    <t>2002-10-21 04:24:08 EDT</t>
  </si>
  <si>
    <t>[('CREATED', '2002-10-17 05:31 EDT'), ('Dirk_Baeumer', '2002-10-21 04:24:08 EDT', 'martinae'), ('P2', '2002-10-21 04:24:08 EDT', 'martinae'), ('inline method throws assertion failed [refactoring]', '2002-10-21 04:24:08 EDT', 'martinae'), ('RESOLVED', '2002-11-06 11:51:45 EST', 'dirk_baeumer'), ('FIXED', '2002-11-06 11:51:45 EST', 'dirk_baeumer'), ('2.1 M3', '2002-11-06 11:51:45 EST', 'dirk_baeumer'), ('VERIFIED', '2002-11-14 05:27:31 EST', 'Claude_Knaus')]</t>
  </si>
  <si>
    <t>2003-04-09 05:48:06 EDT</t>
  </si>
  <si>
    <t>2003-04-09 05:47:55 EDT</t>
  </si>
  <si>
    <t>2002-10-17 05:35 EDT</t>
  </si>
  <si>
    <t>2002-10-21 04:23:35 EDT</t>
  </si>
  <si>
    <t>[('CREATED', '2002-10-17 05:35 EDT'), ('ASSIGNED', '2002-10-21 04:23:35 EDT', 'martinae'), ('Adam_Kiezun', '2002-10-29 02:33:56 EST', 'daniel_megert'), ('NEW', '2002-10-29 02:33:56 EST', 'daniel_megert'), ('RESOLVED', '2002-12-20 11:20:18 EST', 'akiezun'), ('LATER', '2002-12-20 11:20:18 EST', 'akiezun'), ('REOPENED', '2003-04-09 05:47:55 EDT', 'akiezun'), ('---', '2003-04-09 05:47:55 EDT', 'akiezun'), ('FIXED', '2003-04-09 05:48:06 EDT', 'akiezun'), ('2.1 RC4', '2003-04-09 05:48:06 EDT', 'akiezun'), ('RESOLVED', '2003-04-09 05:48:06 EDT', 'akiezun')]</t>
  </si>
  <si>
    <t>2004-08-13 13:35:10 EDT</t>
  </si>
  <si>
    <t>2004-08-13 13:34:09 EDT</t>
  </si>
  <si>
    <t>2002-10-17 05:41 EDT</t>
  </si>
  <si>
    <t>2002-10-21 04:20:08 EDT</t>
  </si>
  <si>
    <t>[('CREATED', '2002-10-17 05:41 EDT'), ('Dirk_Baeumer', '2002-10-21 04:20:08 EDT', 'martinae'), ('inline method - breaks code for inlining constructors [refactoring]', '2002-10-21 04:20:08 EDT', 'martinae'), ('RESOLVED', '2002-12-23 09:45:25 EST', 'dirk_baeumer'), ('LATER', '2002-12-23 09:45:25 EST', 'dirk_baeumer'), ('REOPENED', '2004-08-13 13:34:09 EDT', 'dirk_baeumer'), ('---', '2004-08-13 13:34:09 EDT', 'dirk_baeumer'), ('3.0', '2004-08-13 13:35:10 EDT', 'dirk_baeumer'), ('RESOLVED', '2004-08-13 13:35:10 EDT', 'dirk_baeumer'), ('FIXED', '2004-08-13 13:35:10 EDT', 'dirk_baeumer')]</t>
  </si>
  <si>
    <t>2002-11-07 04:50:22 EST</t>
  </si>
  <si>
    <t>2002-11-14 05:36:39 EST</t>
  </si>
  <si>
    <t>2002-10-17 05:48 EDT</t>
  </si>
  <si>
    <t>2002-10-21 04:19:49 EDT</t>
  </si>
  <si>
    <t>[('CREATED', '2002-10-17 05:48 EDT'), ('Dirk_Baeumer', '2002-10-21 04:19:49 EDT', 'martinae'), ('inline method - NPE when inlining into static methods [refactoring]', '2002-10-21 04:19:49 EDT', 'martinae'), ('FIXED', '2002-11-07 04:50:22 EST', 'dirk_baeumer'), ('2.1 M3', '2002-11-07 04:50:22 EST', 'dirk_baeumer'), ('RESOLVED', '2002-11-07 04:50:22 EST', 'dirk_baeumer'), ('VERIFIED', '2002-11-14 05:36:39 EST', 'Claude_Knaus')]</t>
  </si>
  <si>
    <t>2002-10-22 06:00:25 EDT</t>
  </si>
  <si>
    <t>2002-11-14 09:01:34 EST</t>
  </si>
  <si>
    <t>2002-10-17 05:56 EDT</t>
  </si>
  <si>
    <t>2002-10-21 04:18:52 EDT</t>
  </si>
  <si>
    <t>[('CREATED', '2002-10-17 05:56 EDT'), ('Martin_Aeschlimann', '2002-10-21 04:18:52 EDT', 'martinae'), ('P1', '2002-10-21 04:18:52 EDT', 'martinae'), ("quick fix: NPE on 'change visibility to default' [quick fix]", '2002-10-21 04:18:52 EDT', 'martinae'), ('FIXED', '2002-10-22 06:00:25 EDT', 'martinae'), ('2.1 M3', '2002-10-22 06:00:25 EDT', 'martinae'), ('RESOLVED', '2002-10-22 06:00:25 EDT', 'martinae'), ('VERIFIED', '2002-11-14 09:01:34 EST', 'akiezun')]</t>
  </si>
  <si>
    <t>2002-12-23 10:54:02 EST</t>
  </si>
  <si>
    <t>2002-10-17 05:58 EDT</t>
  </si>
  <si>
    <t>2002-10-21 04:18:32 EDT</t>
  </si>
  <si>
    <t>[('CREATED', '2002-10-17 05:58 EDT'), ('Dirk_Baeumer', '2002-10-21 04:18:32 EDT', 'martinae'), ('inline method - inline method breaks code when inlining into a field initializer [refactoring]', '2002-10-21 04:18:32 EDT', 'martinae'), ('RESOLVED', '2002-12-23 10:54:02 EST', 'dirk_baeumer'), ('FIXED', '2002-12-23 10:54:02 EST', 'dirk_baeumer'), ('2.1 M5', '2002-12-23 10:54:02 EST', 'dirk_baeumer')]</t>
  </si>
  <si>
    <t>2003-02-13 13:59:53 EST</t>
  </si>
  <si>
    <t>2002-10-17 06:09 EDT</t>
  </si>
  <si>
    <t>2002-10-21 04:11:13 EDT</t>
  </si>
  <si>
    <t>2003-02-13 14:00:12 EST</t>
  </si>
  <si>
    <t>[('CREATED', '2002-10-17 06:09 EDT'), ('Dirk_Baeumer', '2002-10-21 04:11:13 EDT', 'martinae'), ('inline method - breaks code when inlining into overridden methods [refactoring]', '2002-10-21 04:11:13 EDT', 'martinae'), ('FIXED', '2003-02-13 13:59:53 EST', 'dirk_baeumer'), ('RESOLVED', '2003-02-13 13:59:53 EST', 'dirk_baeumer'), ('P2', '2003-02-13 14:00:12 EST', 'dirk_baeumer'), ('2.1 RC1', '2003-02-13 14:00:12 EST', 'dirk_baeumer')]</t>
  </si>
  <si>
    <t>2002-10-23 12:22:22 EDT</t>
  </si>
  <si>
    <t>2002-11-14 09:05:30 EST</t>
  </si>
  <si>
    <t>2002-10-17 06:11 EDT</t>
  </si>
  <si>
    <t>2002-10-17 06:25:13 EDT</t>
  </si>
  <si>
    <t>[('CREATED', '2002-10-17 06:11 EDT'), ('Use Supertype Where Possible: should update UI when checkbox changes', '2002-10-17 06:25:13 EDT', 'daniel_megert'), ('Adam_Kiezun', '2002-10-21 04:10:52 EDT', 'martinae'), ('P2', '2002-10-21 04:10:52 EDT', 'martinae'), ('Use Supertype Where Possible: should update UI when checkbox changes [refactoring]', '2002-10-21 04:10:52 EDT', 'martinae'), ('RESOLVED', '2002-10-23 12:22:22 EDT', 'akiezun'), ('FIXED', '2002-10-23 12:22:22 EDT', 'akiezun'), ('VERIFIED', '2002-11-14 09:05:30 EST', 'dirk_baeumer')]</t>
  </si>
  <si>
    <t>2003-02-13 15:12:26 EST</t>
  </si>
  <si>
    <t>2009-08-30 02:35:42 EDT</t>
  </si>
  <si>
    <t>2002-10-17 06:28 EDT</t>
  </si>
  <si>
    <t>2002-10-21 04:09:16 EDT</t>
  </si>
  <si>
    <t>[('CREATED', '2002-10-17 06:28 EDT'), ('Dirk_Baeumer', '2002-10-21 04:09:16 EDT', 'martinae'), ('inline method - breaks code when inlining methods with try catch blocks [refactoring]', '2002-10-21 04:09:16 EDT', 'martinae'), ('jdt-ui-inbox', '2003-02-13 15:12:03 EST', 'dirk_baeumer'), ('RESOLVED', '2003-02-13 15:12:26 EST', 'dirk_baeumer'), ('LATER', '2003-02-13 15:12:26 EST', 'dirk_baeumer'), ('P4', '2004-08-13 13:35:28 EDT', 'dirk_baeumer'), ('WONTFIX', '2009-08-30 02:35:42 EDT', 'webmaster')]</t>
  </si>
  <si>
    <t>2002-12-23 08:53:27 EST</t>
  </si>
  <si>
    <t>2002-10-17 07:49 EDT</t>
  </si>
  <si>
    <t>2002-10-17 07:55:29 EDT</t>
  </si>
  <si>
    <t>2002-12-23 08:53:37 EST</t>
  </si>
  <si>
    <t>[('CREATED', '2002-10-17 07:49 EDT'), ('enhancement', '2002-10-17 07:55:29 EDT', 'Claude_Knaus'), ('Dirk_Baeumer', '2002-10-21 04:07:19 EDT', 'martinae'), ('inline method - adds unnecessary assignment [refactoring]', '2002-10-21 04:07:19 EDT', 'martinae'), ('RESOLVED', '2002-12-23 08:53:27 EST', 'dirk_baeumer'), ('FIXED', '2002-12-23 08:53:27 EST', 'dirk_baeumer'), ('2.1 M5', '2002-12-23 08:53:37 EST', 'dirk_baeumer')]</t>
  </si>
  <si>
    <t>2003-04-25 04:52:32 EDT</t>
  </si>
  <si>
    <t>2003-04-25 04:52:15 EDT</t>
  </si>
  <si>
    <t>2002-10-17 08:02 EDT</t>
  </si>
  <si>
    <t>2002-10-21 04:05:45 EDT</t>
  </si>
  <si>
    <t>[('CREATED', '2002-10-17 08:02 EDT'), ('Dirk_Baeumer', '2002-10-21 04:05:45 EDT', 'martinae'), ('inline method - resulting expressions could be optimized [refactoring]', '2002-10-21 04:05:45 EDT', 'martinae'), ('RESOLVED', '2002-12-23 08:54:24 EST', 'dirk_baeumer'), ('LATER', '2002-12-23 08:54:24 EST', 'dirk_baeumer'), ('REOPENED', '2003-04-25 04:52:15 EDT', 'dirk_baeumer'), ('---', '2003-04-25 04:52:15 EDT', 'dirk_baeumer'), ('RESOLVED', '2003-04-25 04:52:32 EDT', 'dirk_baeumer'), ('WONTFIX', '2003-04-25 04:52:32 EDT', 'dirk_baeumer')]</t>
  </si>
  <si>
    <t>2002-10-22 05:59:29 EDT</t>
  </si>
  <si>
    <t>2002-11-14 09:29:57 EST</t>
  </si>
  <si>
    <t>2002-10-17 08:05 EDT</t>
  </si>
  <si>
    <t>2002-10-21 04:05:15 EDT</t>
  </si>
  <si>
    <t>[('CREATED', '2002-10-17 08:05 EDT'), ('Martin_Aeschlimann', '2002-10-21 04:05:15 EDT', 'martinae'), ('inline method: assertion failed [refactoring]', '2002-10-21 04:05:15 EDT', 'martinae'), ('2.1 M3', '2002-10-22 05:59:29 EDT', 'martinae'), ('RESOLVED', '2002-10-22 05:59:29 EDT', 'martinae'), ('FIXED', '2002-10-22 05:59:29 EDT', 'martinae'), ('VERIFIED', '2002-11-14 09:29:57 EST', 'akiezun')]</t>
  </si>
  <si>
    <t>2003-07-14 11:58:24 EDT</t>
  </si>
  <si>
    <t>2002-10-17 08:20 EDT</t>
  </si>
  <si>
    <t>2002-10-21 03:59:04 EDT</t>
  </si>
  <si>
    <t>2014-04-25 09:55:46 EDT</t>
  </si>
  <si>
    <t>[('CREATED', '2002-10-17 08:20 EDT'), ('Dirk_Baeumer', '2002-10-21 03:59:04 EDT', 'martinae'), ('minor', '2002-10-21 03:59:04 EDT', 'martinae'), ("inline method - doesn't handle implicit cast [refactoring]", '2002-10-21 03:59:04 EDT', 'martinae'), ('1', '2003-06-19 08:59:35 EDT', 'dstalnov'), ('dstalnov', '2003-06-19 12:23:45 EDT', 'dirk_baeumer'), ('1', '2003-06-30 08:41:17 EDT', 'dstalnov'), ('1', '2003-06-30 08:41:17 EDT', 'dstalnov'), ('1', '2003-07-01 09:04:06 EDT', 'dstalnov'), ('1', '2003-07-07 16:38:09 EDT', 'dstalnov'), ('RESOLVED', '2003-07-14 11:58:24 EDT', 'dirk_baeumer'), ('FIXED', '2003-07-14 11:58:24 EDT', 'dirk_baeumer'), ('3.0 M2', '2003-07-14 11:58:24 EDT', 'dirk_baeumer'), ('markus_keller', '2014-04-25 09:55:46 EDT', 'markus.kell.r')]</t>
  </si>
  <si>
    <t>2002-10-17 16:33:34 EDT</t>
  </si>
  <si>
    <t>2002-11-14 05:39:03 EST</t>
  </si>
  <si>
    <t>2002-10-17 08:29 EDT</t>
  </si>
  <si>
    <t>2002-10-17 10:34:22 EDT</t>
  </si>
  <si>
    <t>[('CREATED', '2002-10-17 08:29 EDT'), ('Rory_Lucyshyn-Wright', '2002-10-17 10:34:22 EDT', 'akiezun'), ('RESOLVED', '2002-10-17 16:33:34 EDT', 'Rory_Lucyshyn-Wright'), ('FIXED', '2002-10-17 16:33:34 EDT', 'Rory_Lucyshyn-Wright'), ('2.1 M3', '2002-11-13 09:41:04 EST', 'Rory_Lucyshyn-Wright'), ('VERIFIED', '2002-11-14 05:39:03 EST', 'Claude_Knaus')]</t>
  </si>
  <si>
    <t>2002-10-17 15:59:52 EDT</t>
  </si>
  <si>
    <t>2002-10-17 08:32 EDT</t>
  </si>
  <si>
    <t>2002-10-17 08:52:22 EDT</t>
  </si>
  <si>
    <t>2002-11-13 09:43:49 EST</t>
  </si>
  <si>
    <t>Rory_Lucyshyn-Wright</t>
  </si>
  <si>
    <t>[('CREATED', '2002-10-17 08:32 EDT'), ('extract constant - breaks code if bad name is chosen', '2002-10-17 08:52:22 EDT', 'akiezun'), ('Rory_Lucyshyn-Wright', '2002-10-17 10:35:55 EDT', 'akiezun'), ('RESOLVED', '2002-10-17 15:59:52 EDT', 'Rory_Lucyshyn-Wright'), ('WONTFIX', '2002-10-17 15:59:52 EDT', 'Rory_Lucyshyn-Wright'), ('2.1 M3', '2002-11-13 09:43:49 EST', 'Rory_Lucyshyn-Wright')]</t>
  </si>
  <si>
    <t>2003-03-23 06:45:15 EST</t>
  </si>
  <si>
    <t>2009-08-30 02:43:03 EDT</t>
  </si>
  <si>
    <t>2002-10-17 08:56 EDT</t>
  </si>
  <si>
    <t>2002-10-17 10:37:06 EDT</t>
  </si>
  <si>
    <t>[('CREATED', '2002-10-17 08:56 EDT'), ('Rory_Lucyshyn-Wright', '2002-10-17 10:37:06 EDT', 'akiezun'), ('jdt-ui-inbox', '2003-03-14 04:54:49 EST', 'martinae'), ('2.1', '2003-03-14 04:54:49 EST', 'martinae'), ('RESOLVED', '2003-03-23 06:45:15 EST', 'dirk_baeumer'), ('LATER', '2003-03-23 06:45:15 EST', 'dirk_baeumer'), ('extract constant - breaks code for floating point expressions [refactoring]', '2003-03-23 06:45:15 EST', 'dirk_baeumer'), ('WONTFIX', '2009-08-30 02:43:03 EDT', 'webmaster')]</t>
  </si>
  <si>
    <t>2003-03-23 06:45:37 EST</t>
  </si>
  <si>
    <t>2002-10-17 09:04 EDT</t>
  </si>
  <si>
    <t>2002-10-17 10:37:21 EDT</t>
  </si>
  <si>
    <t>[('CREATED', '2002-10-17 09:04 EDT'), ('Rory_Lucyshyn-Wright', '2002-10-17 10:37:21 EDT', 'akiezun'), ('jdt-ui-inbox', '2003-03-14 04:54:50 EST', 'martinae'), ('2.1', '2003-03-14 04:54:50 EST', 'martinae'), ('RESOLVED', '2003-03-23 06:45:37 EST', 'dirk_baeumer'), ('FIXED', '2003-03-23 06:45:37 EST', 'dirk_baeumer'), ('extract constant - should be able to specify destination of extracted constant [refactoring]', '2003-03-23 06:45:37 EST', 'dirk_baeumer')]</t>
  </si>
  <si>
    <t>2003-03-23 06:46:36 EST</t>
  </si>
  <si>
    <t>2002-10-17 09:23 EDT</t>
  </si>
  <si>
    <t>2002-10-17 10:37:37 EDT</t>
  </si>
  <si>
    <t>[('CREATED', '2002-10-17 09:23 EDT'), ('Rory_Lucyshyn-Wright', '2002-10-17 10:37:37 EDT', 'akiezun'), ('jdt-ui-inbox', '2003-03-14 04:54:46 EST', 'martinae'), ('2.1', '2003-03-14 04:54:46 EST', 'martinae'), ('RESOLVED', '2003-03-23 06:46:36 EST', 'dirk_baeumer'), ('LATER', '2003-03-23 06:46:36 EST', 'dirk_baeumer'), ('extract constant - breaks code for string expressions [refactoring]', '2003-03-23 06:46:36 EST', 'dirk_baeumer'), ('WONTFIX', '2009-08-30 02:16:50 EDT', 'denis.roy')]</t>
  </si>
  <si>
    <t>2002-10-17 11:05:12 EDT</t>
  </si>
  <si>
    <t>2002-10-17 09:43 EDT</t>
  </si>
  <si>
    <t>2002-10-17 10:37:54 EDT</t>
  </si>
  <si>
    <t>[('CREATED', '2002-10-17 09:43 EDT'), ('Rory_Lucyshyn-Wright', '2002-10-17 10:37:54 EDT', 'akiezun'), ('RESOLVED', '2002-10-17 11:05:12 EDT', 'Rory_Lucyshyn-Wright'), ('INVALID', '2002-10-17 11:05:12 EDT', 'Rory_Lucyshyn-Wright')]</t>
  </si>
  <si>
    <t>2002-10-17 15:37:14 EDT</t>
  </si>
  <si>
    <t>2002-10-17 09:57 EDT</t>
  </si>
  <si>
    <t>2002-10-17 10:38:18 EDT</t>
  </si>
  <si>
    <t>2002-11-13 09:45:36 EST</t>
  </si>
  <si>
    <t>[('CREATED', '2002-10-17 09:57 EDT'), ('Rory_Lucyshyn-Wright', '2002-10-17 10:38:18 EDT', 'akiezun'), ('RESOLVED', '2002-10-17 15:37:14 EDT', 'Rory_Lucyshyn-Wright'), ('FIXED', '2002-10-17 15:37:14 EDT', 'Rory_Lucyshyn-Wright'), ('2.1 M3', '2002-11-13 09:45:36 EST', 'Rory_Lucyshyn-Wright')]</t>
  </si>
  <si>
    <t>2003-04-11 10:24:41 EDT</t>
  </si>
  <si>
    <t>2002-10-17 10:02 EDT</t>
  </si>
  <si>
    <t>2002-10-17 10:12:52 EDT</t>
  </si>
  <si>
    <t>2003-04-11 10:24:50 EDT</t>
  </si>
  <si>
    <t>[('CREATED', '2002-10-17 10:02 EDT'), ('parameter comments are not moved in Change Method Signature [refactoring]', '2002-10-17 10:12:52 EDT', 'andre_weinand'), ('Adam_Kiezun', '2002-10-21 03:58:00 EDT', 'martinae'), ('Adam_Kiezun', '2002-10-23 10:27:30 EDT', 'akiezun'), ('Martin_Aeschlimann', '2002-10-23 10:27:30 EDT', 'akiezun'), ('RESOLVED', '2003-04-11 10:24:41 EDT', 'akiezun'), ('FIXED', '2003-04-11 10:24:41 EDT', 'akiezun'), ('2.1 RC4', '2003-04-11 10:24:50 EDT', 'akiezun')]</t>
  </si>
  <si>
    <t>2002-11-08 11:23:28 EST</t>
  </si>
  <si>
    <t>2002-11-14 09:35:54 EST</t>
  </si>
  <si>
    <t>2002-10-17 11:13 EDT</t>
  </si>
  <si>
    <t>2002-10-17 11:13:39 EDT</t>
  </si>
  <si>
    <t>[('CREATED', '2002-10-17 11:13 EDT'), ('Inline Method: Unnecessary variable rename', '2002-10-17 11:13:39 EDT', 'martinae'), ('Dirk_Baeumer', '2002-10-21 03:47:36 EDT', 'martinae'), ('Inline Method: Unnecessary variable rename [refactoring]', '2002-10-21 03:47:45 EDT', 'martinae'), ('RESOLVED', '2002-11-08 11:23:28 EST', 'dirk_baeumer'), ('FIXED', '2002-11-08 11:23:28 EST', 'dirk_baeumer'), ('2.1 M3', '2002-11-14 09:35:54 EST', 'akiezun'), ('VERIFIED', '2002-11-14 09:35:54 EST', 'akiezun')]</t>
  </si>
  <si>
    <t>2002-12-18 06:41:19 EST</t>
  </si>
  <si>
    <t>2002-10-17 15:49 EDT</t>
  </si>
  <si>
    <t>2002-10-17 16:14:42 EDT</t>
  </si>
  <si>
    <t>[('CREATED', '2002-10-17 15:49 EDT'), ('accessibility', '2002-10-17 16:14:42 EDT', 'Tod_Creasey'), ('Adam_Kiezun', '2002-10-21 03:45:15 EDT', 'martinae'), ('Accessibility issues with Refactoring dialog [refactoring]', '2002-10-21 03:59:31 EDT', 'martinae'), ('ASSIGNED', '2002-10-23 11:23:18 EDT', 'akiezun'), ('RESOLVED', '2002-12-18 06:41:19 EST', 'akiezun'), ('FIXED', '2002-12-18 06:41:19 EST', 'akiezun')]</t>
  </si>
  <si>
    <t>45205 72924 134881 368917 (view as bug list)</t>
  </si>
  <si>
    <t>2003-04-25 11:26:31 EDT</t>
  </si>
  <si>
    <t>2009-08-30 02:36:38 EDT</t>
  </si>
  <si>
    <t>2012-01-18 04:34:08 EST</t>
  </si>
  <si>
    <t>2002-10-19 11:26 EDT</t>
  </si>
  <si>
    <t>2002-10-21 04:38:54 EDT</t>
  </si>
  <si>
    <t>2019-01-15 05:07:06 EST</t>
  </si>
  <si>
    <t>pyvesdev</t>
  </si>
  <si>
    <t>[('CREATED', '2002-10-19 11:26 EDT'), ('jdt-ui-inbox', '2002-10-21 04:38:54 EDT', 'akiezun'), ('UI', '2002-10-21 04:38:54 EDT', 'akiezun'), ('adam_kiezun', '2002-10-22 05:25:30 EDT', 'martinae'), ('ASSIGNED', '2002-10-22 05:25:30 EDT', 'martinae'), ('Provide "Delete/Remove" refactor [refactoring]', '2002-10-22 05:25:30 EDT', 'martinae'), ('NEW', '2002-11-16 19:46:04 EST', 'erich_gamma'), ('Adam_Kiezun', '2002-11-16 19:46:04 EST', 'erich_gamma'), ('RESOLVED', '2003-02-20 09:56:08 EST', 'akiezun'), ('LATER', '2003-02-20 09:56:08 EST', 'akiezun'), ('REOPENED', '2003-04-25 11:25:56 EDT', 'akiezun'), ('P4', '2003-04-25 11:25:56 EDT', 'akiezun'), ('---', '2003-04-25 11:25:56 EDT', 'akiezun'), ('jdt-ui-inbox', '2003-04-25 11:26:08 EDT', 'akiezun'), ('NEW', '2003-04-25 11:26:08 EDT', 'akiezun'), ('RESOLVED', '2003-04-25 11:26:31 EDT', 'akiezun'), ('LATER', '2003-04-25 11:26:31 EDT', 'akiezun'), ('helpwanted', '2003-07-15 13:23:44 EDT', 'akiezun'), ('mlq.eclipse', '2003-07-15 13:34:29 EDT', 'mlq.eclipse'), ('mariano.kamp', '2003-07-15 13:51:00 EDT', 'mariano.kamp'), ('tlroche', '2003-07-15 17:02:37 EDT', 'tlroche'), ('florian', '2003-07-22 11:35:31 EDT', 'florian'), (nan, '2003-09-03 15:11:24 EDT', 'mariano.kamp'), (nan, '2003-09-03 15:32:52 EDT', 'florian'), ('slash', '2003-10-21 04:49:32 EDT', 'dirk_baeumer'), ('ggregory', '2004-08-31 06:29:53 EDT', 'dirk_baeumer'), ('WONTFIX', '2009-08-30 02:36:38 EDT', 'webmaster'), ('P5', '2012-01-18 04:34:08 EST', 'daniel_megert'), ('REOPENED', '2012-01-18 04:34:08 EST', 'daniel_megert'), ('daniel_megert', '2012-01-18 04:34:08 EST', 'daniel_megert'), ('---', '2012-01-18 04:34:08 EST', 'daniel_megert'), ('ASSIGNED', '2012-01-18 04:34:31 EST', 'daniel_megert'), ('[refactoring] Provide "Delete/Remove" refactor', '2012-01-18 04:34:31 EST', 'daniel_megert'), ('tobias.gierke', '2012-01-18 04:34:57 EST', 'daniel_megert'), ('pbenedict', '2016-07-21 17:09:17 EDT', 'pbenedict'), ('gautier.desaintmartinlacaze', '2016-11-24 07:33:20 EST', 'gautier.desaintmartinlacaze'), ('pyvesdev', '2019-01-15 05:07:06 EST', 'pyvesdev')]</t>
  </si>
  <si>
    <t>30940</t>
  </si>
  <si>
    <t>2003-02-13 10:20:16 EST</t>
  </si>
  <si>
    <t>2003-02-13 06:56:13 EST</t>
  </si>
  <si>
    <t>2002-10-21 11:46 EDT</t>
  </si>
  <si>
    <t>2002-10-28 11:55:32 EST</t>
  </si>
  <si>
    <t>[('CREATED', '2002-10-21 11:46 EDT'), ('ASSIGNED', '2002-10-28 11:55:32 EST', 'akiezun'), ('2.1 M5', '2002-12-18 06:42:17 EST', 'akiezun'), ('adam_kiezun', '2002-12-20 05:59:40 EST', 'akiezun'), ('Martin_Aeschlimann', '2002-12-20 05:59:40 EST', 'akiezun'), ('NEW', '2002-12-20 05:59:40 EST', 'akiezun'), ('30940', '2003-02-06 06:42:11 EST', 'dirk_baeumer'), ('RESOLVED', '2003-02-11 11:53:35 EST', 'martinae'), ('FIXED', '2003-02-11 11:53:35 EST', 'martinae'), ('2.1 RC1', '2003-02-11 11:53:35 EST', 'martinae'), ('P2', '2003-02-13 06:56:13 EST', 'akiezun'), ('---', '2003-02-13 06:56:13 EST', 'akiezun'), ('REOPENED', '2003-02-13 06:56:13 EST', 'akiezun'), ('adam_kiezun', '2003-02-13 06:56:25 EST', 'akiezun'), ('NEW', '2003-02-13 06:56:25 EST', 'akiezun'), ('RESOLVED', '2003-02-13 10:20:16 EST', 'akiezun'), ('FIXED', '2003-02-13 10:20:16 EST', 'akiezun')]</t>
  </si>
  <si>
    <t>2003-02-13 14:06:16 EST</t>
  </si>
  <si>
    <t>2002-10-22 06:51 EDT</t>
  </si>
  <si>
    <t>2002-10-23 04:50:15 EDT</t>
  </si>
  <si>
    <t>[('CREATED', '2002-10-22 06:51 EDT'), ('ASSIGNED', '2002-10-23 04:50:15 EDT', 'martinae'), ('Some actions should not be allowed on cu outside classpath [general issue]', '2002-10-23 04:50:15 EDT', 'martinae'), ('Dirk_Baeumer', '2002-11-13 06:40:53 EST', 'erich_gamma'), ('NEW', '2002-11-13 06:40:53 EST', 'erich_gamma'), ('2.1 M5', '2002-12-20 07:48:22 EST', 'dirk_baeumer'), ('Daniel_Megert', '2003-02-03 11:14:25 EST', 'dirk_baeumer'), ('martin_aeschlimann', '2003-02-03 11:14:25 EST', 'dirk_baeumer'), ('2.1 RC1', '2003-02-03 11:14:25 EST', 'dirk_baeumer'), ('P2', '2003-02-12 12:19:54 EST', 'dirk_baeumer'), (nan, '2003-02-12 13:11:00 EST', 'daniel_megert'), ('RESOLVED', '2003-02-13 14:06:16 EST', 'martinae'), ('FIXED', '2003-02-13 14:06:16 EST', 'martinae')]</t>
  </si>
  <si>
    <t>25984</t>
  </si>
  <si>
    <t>2002-11-13 09:54:16 EST</t>
  </si>
  <si>
    <t>2002-11-14 12:46:08 EST</t>
  </si>
  <si>
    <t>2002-10-22 08:30 EDT</t>
  </si>
  <si>
    <t>2002-10-23 04:49:07 EDT</t>
  </si>
  <si>
    <t>[('CREATED', '2002-10-22 08:30 EDT'), ('Adam_Kiezun', '2002-10-23 04:49:07 EDT', 'martinae'), ('cannot copy paste or dnd outside of classpath [ccp]', '2002-10-23 04:49:07 EDT', 'martinae'), ('25984', '2002-11-11 12:57:50 EST', 'akiezun'), ('RESOLVED', '2002-11-13 09:54:16 EST', 'akiezun'), ('FIXED', '2002-11-13 09:54:16 EST', 'akiezun'), ('2.1 M4', '2002-11-13 09:54:16 EST', 'akiezun'), ('VERIFIED', '2002-11-14 12:46:08 EST', 'martinae')]</t>
  </si>
  <si>
    <t>2003-01-27 07:20:37 EST</t>
  </si>
  <si>
    <t>2002-10-22 10:21 EDT</t>
  </si>
  <si>
    <t>2002-10-23 04:37:17 EDT</t>
  </si>
  <si>
    <t>[('CREATED', '2002-10-22 10:21 EDT'), ('Adam_Kiezun', '2002-10-23 04:37:17 EDT', 'martinae'), ('Refactor Pull Up by more than one class [refactoring]', '2002-10-23 04:37:17 EDT', 'martinae'), ('RESOLVED', '2003-01-27 07:20:37 EST', 'akiezun'), ('FIXED', '2003-01-27 07:20:37 EST', 'akiezun'), ('2.1 M5', '2003-01-27 07:20:37 EST', 'akiezun')]</t>
  </si>
  <si>
    <t>2004-08-18 06:26:07 EDT</t>
  </si>
  <si>
    <t>2009-08-30 02:19:08 EDT</t>
  </si>
  <si>
    <t>2002-10-23 10:41 EDT</t>
  </si>
  <si>
    <t>2002-10-23 12:07:21 EDT</t>
  </si>
  <si>
    <t>[('CREATED', '2002-10-23 10:41 EDT'), ('ASSIGNED', '2002-10-23 12:07:21 EDT', 'martinae'), ('Refactoring - copy methods to new class [ccp]', '2002-10-23 12:07:21 EDT', 'martinae'), ('P4', '2003-08-27 08:06:49 EDT', 'dirk_baeumer'), ('RESOLVED', '2004-08-18 06:26:07 EDT', 'dirk_baeumer'), ('LATER', '2004-08-18 06:26:07 EDT', 'dirk_baeumer'), ('WONTFIX', '2009-08-30 02:19:08 EDT', 'denis.roy')]</t>
  </si>
  <si>
    <t>2002-11-16 19:39:44 EST</t>
  </si>
  <si>
    <t>2009-08-30 02:22:06 EDT</t>
  </si>
  <si>
    <t>2002-10-24 03:02 EDT</t>
  </si>
  <si>
    <t>2002-10-24 03:29:59 EDT</t>
  </si>
  <si>
    <t>[('CREATED', '2002-10-24 03:02 EDT'), ('ASSIGNED', '2002-10-24 03:29:59 EDT', 'martinae'), ('Refactormethod: Singelton-Pattern [refactoring]', '2002-10-24 03:29:59 EDT', 'martinae'), ('RESOLVED', '2002-11-16 19:39:44 EST', 'erich_gamma'), ('LATER', '2002-11-16 19:39:44 EST', 'erich_gamma'), ('P5', '2004-08-13 13:36:39 EDT', 'dirk_baeumer'), ('WONTFIX', '2009-08-30 02:22:06 EDT', 'denis.roy')]</t>
  </si>
  <si>
    <t>2004-08-13 13:38:27 EDT</t>
  </si>
  <si>
    <t>2004-08-13 13:37:54 EDT</t>
  </si>
  <si>
    <t>2002-10-24 09:25 EDT</t>
  </si>
  <si>
    <t>2002-10-24 10:14:33 EDT</t>
  </si>
  <si>
    <t>[('CREATED', '2002-10-24 09:25 EDT'), ('Adam_Kiezun', '2002-10-24 10:14:33 EDT', 'martinae'), ('change method signature refactoring should add @param [refactoring]', '2002-10-24 10:14:33 EDT', 'martinae'), ('enhancement', '2002-10-29 06:24:05 EST', 'akiezun'), ('ASSIGNED', '2002-10-29 06:24:05 EST', 'akiezun'), ('RESOLVED', '2002-11-16 15:10:46 EST', 'erich_gamma'), ('LATER', '2002-11-16 15:10:46 EST', 'erich_gamma'), ('---', '2003-04-25 11:27:06 EDT', 'akiezun'), ('36887', '2003-04-25 11:27:06 EDT', 'akiezun'), ('REOPENED', '2003-04-25 11:27:06 EDT', 'akiezun'), ('adam_kiezun', '2003-04-25 11:27:26 EDT', 'akiezun'), ('jdt-ui-inbox', '2003-04-25 11:27:26 EDT', 'akiezun'), ('NEW', '2003-04-25 11:27:26 EDT', 'akiezun'), ('RESOLVED', '2003-04-25 11:27:50 EDT', 'akiezun'), ('LATER', '2003-04-25 11:27:50 EDT', 'akiezun'), ('REOPENED', '2004-08-13 13:37:54 EDT', 'dirk_baeumer'), ('---', '2004-08-13 13:37:54 EDT', 'dirk_baeumer'), ('RESOLVED', '2004-08-13 13:38:27 EDT', 'dirk_baeumer'), ('FIXED', '2004-08-13 13:38:27 EDT', 'dirk_baeumer')]</t>
  </si>
  <si>
    <t>2003-02-06 05:51:12 EST</t>
  </si>
  <si>
    <t>2002-10-24 10:50 EDT</t>
  </si>
  <si>
    <t>2002-10-25 06:15:22 EDT</t>
  </si>
  <si>
    <t>[('CREATED', '2002-10-24 10:50 EDT'), ('Erich_Gamma', '2002-10-25 06:15:22 EDT', 'martinae'), ('Ability to know when tests are finished [junit]', '2002-10-25 06:15:22 EDT', 'martinae'), ('jruaux', '2002-12-20 05:10:19 EST', 'jruaux'), ('dorodovkostja', '2003-01-05 12:18:59 EST', 'dorodovkostja'), ('P2', '2003-01-29 06:21:43 EST', 'erich_gamma'), ('2.1 M5', '2003-01-29 06:21:43 EST', 'erich_gamma'), ('RESOLVED', '2003-02-06 05:51:12 EST', 'erich_gamma'), ('FIXED', '2003-02-06 05:51:12 EST', 'erich_gamma')]</t>
  </si>
  <si>
    <t>RESOLVED  DUPLICATE  of bug 25914</t>
  </si>
  <si>
    <t>2002-11-11 09:05:57 EST</t>
  </si>
  <si>
    <t>2002-10-28 05:40 EST</t>
  </si>
  <si>
    <t>2002-11-11 08:52:00 EST</t>
  </si>
  <si>
    <t>[('CREATED', '2002-10-28 05:40 EST'), ('jcompagner', '2002-11-11 08:52:00 EST', 'jcompagner'), ('RESOLVED', '2002-11-11 09:05:57 EST', 'akiezun'), ('DUPLICATE', '2002-11-11 09:05:57 EST', 'akiezun')]</t>
  </si>
  <si>
    <t>2004-06-04 03:45:55 EDT</t>
  </si>
  <si>
    <t>2004-06-03 11:33:14 EDT</t>
  </si>
  <si>
    <t>2009-08-30 02:19:01 EDT</t>
  </si>
  <si>
    <t>2004-06-04 03:45:38 EDT</t>
  </si>
  <si>
    <t>2002-10-29 13:54 EST</t>
  </si>
  <si>
    <t>2002-10-29 13:54:38 EST</t>
  </si>
  <si>
    <t>[('CREATED', '2002-10-29 13:54 EST'), ('2.0.1', '2002-10-29 13:54:38 EST', 'hudsonr'), ('Martin_Aeschlimann', '2002-11-01 04:42:27 EST', 'Claude_Knaus'), ('RESOLVED', '2003-02-19 11:38:45 EST', 'martinae'), ('WONTFIX', '2003-02-19 11:38:45 EST', 'martinae'), ('major', '2003-11-10 10:50:52 EST', 'hudsonr'), ('REOPENED', '2003-11-10 10:50:52 EST', 'hudsonr'), ('---', '2003-11-10 10:50:52 EST', 'hudsonr'), ('RESOLVED', '2003-11-10 11:06:10 EST', 'martinae'), ('LATER', '2003-11-10 11:06:10 EST', 'martinae'), ('REOPENED', '2004-06-03 10:34:18 EDT', 'hudsonr'), ('---', '2004-06-03 10:34:18 EDT', 'hudsonr'), ('RESOLVED', '2004-06-03 11:33:14 EDT', 'martinae'), ('FIXED', '2004-06-03 11:33:14 EDT', 'martinae'), ('3.0 M9', '2004-06-03 11:33:14 EDT', 'martinae'), ('REOPENED', '2004-06-04 03:45:38 EDT', 'martinae'), ('---', '2004-06-04 03:45:38 EDT', 'martinae'), ('RESOLVED', '2004-06-04 03:45:55 EDT', 'martinae'), ('LATER', '2004-06-04 03:45:55 EDT', 'martinae'), ('---', '2005-05-09 16:40:44 EDT', 'hudsonr'), ('WONTFIX', '2009-08-30 02:19:01 EDT', 'denis.roy'), ('jdt-ui-inbox', '2009-08-30 02:19:01 EDT', 'denis.roy')]</t>
  </si>
  <si>
    <t>2002-11-06 06:07:44 EST</t>
  </si>
  <si>
    <t>2002-10-31 12:05:02 EST</t>
  </si>
  <si>
    <t>2002-10-29 16:04 EST</t>
  </si>
  <si>
    <t>2002-10-30 17:06:46 EST</t>
  </si>
  <si>
    <t>[('CREATED', '2002-10-29 16:04 EST'), ('2.1 M4', '2002-10-30 17:06:46 EST', 'philippe_mulet'), ('Philippe_Mulet', '2002-10-30 17:06:46 EST', 'philippe_mulet'), ('P2', '2002-10-30 17:06:46 EST', 'philippe_mulet'), ('jdt-ui-inbox', '2002-10-31 06:24:50 EST', 'philippe_mulet'), ('UI', '2002-10-31 06:24:50 EST', 'philippe_mulet'), ('daniel_megert', '2002-10-31 11:41:35 EST', 'daniel_megert'), ('RESOLVED', '2002-10-31 12:00:06 EST', 'Claude_Knaus'), ('FIXED', '2002-10-31 12:00:06 EST', 'Claude_Knaus'), ('REOPENED', '2002-10-31 12:05:02 EST', 'Claude_Knaus'), ('---', '2002-10-31 12:05:02 EST', 'Claude_Knaus'), ('2.1', '2002-10-31 12:05:02 EST', 'Claude_Knaus'), ('Dirk_Baeumer', '2002-11-01 04:24:59 EST', 'Claude_Knaus'), ('NEW', '2002-11-01 04:24:59 EST', 'Claude_Knaus'), ('RESOLVED', '2002-11-06 06:07:44 EST', 'dirk_baeumer'), ('FIXED', '2002-11-06 06:07:44 EST', 'dirk_baeumer'), ('2.0.2', '2002-11-06 06:07:44 EST', 'dirk_baeumer')]</t>
  </si>
  <si>
    <t>2003-01-07 10:02:30 EST</t>
  </si>
  <si>
    <t>2002-10-30 05:40 EST</t>
  </si>
  <si>
    <t>2002-10-30 06:18:28 EST</t>
  </si>
  <si>
    <t>[('CREATED', '2002-10-30 05:40 EST'), ('move method: incomplete and wrong access level [refactoring]', '2002-10-30 06:18:28 EST', 'akiezun'), ('Adam_Kiezun', '2002-10-30 06:18:40 EST', 'akiezun'), ('ASSIGNED', '2002-12-20 11:16:51 EST', 'akiezun'), ('2.1 M5', '2002-12-20 11:51:57 EST', 'akiezun'), ('RESOLVED', '2003-01-07 10:02:30 EST', 'akiezun'), ('WONTFIX', '2003-01-07 10:02:30 EST', 'akiezun')]</t>
  </si>
  <si>
    <t>2002-11-06 11:06:51 EST</t>
  </si>
  <si>
    <t>2002-11-14 10:03:05 EST</t>
  </si>
  <si>
    <t>2002-10-31 10:06 EST</t>
  </si>
  <si>
    <t>2002-10-31 10:29:49 EST</t>
  </si>
  <si>
    <t>[('CREATED', '2002-10-31 10:06 EST'), ('jdt-ui-inbox', '2002-10-31 10:29:49 EST', 'philippe_mulet'), ('UI', '2002-10-31 10:29:49 EST', 'philippe_mulet'), ('Dirk_Baeumer', '2002-11-01 04:31:18 EST', 'Claude_Knaus'), ('RESOLVED', '2002-11-06 11:06:51 EST', 'dirk_baeumer'), ('FIXED', '2002-11-06 11:06:51 EST', 'dirk_baeumer'), ('2.1 M3', '2002-11-06 11:06:51 EST', 'dirk_baeumer'), ('VERIFIED', '2002-11-14 10:03:05 EST', 'Claude_Knaus')]</t>
  </si>
  <si>
    <t>RESOLVED  DUPLICATE  of bug 21402</t>
  </si>
  <si>
    <t>2004-12-21 12:02:22 EST</t>
  </si>
  <si>
    <t>2002-11-03 08:42 EST</t>
  </si>
  <si>
    <t>2002-11-03 10:13:15 EST</t>
  </si>
  <si>
    <t>[('CREATED', '2002-11-03 08:42 EST'), ('Martin_Aeschlimann', '2002-11-03 10:13:15 EST', 'Claude_Knaus'), ('All', '2002-11-03 10:13:15 EST', 'Claude_Knaus'), ('Surround with try catch produces compile error because it inserted = [quickfix]', '2002-11-03 10:13:15 EST', 'Claude_Knaus'), ('2.1', '2002-11-03 10:13:15 EST', 'Claude_Knaus'), ('Dirk_Baeumer', '2002-11-12 11:33:30 EST', 'martinae'), ('ASSIGNED', '2003-02-14 09:50:47 EST', 'dirk_baeumer'), ('dstalnov', '2004-02-18 06:03:37 EST', 'dstalnov'), ('RESOLVED', '2004-12-21 12:02:22 EST', 'dirk_baeumer'), ('DUPLICATE', '2004-12-21 12:02:22 EST', 'dirk_baeumer')]</t>
  </si>
  <si>
    <t>2002-11-05 05:31:35 EST</t>
  </si>
  <si>
    <t>2002-11-14 10:02:14 EST</t>
  </si>
  <si>
    <t>2002-11-04 14:30 EST</t>
  </si>
  <si>
    <t>2002-11-05 05:09:31 EST</t>
  </si>
  <si>
    <t>[('CREATED', '2002-11-04 14:30 EST'), ('Dirk_Baeumer', '2002-11-05 05:09:31 EST', 'daniel_megert'), ('major', '2002-11-05 05:09:31 EST', 'daniel_megert'), ('P2', '2002-11-05 05:09:31 EST', 'daniel_megert'), ('RESOLVED', '2002-11-05 05:31:35 EST', 'daniel_megert'), ('FIXED', '2002-11-05 05:31:35 EST', 'daniel_megert'), ('2.1 M3', '2002-11-05 05:31:35 EST', 'daniel_megert'), ('VERIFIED', '2002-11-14 10:02:14 EST', 'Claude_Knaus')]</t>
  </si>
  <si>
    <t>RESOLVED  DUPLICATE  of bug 45179</t>
  </si>
  <si>
    <t>2003-12-09 05:14:05 EST</t>
  </si>
  <si>
    <t>2003-12-09 05:13:49 EST</t>
  </si>
  <si>
    <t>2002-11-06 17:16 EST</t>
  </si>
  <si>
    <t>2002-11-07 07:59:47 EST</t>
  </si>
  <si>
    <t>[('CREATED', '2002-11-06 17:16 EST'), ('jdt-ui-inbox', '2002-11-07 07:59:47 EST', 'philippe_mulet'), ('UI', '2002-11-07 07:59:47 EST', 'philippe_mulet'), ('Adam_Kiezun', '2002-11-07 10:53:41 EST', 'daniel_megert'), ('enhancement', '2002-11-07 10:53:41 EST', 'daniel_megert'), ('RESOLVED', '2003-02-20 09:59:47 EST', 'akiezun'), ('LATER', '2003-02-20 09:59:47 EST', 'akiezun'), ('REOPENED', '2003-04-25 11:32:09 EDT', 'akiezun'), ('---', '2003-04-25 11:32:09 EDT', 'akiezun'), ('RESOLVED', '2003-04-25 11:32:24 EDT', 'akiezun'), ('DUPLICATE', '2003-04-25 11:32:24 EDT', 'akiezun'), ('REOPENED', '2003-12-09 05:13:49 EST', 'markus.kell.r'), ('---', '2003-12-09 05:13:49 EST', 'markus.kell.r'), ('RESOLVED', '2003-12-09 05:14:05 EST', 'markus.kell.r'), ('DUPLICATE', '2003-12-09 05:14:05 EST', 'markus.kell.r')]</t>
  </si>
  <si>
    <t>2003-04-25 12:33:53 EDT</t>
  </si>
  <si>
    <t>2003-04-25 12:33:37 EDT</t>
  </si>
  <si>
    <t>2002-11-08 14:42 EST</t>
  </si>
  <si>
    <t>2002-11-11 04:25:46 EST</t>
  </si>
  <si>
    <t>[('CREATED', '2002-11-08 14:42 EST'), ('Adam_Kiezun', '2002-11-11 04:25:46 EST', 'daniel_megert'), ('RESOLVED', '2002-12-20 11:08:41 EST', 'akiezun'), ('LATER', '2002-12-20 11:08:41 EST', 'akiezun'), ('CLOSED', '2003-04-25 12:33:10 EDT', 'akiezun'), ('Refactoring a method, after partial hand-refactor causes issues in list, diff [refactoring]', '2003-04-25 12:33:10 EDT', 'akiezun'), ('---', '2003-04-25 12:33:37 EDT', 'akiezun'), ('REOPENED', '2003-04-25 12:33:37 EDT', 'akiezun'), ('RESOLVED', '2003-04-25 12:33:53 EDT', 'akiezun'), ('WONTFIX', '2003-04-25 12:33:53 EDT', 'akiezun')]</t>
  </si>
  <si>
    <t>25443 (view as bug list)</t>
  </si>
  <si>
    <t>2002-11-11 08:37:31 EST</t>
  </si>
  <si>
    <t>2002-11-14 09:50:49 EST</t>
  </si>
  <si>
    <t>2002-11-08 14:44 EST</t>
  </si>
  <si>
    <t>2002-11-08 18:49:50 EST</t>
  </si>
  <si>
    <t>[('CREATED', '2002-11-08 14:44 EST'), ('jdt-ui-inbox', '2002-11-08 18:49:50 EST', 'philippe_mulet'), ('UI', '2002-11-08 18:49:50 EST', 'philippe_mulet'), ('Adam_Kiezun', '2002-11-11 04:46:03 EST', 'daniel_megert'), ('blocker', '2002-11-11 04:46:03 EST', 'daniel_megert'), ('P1', '2002-11-11 04:46:03 EST', 'daniel_megert'), ('major', '2002-11-11 08:37:31 EST', 'akiezun'), ('RESOLVED', '2002-11-11 08:37:31 EST', 'akiezun'), ('FIXED', '2002-11-11 08:37:31 EST', 'akiezun'), ('2.1 M3', '2002-11-11 08:37:31 EST', 'akiezun'), ('Martin_Aeschlimann', '2002-11-11 09:05:57 EST', 'akiezun'), ('VERIFIED', '2002-11-14 09:50:49 EST', 'Claude_Knaus')]</t>
  </si>
  <si>
    <t>2004-08-13 13:39:43 EDT</t>
  </si>
  <si>
    <t>2004-08-13 13:39:10 EDT</t>
  </si>
  <si>
    <t>2002-11-11 09:16 EST</t>
  </si>
  <si>
    <t>2002-11-11 09:36:13 EST</t>
  </si>
  <si>
    <t>[('CREATED', '2002-11-11 09:16 EST'), ('jdt-ui-inbox', '2002-11-11 09:36:13 EST', 'akiezun'), ('UI', '2002-11-11 09:36:13 EST', 'akiezun'), ('Enhanced Rename/Refactoring [refactoring]', '2002-11-11 09:36:13 EST', 'akiezun'), ('Dirk_Baeumer', '2002-11-13 06:28:28 EST', 'erich_gamma'), ('adam_kiezun', '2002-11-13 06:28:28 EST', 'erich_gamma'), ('RESOLVED', '2003-01-23 10:06:42 EST', 'dirk_baeumer'), ('LATER', '2003-01-23 10:06:42 EST', 'dirk_baeumer'), ('REOPENED', '2004-08-13 13:39:10 EDT', 'dirk_baeumer'), ('---', '2004-08-13 13:39:10 EDT', 'dirk_baeumer'), ('RESOLVED', '2004-08-13 13:39:43 EDT', 'dirk_baeumer'), ('WORKSFORME', '2004-08-13 13:39:43 EDT', 'dirk_baeumer')]</t>
  </si>
  <si>
    <t>2002-11-11 18:11:39 EST</t>
  </si>
  <si>
    <t>2002-11-11 16:45 EST</t>
  </si>
  <si>
    <t>2002-11-11 17:15:18 EST</t>
  </si>
  <si>
    <t>[('CREATED', '2002-11-11 16:45 EST'), ('jdt-ui-inbox', '2002-11-11 17:15:18 EST', 'philippe_mulet'), ('UI', '2002-11-11 17:15:18 EST', 'philippe_mulet'), ('RESOLVED', '2002-11-11 18:11:39 EST', 'erich_gamma'), ('WORKSFORME', '2002-11-11 18:11:39 EST', 'erich_gamma')]</t>
  </si>
  <si>
    <t>2002-11-18 13:08:07 EST</t>
  </si>
  <si>
    <t>2002-11-11 19:02 EST</t>
  </si>
  <si>
    <t>2002-11-11 19:02:22 EST</t>
  </si>
  <si>
    <t>[('CREATED', '2002-11-11 19:02 EST'), ('performance', '2002-11-11 19:02:22 EST', 'jeffmcaffer'), ('Martin_Aeschlimann', '2002-11-13 06:23:19 EST', 'erich_gamma'), ('P2', '2002-11-13 06:23:19 EST', 'erich_gamma'), ('RESOLVED', '2002-11-18 13:08:07 EST', 'martinae'), ('FIXED', '2002-11-18 13:08:07 EST', 'martinae'), ('2.1 M4', '2002-11-18 13:08:07 EST', 'martinae')]</t>
  </si>
  <si>
    <t>2002-11-12 09:05:15 EST</t>
  </si>
  <si>
    <t>2002-11-12 08:09 EST</t>
  </si>
  <si>
    <t>2002-11-12 09:01:31 EST</t>
  </si>
  <si>
    <t>2002-11-12 09:05:26 EST</t>
  </si>
  <si>
    <t>[('CREATED', '2002-11-12 08:09 EST'), ('jdt-ui-inbox', '2002-11-12 09:01:31 EST', 'philippe_mulet'), ('UI', '2002-11-12 09:01:31 EST', 'philippe_mulet'), ('RESOLVED', '2002-11-12 09:05:15 EST', 'akiezun'), ('WORKSFORME', '2002-11-12 09:05:15 EST', 'akiezun'), ('Adam_Kiezun', '2002-11-12 09:05:26 EST', 'akiezun')]</t>
  </si>
  <si>
    <t>26219 (view as bug list)</t>
  </si>
  <si>
    <t>2003-02-06 10:57:52 EST</t>
  </si>
  <si>
    <t>2002-11-12 10:36 EST</t>
  </si>
  <si>
    <t>2002-11-13 06:12:53 EST</t>
  </si>
  <si>
    <t>[('CREATED', '2002-11-12 10:36 EST'), ('nick_edgar', '2002-11-13 06:12:53 EST', 'erich_gamma'), ('erich_gamma', '2002-11-13 06:13:08 EST', 'erich_gamma'), ('Chris_McLaren', '2002-11-13 09:06:52 EST', 'n.a.edgar'), ('Eduardo_Pereira', '2002-11-25 04:12:25 EST', 'dirk_baeumer'), ('kai-uwe_maetzel', '2002-11-25 05:54:08 EST', 'erich_gamma'), ('Dirk_Baeumer', '2002-11-25 05:54:08 EST', 'erich_gamma'), ('2.1 M4', '2002-11-25 05:54:08 EST', 'erich_gamma'), ('Daniel_Megert', '2002-11-25 09:55:32 EST', 'dirk_baeumer'), ('Kai-Uwe_Maetzel', '2002-11-26 05:07:46 EST', 'daniel_megert'), ('andre_weinand', '2002-11-26 05:19:44 EST', 'erich_gamma'), ('RESOLVED', '2003-02-06 10:57:52 EST', 'kai-uwe_maetzel'), ('FIXED', '2003-02-06 10:57:52 EST', 'kai-uwe_maetzel')]</t>
  </si>
  <si>
    <t>26875 63864 67962 79069 151200 160209 198740 (view as bug list)</t>
  </si>
  <si>
    <t>246388</t>
  </si>
  <si>
    <t>2009-03-09 15:24:10 EDT</t>
  </si>
  <si>
    <t>2008-04-22 11:47:47 EDT</t>
  </si>
  <si>
    <t>2002-11-12 21:32 EST</t>
  </si>
  <si>
    <t>2002-11-20 08:46:44 EST</t>
  </si>
  <si>
    <t>2009-03-09 15:24:52 EDT</t>
  </si>
  <si>
    <t>[('CREATED', '2002-11-12 21:32 EST'), ('RESOLVED', '2002-11-20 08:46:44 EST', 'dirk_baeumer'), ('LATER', '2002-11-20 08:46:44 EST', 'dirk_baeumer'), ('toString() builder wizard [code manipulation]', '2003-04-01 12:00:24 EST', 'dirk_baeumer'), ('nic.banister', '2003-04-01 12:18:38 EST', 'dirk_baeumer'), ('kenny', '2003-04-01 12:34:53 EST', 'kenny'), ('gabriel.klein', '2004-06-21 03:44:51 EDT', 'dirk_baeumer'), ('juergen', '2004-11-19 13:44:26 EST', 'markus.kell.r'), ('dominik.goepel', '2006-03-14 15:44:07 EST', 'dominik.goepel'), ('utilisateur_182', '2006-07-20 11:58:16 EDT', 'martinae'), ('[code manipulation] [dcr] toString() builder wizard', '2006-07-20 11:58:31 EDT', 'martinae'), ('tim.adler', '2007-08-03 03:12:13 EDT', 'benno.baumgartner'), ('ruf10', '2007-08-03 03:13:39 EDT', 'benno.baumgartner'), ('qetoom', '2007-08-03 03:14:28 EDT', 'benno.baumgartner'), ('benno_baumgartner', '2007-08-03 03:14:46 EDT', 'benno.baumgartner'), ('private', '2007-09-22 07:03:01 EDT', 'private'), ('helpwanted', '2007-09-24 04:17:51 EDT', 'benno.baumgartner'), ('mike.haller', '2008-04-15 11:25:00 EDT', 'mike.haller'), ('martin_aeschlimann', '2008-04-22 11:47:47 EDT', 'martinae'), ('REOPENED', '2008-04-22 11:47:47 EDT', 'martinae'), ('P4', '2008-04-22 11:47:47 EDT', 'martinae'), ('---', '2008-04-22 11:47:47 EDT', 'martinae'), ('mateusz.matela', '2008-04-22 16:52:47 EDT', 'mateusz.matela'), ('bugs.eclipse.org', '2008-04-24 02:31:15 EDT', 'bugs.eclipse.org'), ('jacek.pospychala', '2008-05-15 08:36:10 EDT', 'jacek.pospychala'), ('1', '2008-06-21 07:37:27 EDT', 'mateusz.matela'), ('1', '2008-06-30 12:03:26 EDT', 'mateusz.matela'), ('1', '2008-07-07 11:01:47 EDT', 'mateusz.matela'), ('caniszczyk', '2008-07-07 12:28:16 EDT', 'caniszczyk'), (nan, '2008-07-08 02:05:29 EDT', 'utilisateur_182'), ('daniel_megert', '2008-07-15 06:35:45 EDT', 'daniel_megert'), ('mateusz.matela', '2008-07-15 06:35:45 EDT', 'daniel_megert'), ('NEW', '2008-07-15 06:35:45 EDT', 'daniel_megert'), ('1', '2008-07-17 07:52:58 EDT', 'mateusz.matela'), ('1', '2008-07-30 08:06:57 EDT', 'mateusz.matela'), ('markus_keller', '2008-08-04 06:18:01 EDT', 'daniel_megert'), ('review?(markus_keller)', '2008-08-04 06:18:01 EDT', 'daniel_megert'), ('1', '2008-08-07 09:14:51 EDT', 'mateusz.matela'), ('review?', '2008-08-07 09:14:51 EDT', 'mateusz.matela'), ('1', '2008-08-07 09:17:08 EDT', 'mateusz.matela'), (nan, '2008-08-07 09:20:35 EDT', 'mateusz.matela'), ('1', '2008-08-12 07:00:36 EDT', 'mateusz.matela'), ('3.5', '2008-08-29 06:58:27 EDT', 'markus.kell.r'), (nan, '2008-09-02 06:31:49 EDT', 'r.krupinski'), ('246388', '2008-09-05 10:55:33 EDT', 'mateusz.matela'), ('1', '2008-09-15 09:22:27 EDT', 'mateusz.matela'), ('1', '2008-09-15 09:22:27 EDT', 'mateusz.matela'), ('1', '2008-09-15 09:22:27 EDT', 'mateusz.matela'), ('ASSIGNED', '2008-09-23 13:45:33 EDT', 'markus.kell.r'), ('remy.suen', '2008-11-11 03:24:35 EST', 'remy.suen'), ('3.5 M5', '2008-11-11 07:09:15 EST', 'daniel_megert'), ('1', '2008-11-27 05:05:12 EST', 'mateusz.matela'), ('cernst', '2008-12-08 09:25:38 EST', 'cernst'), ('mail', '2008-12-28 06:24:54 EST', 'mail'), ('3.5 M6', '2009-01-20 12:53:36 EST', 'markus.kell.r'), ('RESOLVED', '2009-03-09 15:24:10 EDT', 'markus.kell.r'), ('FIXED', '2009-03-09 15:24:10 EDT', 'markus.kell.r'), ('review+', '2009-03-09 15:24:32 EDT', 'markus.kell.r'), ('iplog+', '2009-03-09 15:24:52 EDT', 'markus.kell.r')]</t>
  </si>
  <si>
    <t>2003-01-27 07:39:35 EST</t>
  </si>
  <si>
    <t>2002-11-12 22:35 EST</t>
  </si>
  <si>
    <t>2002-11-15 10:38:51 EST</t>
  </si>
  <si>
    <t>[('CREATED', '2002-11-12 22:35 EST'), ('Adam_Kiezun', '2002-11-15 10:38:51 EST', 'akiezun'), ('Adam_Kiezun', '2002-11-16 19:04:19 EST', 'erich_gamma'), ('P2', '2002-11-16 19:04:19 EST', 'erich_gamma'), ('critical', '2002-11-28 12:25:52 EST', 'daniel_megert'), ('P1', '2002-11-28 12:25:52 EST', 'daniel_megert'), ('2.1 M4', '2002-11-28 12:27:15 EST', 'daniel_megert'), ('ASSIGNED', '2002-11-28 12:45:38 EST', 'akiezun'), ('philippe_mulet', '2003-01-14 04:43:57 EST', 'erich_gamma'), ('major', '2003-01-14 04:43:57 EST', 'erich_gamma'), ('P2', '2003-01-14 04:43:57 EST', 'erich_gamma'), ('RESOLVED', '2003-01-27 07:39:35 EST', 'akiezun'), ('WORKSFORME', '2003-01-27 07:39:35 EST', 'akiezun'), ('2.1 M5', '2003-01-27 07:39:35 EST', 'akiezun')]</t>
  </si>
  <si>
    <t>2002-11-20 12:16:47 EST</t>
  </si>
  <si>
    <t>2002-11-13 09:47 EST</t>
  </si>
  <si>
    <t>2002-11-16 19:29:16 EST</t>
  </si>
  <si>
    <t>[('CREATED', '2002-11-13 09:47 EST'), ('Dirk_Baeumer', '2002-11-16 19:29:16 EST', 'erich_gamma'), ('major', '2002-11-16 19:29:16 EST', 'erich_gamma'), ('P2', '2002-11-16 19:29:16 EST', 'erich_gamma'), ('RESOLVED', '2002-11-20 12:16:47 EST', 'dirk_baeumer'), ('FIXED', '2002-11-20 12:16:47 EST', 'dirk_baeumer')]</t>
  </si>
  <si>
    <t>11706 16532 (view as bug list)</t>
  </si>
  <si>
    <t>2003-01-06 13:13:29 EST</t>
  </si>
  <si>
    <t>2002-11-13 15:30 EST</t>
  </si>
  <si>
    <t>2002-11-13 15:30:35 EST</t>
  </si>
  <si>
    <t>[('CREATED', '2002-11-13 15:30 EST'), ('accessibility', '2002-11-13 15:30:35 EST', 'Tod_Creasey'), ('Adam_Kiezun', '2002-11-16 17:22:21 EST', 'erich_gamma'), ('Dirk_Baeumer', '2003-01-06 13:13:16 EST', 'dirk_baeumer'), ('RESOLVED', '2003-01-06 13:13:29 EST', 'dirk_baeumer'), ('FIXED', '2003-01-06 13:13:29 EST', 'dirk_baeumer'), ('2.1 M5', '2003-01-06 13:13:29 EST', 'dirk_baeumer')]</t>
  </si>
  <si>
    <t>2002-11-18 09:14:33 EST</t>
  </si>
  <si>
    <t>2002-11-13 19:55 EST</t>
  </si>
  <si>
    <t>2002-11-14 05:37:00 EST</t>
  </si>
  <si>
    <t>[('CREATED', '2002-11-13 19:55 EST'), ('jdt-ui-inbox', '2002-11-14 05:37:00 EST', 'philippe_mulet'), ('UI', '2002-11-14 05:37:00 EST', 'philippe_mulet'), ('Adam_Kiezun', '2002-11-16 18:04:22 EST', 'erich_gamma'), ('major', '2002-11-16 18:04:22 EST', 'erich_gamma'), ('P2', '2002-11-16 18:04:22 EST', 'erich_gamma'), ('Editor on method must be opened in order to delete it from the Members context menu. [refactoring]', '2002-11-16 18:04:22 EST', 'erich_gamma'), ('ASSIGNED', '2002-11-18 06:49:05 EST', 'akiezun'), ('RESOLVED', '2002-11-18 09:14:33 EST', 'akiezun'), ('FIXED', '2002-11-18 09:14:33 EST', 'akiezun'), ('2.1 M4', '2002-11-18 09:14:33 EST', 'akiezun')]</t>
  </si>
  <si>
    <t>2002-12-20 05:18:24 EST</t>
  </si>
  <si>
    <t>2002-11-14 04:50 EST</t>
  </si>
  <si>
    <t>2002-11-16 18:12:49 EST</t>
  </si>
  <si>
    <t>[('CREATED', '2002-11-14 04:50 EST'), ('Adam_Kiezun', '2002-11-16 18:12:49 EST', 'erich_gamma'), ('2.1 M5', '2002-12-18 06:48:23 EST', 'akiezun'), ('RESOLVED', '2002-12-20 05:18:24 EST', 'akiezun'), ('FIXED', '2002-12-20 05:18:24 EST', 'akiezun')]</t>
  </si>
  <si>
    <t>2003-03-06 06:09:32 EST</t>
  </si>
  <si>
    <t>2002-11-14 05:24 EST</t>
  </si>
  <si>
    <t>2002-11-16 18:21:11 EST</t>
  </si>
  <si>
    <t>[('CREATED', '2002-11-14 05:24 EST'), ('Dirk_Baeumer', '2002-11-16 18:21:11 EST', 'erich_gamma'), ('inline method - breaks code when inlining virtual methods [refactoring]', '2002-11-16 18:21:11 EST', 'erich_gamma'), ('RESOLVED', '2003-03-06 06:09:32 EST', 'dirk_baeumer'), ('P2', '2003-03-06 06:09:32 EST', 'dirk_baeumer'), ('FIXED', '2003-03-06 06:09:32 EST', 'dirk_baeumer'), ('2.1 RC2', '2003-03-06 06:09:32 EST', 'dirk_baeumer')]</t>
  </si>
  <si>
    <t>26644 (view as bug list)</t>
  </si>
  <si>
    <t>2002-11-15 10:46:50 EST</t>
  </si>
  <si>
    <t>2002-11-14 05:43 EST</t>
  </si>
  <si>
    <t>2002-11-14 05:48:40 EST</t>
  </si>
  <si>
    <t>2002-11-19 04:55:10 EST</t>
  </si>
  <si>
    <t>[('CREATED', '2002-11-14 05:43 EST'), ('Adam_Kiezun', '2002-11-14 05:48:40 EST', 'akiezun'), ('jdt-ui-inbox', '2002-11-14 05:49:34 EST', 'akiezun'), ('UI', '2002-11-14 05:49:34 EST', 'akiezun'), ('ASSIGNED', '2002-11-14 06:20:02 EST', 'akiezun'), ('Adam_Kiezun', '2002-11-14 06:21:02 EST', 'akiezun'), ('NEW', '2002-11-14 06:21:02 EST', 'akiezun'), ('ASSIGNED', '2002-11-15 10:24:39 EST', 'akiezun'), ('RESOLVED', '2002-11-15 10:46:50 EST', 'akiezun'), ('FIXED', '2002-11-15 10:46:50 EST', 'akiezun'), ('2.1 M4', '2002-11-15 10:46:50 EST', 'akiezun'), ('omry_y', '2002-11-19 04:55:10 EST', 'akiezun')]</t>
  </si>
  <si>
    <t>26264 (view as bug list)</t>
  </si>
  <si>
    <t>2003-03-23 06:47:10 EST</t>
  </si>
  <si>
    <t>2009-08-30 02:12:45 EDT</t>
  </si>
  <si>
    <t>2002-11-14 06:39 EST</t>
  </si>
  <si>
    <t>2002-11-14 09:48:49 EST</t>
  </si>
  <si>
    <t>[('CREATED', '2002-11-14 06:39 EST'), ('Rory_Lucyshyn-Wright', '2002-11-14 09:48:49 EST', 'akiezun'), ('jdt-ui-inbox', '2003-03-14 04:54:51 EST', 'martinae'), ('RESOLVED', '2003-03-23 06:47:10 EST', 'dirk_baeumer'), ('LATER', '2003-03-23 06:47:10 EST', 'dirk_baeumer'), ('inline constant - should work for non-static final fields too [refactoring]', '2003-03-23 06:47:10 EST', 'dirk_baeumer'), ('WONTFIX', '2009-08-30 02:12:45 EDT', 'denis.roy')]</t>
  </si>
  <si>
    <t>2002-11-15 08:12:23 EST</t>
  </si>
  <si>
    <t>2002-11-14 08:24 EST</t>
  </si>
  <si>
    <t>2002-11-14 08:35:29 EST</t>
  </si>
  <si>
    <t>[('CREATED', '2002-11-14 08:24 EST'), ('Adam_Kiezun', '2002-11-14 08:35:29 EST', 'akiezun'), ('ASSIGNED', '2002-11-15 07:55:06 EST', 'akiezun'), ('RESOLVED', '2002-11-15 08:12:23 EST', 'akiezun'), ('FIXED', '2002-11-15 08:12:23 EST', 'akiezun'), ('2.1 M4', '2002-11-15 08:12:23 EST', 'akiezun')]</t>
  </si>
  <si>
    <t>2002-12-20 10:18:47 EST</t>
  </si>
  <si>
    <t>2002-11-14 08:51 EST</t>
  </si>
  <si>
    <t>2002-11-14 09:22:23 EST</t>
  </si>
  <si>
    <t>[('CREATED', '2002-11-14 08:51 EST'), ('Adam_Kiezun', '2002-11-14 09:22:23 EST', 'akiezun'), ('ASSIGNED', '2002-12-18 07:40:25 EST', 'akiezun'), ('2.1 M5', '2002-12-18 07:40:25 EST', 'akiezun'), ('RESOLVED', '2002-12-20 10:18:47 EST', 'akiezun'), ('FIXED', '2002-12-20 10:18:47 EST', 'akiezun')]</t>
  </si>
  <si>
    <t>2003-04-25 12:37:53 EDT</t>
  </si>
  <si>
    <t>2009-08-30 02:16:02 EDT</t>
  </si>
  <si>
    <t>2003-04-25 12:34:33 EDT</t>
  </si>
  <si>
    <t>2002-11-14 09:39 EST</t>
  </si>
  <si>
    <t>2002-11-16 18:56:51 EST</t>
  </si>
  <si>
    <t>[('CREATED', '2002-11-14 09:39 EST'), ('Adam_Kiezun', '2002-11-16 18:56:51 EST', 'erich_gamma'), ('Promote local variable to field: resultant shadowing can change behaviour [refactoring]', '2002-11-16 18:56:51 EST', 'erich_gamma'), ('RESOLVED', '2002-12-18 07:40:54 EST', 'akiezun'), ('LATER', '2002-12-18 07:40:54 EST', 'akiezun'), ('REOPENED', '2003-04-25 12:34:33 EDT', 'akiezun'), ('---', '2003-04-25 12:34:33 EDT', 'akiezun'), ('adam_kiezun', '2003-04-25 12:37:08 EDT', 'akiezun'), ('jdt-ui-inbox', '2003-04-25 12:37:08 EDT', 'akiezun'), ('NEW', '2003-04-25 12:37:08 EDT', 'akiezun'), ('RESOLVED', '2003-04-25 12:37:53 EDT', 'akiezun'), ('P4', '2003-04-25 12:37:53 EDT', 'akiezun'), ('LATER', '2003-04-25 12:37:53 EDT', 'akiezun'), ('WONTFIX', '2009-08-30 02:16:02 EDT', 'denis.roy')]</t>
  </si>
  <si>
    <t>26345 (view as bug list)</t>
  </si>
  <si>
    <t>2002-12-19 12:36:41 EST</t>
  </si>
  <si>
    <t>2002-11-14 09:43 EST</t>
  </si>
  <si>
    <t>2002-11-14 09:53:23 EST</t>
  </si>
  <si>
    <t>[('CREATED', '2002-11-14 09:43 EST'), ('Adam_Kiezun', '2002-11-14 09:53:23 EST', 'akiezun'), ('ASSIGNED', '2002-12-18 07:42:08 EST', 'akiezun'), ('2.1 M5', '2002-12-18 07:42:08 EST', 'akiezun'), ('RESOLVED', '2002-12-19 12:36:41 EST', 'akiezun'), ('WONTFIX', '2002-12-19 12:36:41 EST', 'akiezun')]</t>
  </si>
  <si>
    <t>2003-02-04 13:35:13 EST</t>
  </si>
  <si>
    <t>2002-11-14 09:57 EST</t>
  </si>
  <si>
    <t>2002-11-16 19:07:19 EST</t>
  </si>
  <si>
    <t>[('CREATED', '2002-11-14 09:57 EST'), ('Martin_Aeschlimann', '2002-11-16 19:07:19 EST', 'erich_gamma'), ('enhancement', '2002-11-16 19:07:19 EST', 'erich_gamma'), ('RESOLVED', '2003-02-04 13:35:13 EST', 'martinae'), ('WORKSFORME', '2003-02-04 13:35:13 EST', 'martinae')]</t>
  </si>
  <si>
    <t>2002-12-23 09:20:05 EST</t>
  </si>
  <si>
    <t>2002-11-14 10:06 EST</t>
  </si>
  <si>
    <t>2002-11-16 19:08:49 EST</t>
  </si>
  <si>
    <t>[('CREATED', '2002-11-14 10:06 EST'), ('Dirk_Baeumer', '2002-11-16 19:08:49 EST', 'erich_gamma'), ('Inline Method: attempts to inline any constructor -- just deletes constructor[refactoring]', '2002-11-16 19:08:49 EST', 'erich_gamma'), ('RESOLVED', '2002-12-23 09:20:05 EST', 'dirk_baeumer'), ('FIXED', '2002-12-23 09:20:05 EST', 'dirk_baeumer'), ('2.1 M5', '2002-12-23 09:20:05 EST', 'dirk_baeumer')]</t>
  </si>
  <si>
    <t>2002-11-15 07:47:39 EST</t>
  </si>
  <si>
    <t>2002-11-14 10:33 EST</t>
  </si>
  <si>
    <t>2002-11-14 10:50:24 EST</t>
  </si>
  <si>
    <t>[('CREATED', '2002-11-14 10:33 EST'), ('Adam_Kiezun', '2002-11-14 10:50:24 EST', 'akiezun'), ('RESOLVED', '2002-11-15 07:47:39 EST', 'akiezun'), ('FIXED', '2002-11-15 07:47:39 EST', 'akiezun'), ('2.1 M4', '2002-11-15 07:47:39 EST', 'akiezun')]</t>
  </si>
  <si>
    <t>2003-02-13 10:40:54 EST</t>
  </si>
  <si>
    <t>2002-11-14 10:39 EST</t>
  </si>
  <si>
    <t>2002-11-16 17:15:33 EST</t>
  </si>
  <si>
    <t>[('CREATED', '2002-11-14 10:39 EST'), ('Dirk_Baeumer', '2002-11-16 17:15:33 EST', 'erich_gamma'), ('P2', '2002-11-16 17:15:33 EST', 'erich_gamma'), ('2.1 M5', '2003-02-13 10:40:54 EST', 'dirk_baeumer'), ('RESOLVED', '2003-02-13 10:40:54 EST', 'dirk_baeumer'), ('FIXED', '2003-02-13 10:40:54 EST', 'dirk_baeumer')]</t>
  </si>
  <si>
    <t>2003-04-25 05:00:31 EDT</t>
  </si>
  <si>
    <t>2003-04-25 05:00:12 EDT</t>
  </si>
  <si>
    <t>2002-11-14 11:04 EST</t>
  </si>
  <si>
    <t>2002-11-16 17:13:38 EST</t>
  </si>
  <si>
    <t>[('CREATED', '2002-11-14 11:04 EST'), ('Dirk_Baeumer', '2002-11-16 17:13:38 EST', 'erich_gamma'), ('Inline Method: suggestion re. greyed-out and checked "remove declaration" checkbox [refactoring]', '2002-11-16 17:13:38 EST', 'erich_gamma'), ('jdt-ui-inbox', '2002-11-20 11:37:39 EST', 'dirk_baeumer'), ('RESOLVED', '2002-11-20 11:38:04 EST', 'dirk_baeumer'), ('LATER', '2002-11-20 11:38:04 EST', 'dirk_baeumer'), ('REOPENED', '2003-04-25 05:00:12 EDT', 'dirk_baeumer'), ('---', '2003-04-25 05:00:12 EDT', 'dirk_baeumer'), ('RESOLVED', '2003-04-25 05:00:31 EDT', 'dirk_baeumer'), ('WONTFIX', '2003-04-25 05:00:31 EDT', 'dirk_baeumer')]</t>
  </si>
  <si>
    <t>316372 (view as bug list)</t>
  </si>
  <si>
    <t>2003-04-25 12:40:50 EDT</t>
  </si>
  <si>
    <t>2020-02-04 17:02:52 EST</t>
  </si>
  <si>
    <t>2010-06-10 08:20:27 EDT</t>
  </si>
  <si>
    <t>2002-11-14 12:31 EST</t>
  </si>
  <si>
    <t>2002-11-14 13:00:23 EST</t>
  </si>
  <si>
    <t>[('CREATED', '2002-11-14 12:31 EST'), ('Adam_Kiezun', '2002-11-14 13:00:23 EST', 'akiezun'), ('RESOLVED', '2002-12-18 07:42:23 EST', 'akiezun'), ('LATER', '2002-12-18 07:42:23 EST', 'akiezun'), ('REOPENED', '2003-04-25 12:38:24 EDT', 'akiezun'), ('---', '2003-04-25 12:38:24 EDT', 'akiezun'), ('Change Method Signature: introduction of parameter may shadow existing declaration and change behaviour[refactoring]', '2003-04-25 12:38:49 EDT', 'akiezun'), ('adam_kiezun', '2003-04-25 12:38:49 EDT', 'akiezun'), ('jdt-ui-inbox', '2003-04-25 12:38:49 EDT', 'akiezun'), ('NEW', '2003-04-25 12:38:49 EDT', 'akiezun'), ('RESOLVED', '2003-04-25 12:40:50 EDT', 'akiezun'), ('LATER', '2003-04-25 12:40:50 EDT', 'akiezun'), ('WONTFIX', '2009-08-30 02:21:17 EDT', 'denis.roy'), ('REOPENED', '2010-06-10 08:20:27 EDT', 'daniel_megert'), ('daniel_megert', '2010-06-10 08:20:27 EDT', 'daniel_megert'), ('---', '2010-06-10 08:20:27 EDT', 'daniel_megert'), ('ASSIGNED', '2010-06-10 08:20:39 EDT', 'daniel_megert'), ('All', '2010-06-10 08:20:39 EDT', 'daniel_megert'), ('All', '2010-06-10 08:20:39 EDT', 'daniel_megert'), ('major', '2010-06-10 08:20:39 EDT', 'daniel_megert'), ('[change method signature] introduction of parameter may shadow existing declaration and change behavior', '2010-06-10 08:21:08 EDT', 'daniel_megert'), ('michael.fairbank', '2010-06-10 08:21:14 EDT', 'daniel_megert'), ('CLOSED', '2020-02-04 17:02:52 EST', 'genie'), ('WONTFIX', '2020-02-04 17:02:52 EST', 'genie'), ('stalebug', '2020-02-04 17:02:52 EST', 'genie')]</t>
  </si>
  <si>
    <t>2002-11-18 09:21:14 EST</t>
  </si>
  <si>
    <t>2002-11-14 13:38 EST</t>
  </si>
  <si>
    <t>2002-11-16 16:42:26 EST</t>
  </si>
  <si>
    <t>[('CREATED', '2002-11-14 13:38 EST'), ('Exception renaming source folder [refactoring]', '2002-11-16 16:42:26 EST', 'erich_gamma'), ('dirk_baeumer', '2002-11-16 16:42:26 EST', 'erich_gamma'), ('Adam_Kiezun', '2002-11-16 16:42:26 EST', 'erich_gamma'), ('major', '2002-11-16 16:42:26 EST', 'erich_gamma'), ('P2', '2002-11-16 16:42:26 EST', 'erich_gamma'), ('RESOLVED', '2002-11-18 09:21:14 EST', 'akiezun'), ('FIXED', '2002-11-18 09:21:14 EST', 'akiezun'), ('2.1 M4', '2002-11-18 09:21:14 EST', 'akiezun')]</t>
  </si>
  <si>
    <t>2002-11-18 09:30:46 EST</t>
  </si>
  <si>
    <t>2002-11-15 05:07 EST</t>
  </si>
  <si>
    <t>2002-11-15 07:44:47 EST</t>
  </si>
  <si>
    <t>[('CREATED', '2002-11-15 05:07 EST'), ('Adam_Kiezun', '2002-11-15 07:44:47 EST', 'akiezun'), ('RESOLVED', '2002-11-18 09:30:46 EST', 'akiezun'), ('FIXED', '2002-11-18 09:30:46 EST', 'akiezun'), ('2.1 M4', '2002-11-18 09:30:46 EST', 'akiezun')]</t>
  </si>
  <si>
    <t>2002-12-23 09:04:25 EST</t>
  </si>
  <si>
    <t>2002-11-15 08:29 EST</t>
  </si>
  <si>
    <t>[('CREATED', '2002-11-15 08:29 EST'), ('RESOLVED', '2002-12-23 09:04:25 EST', 'dirk_baeumer'), ('FIXED', '2002-12-23 09:04:25 EST', 'dirk_baeumer'), ('2.1 M5', '2002-12-23 09:04:25 EST', 'dirk_baeumer')]</t>
  </si>
  <si>
    <t>2002-11-20 11:20:45 EST</t>
  </si>
  <si>
    <t>2002-11-15 12:24 EST</t>
  </si>
  <si>
    <t>2002-11-16 16:16:21 EST</t>
  </si>
  <si>
    <t>[('CREATED', '2002-11-15 12:24 EST'), ('Adam_Kiezun', '2002-11-16 16:16:21 EST', 'erich_gamma'), ('No feedback when deleting empty package which is not a leaf [refactoring]', '2002-11-16 16:16:21 EST', 'erich_gamma'), ('ASSIGNED', '2002-11-18 10:10:44 EST', 'akiezun'), ('RESOLVED', '2002-11-20 11:20:45 EST', 'akiezun'), ('FIXED', '2002-11-20 11:20:45 EST', 'akiezun'), ('2.1 M4', '2002-11-20 11:20:45 EST', 'akiezun')]</t>
  </si>
  <si>
    <t>2002-12-23 06:20:53 EST</t>
  </si>
  <si>
    <t>2002-11-15 12:40 EST</t>
  </si>
  <si>
    <t>2002-11-15 12:58:27 EST</t>
  </si>
  <si>
    <t>[('CREATED', '2002-11-15 12:40 EST'), ('adam_kiezun', '2002-11-15 12:58:27 EST', 'martinae'), ('critical', '2002-11-15 12:58:27 EST', 'martinae'), ('P2', '2002-11-15 12:58:27 EST', 'martinae'), ('Martin_Aeschlimann', '2002-11-15 14:16:58 EST', 'akiezun'), ('normal', '2002-11-15 14:30:39 EST', 'akiezun'), ('Dirk_Baeumer', '2002-11-19 05:16:43 EST', 'martinae'), ('RESOLVED', '2002-12-23 06:20:53 EST', 'dirk_baeumer'), ('FIXED', '2002-12-23 06:20:53 EST', 'dirk_baeumer'), ('2.1 M5', '2002-12-23 06:20:53 EST', 'dirk_baeumer')]</t>
  </si>
  <si>
    <t>2002-11-22 11:08:58 EST</t>
  </si>
  <si>
    <t>2002-11-15 13:45 EST</t>
  </si>
  <si>
    <t>2002-11-15 14:29:45 EST</t>
  </si>
  <si>
    <t>[('CREATED', '2002-11-15 13:45 EST'), ('Adam_Kiezun', '2002-11-15 14:29:45 EST', 'akiezun'), ('Dirk_Baeumer', '2002-11-15 14:29:45 EST', 'akiezun'), ('major', '2002-11-15 14:29:45 EST', 'akiezun'), ('P2', '2002-11-22 09:47:42 EST', 'dirk_baeumer'), ('2.1 M4', '2002-11-22 09:47:42 EST', 'dirk_baeumer'), ('FIXED', '2002-11-22 11:08:58 EST', 'dirk_baeumer'), ('RESOLVED', '2002-11-22 11:08:58 EST', 'dirk_baeumer')]</t>
  </si>
  <si>
    <t>2002-12-10 05:39:48 EST</t>
  </si>
  <si>
    <t>2002-11-15 18:13 EST</t>
  </si>
  <si>
    <t>2002-11-16 15:48:55 EST</t>
  </si>
  <si>
    <t>[('CREATED', '2002-11-15 18:13 EST'), ('jdt-core-inbox', '2002-11-16 15:48:55 EST', 'erich_gamma'), ('Core', '2002-11-16 15:48:55 EST', 'erich_gamma'), ('Jerome_Lanneluc', '2002-11-18 06:21:36 EST', 'philippe_mulet'), ('ASSIGNED', '2002-11-18 06:54:44 EST', 'jerome_lanneluc'), ('jerome_lanneluc', '2002-11-21 10:25:21 EST', 'jerome_lanneluc'), ('jdt-ui-inbox', '2002-11-21 10:25:21 EST', 'jerome_lanneluc'), ('NEW', '2002-11-21 10:25:21 EST', 'jerome_lanneluc'), ('UI', '2002-11-21 10:25:21 EST', 'jerome_lanneluc'), ('jdt-core-inbox', '2002-11-21 12:27:12 EST', 'dirk_baeumer'), ('Core', '2002-11-21 12:27:12 EST', 'dirk_baeumer'), ('Jerome_Lanneluc', '2002-11-22 08:46:19 EST', 'jerome_lanneluc'), ('UI', '2002-11-22 09:19:47 EST', 'jerome_lanneluc'), ('jdt-ui-inbox', '2002-11-22 09:19:47 EST', 'jerome_lanneluc'), ('Adam_Kiezun', '2002-11-22 09:40:56 EST', 'dirk_baeumer'), ('jdt-ui-inbox', '2002-11-26 05:00:11 EST', 'akiezun'), ('2.1 M4', '2002-11-26 05:00:11 EST', 'akiezun'), ('Adam_Kiezun', '2002-11-26 05:00:24 EST', 'akiezun'), ('ASSIGNED', '2002-11-26 05:00:35 EST', 'akiezun'), ('Adam_Kiezun', '2002-11-26 09:18:43 EST', 'akiezun'), ('Martin_Aeschlimann', '2002-11-26 09:18:43 EST', 'akiezun'), ('NEW', '2002-11-26 09:18:43 EST', 'akiezun'), ('RESOLVED', '2002-12-10 05:39:48 EST', 'martinae'), ('FIXED', '2002-12-10 05:39:48 EST', 'martinae')]</t>
  </si>
  <si>
    <t>2002-11-18 05:45:21 EST</t>
  </si>
  <si>
    <t>2002-11-16 15:31 EST</t>
  </si>
  <si>
    <t>2002-11-18 09:35:32 EST</t>
  </si>
  <si>
    <t>[('CREATED', '2002-11-16 15:31 EST'), ('RESOLVED', '2002-11-18 05:45:21 EST', 'akiezun'), ('INVALID', '2002-11-18 05:45:21 EST', 'akiezun'), ('2.1 M4', '2002-11-18 09:35:32 EST', 'akiezun')]</t>
  </si>
  <si>
    <t>2003-03-14 05:47:28 EST</t>
  </si>
  <si>
    <t>2002-11-18 06:32 EST</t>
  </si>
  <si>
    <t>2002-11-18 06:49:27 EST</t>
  </si>
  <si>
    <t>[('CREATED', '2002-11-18 06:32 EST'), ('Rory_Lucyshyn-Wright', '2002-11-18 06:49:27 EST', 'akiezun'), ("Inline Constant: Weird behaviour in the 'no references' case", '2002-11-18 08:25:21 EST', 'Rory_Lucyshyn-Wright'), ('jdt-ui-inbox', '2003-03-14 04:54:48 EST', 'martinae'), ('adam_kiezun', '2003-03-14 05:47:28 EST', 'akiezun'), ('RESOLVED', '2003-03-14 05:47:28 EST', 'akiezun'), ('WORKSFORME', '2003-03-14 05:47:28 EST', 'akiezun')]</t>
  </si>
  <si>
    <t>RESOLVED  DUPLICATE  of bug 27205</t>
  </si>
  <si>
    <t>2002-12-23 11:34:35 EST</t>
  </si>
  <si>
    <t>2002-11-18 08:44 EST</t>
  </si>
  <si>
    <t>[('CREATED', '2002-11-18 08:44 EST'), ('RESOLVED', '2002-12-23 11:34:35 EST', 'dirk_baeumer'), ('DUPLICATE', '2002-12-23 11:34:35 EST', 'dirk_baeumer')]</t>
  </si>
  <si>
    <t>36121 80095 80097 147748 (view as bug list)</t>
  </si>
  <si>
    <t>2002-11-18 17:36 EST</t>
  </si>
  <si>
    <t>2002-11-19 05:34:53 EST</t>
  </si>
  <si>
    <t>2006-06-23 10:49:30 EDT</t>
  </si>
  <si>
    <t>mlists</t>
  </si>
  <si>
    <t>[('CREATED', '2002-11-18 17:36 EST'), ('ASSIGNED', '2002-11-19 05:34:53 EST', 'dirk_baeumer'), ('Show Properties mode desired for /outline|package|members/ views [render]', '2002-11-20 10:11:42 EST', 'dirk_baeumer'), ('bob.news', '2003-04-28 05:41:49 EDT', 'dirk_baeumer'), ('P4', '2004-08-18 06:30:25 EDT', 'dirk_baeumer'), ('andy.w.freeman', '2004-12-03 09:40:41 EST', 'dirk_baeumer'), ('[render] Show property node to group getter/setter and field', '2006-06-15 05:45:09 EDT', 'martinae'), ('daniel_megert', '2006-06-19 07:54:38 EDT', 'daniel_megert'), ('prashant.deva', '2006-06-20 03:12:55 EDT', 'daniel_megert'), ('mlists', '2006-06-23 10:49:30 EDT', 'mlists')]</t>
  </si>
  <si>
    <t>RESOLVED  DUPLICATE  of bug 26252</t>
  </si>
  <si>
    <t>26645 (view as bug list)</t>
  </si>
  <si>
    <t>2002-11-19 04:44 EST</t>
  </si>
  <si>
    <t>2002-11-19 04:56:00 EST</t>
  </si>
  <si>
    <t>[('CREATED', '2002-11-19 04:44 EST'), ('RESOLVED', '2002-11-19 04:55:10 EST', 'akiezun'), ('DUPLICATE', '2002-11-19 04:55:10 EST', 'akiezun'), ('UI', '2002-11-19 04:56:00 EST', 'akiezun')]</t>
  </si>
  <si>
    <t>RESOLVED  DUPLICATE  of bug 26644</t>
  </si>
  <si>
    <t>2002-11-19 07:52:59 EST</t>
  </si>
  <si>
    <t>2002-11-19 05:10 EST</t>
  </si>
  <si>
    <t>[('CREATED', '2002-11-19 05:10 EST'), ('RESOLVED', '2002-11-19 07:52:59 EST', 'akiezun'), ('UI', '2002-11-19 07:52:59 EST', 'akiezun'), ('DUPLICATE', '2002-11-19 07:52:59 EST', 'akiezun')]</t>
  </si>
  <si>
    <t>26974 27024 (view as bug list)</t>
  </si>
  <si>
    <t>2002-11-20 10:48:12 EST</t>
  </si>
  <si>
    <t>2002-11-20 09:41 EST</t>
  </si>
  <si>
    <t>2002-11-20 09:59:42 EST</t>
  </si>
  <si>
    <t>2002-11-25 04:20:38 EST</t>
  </si>
  <si>
    <t>[('CREATED', '2002-11-20 09:41 EST'), ('jdt-ui-inbox', '2002-11-20 09:59:42 EST', 'akiezun'), ('UI', '2002-11-20 09:59:42 EST', 'akiezun'), ('Adam_Kiezun', '2002-11-20 10:08:12 EST', 'akiezun'), ('2.1 M4', '2002-11-20 10:08:12 EST', 'akiezun'), ('ASSIGNED', '2002-11-20 10:13:50 EST', 'dirk_baeumer'), ('RESOLVED', '2002-11-20 10:48:12 EST', 'akiezun'), ('FIXED', '2002-11-20 10:48:12 EST', 'akiezun'), ('pascal_rapicault', '2002-11-25 04:20:19 EST', 'akiezun'), ('v.volle', '2002-11-25 04:20:38 EST', 'akiezun')]</t>
  </si>
  <si>
    <t>2003-02-20 05:13:00 EST</t>
  </si>
  <si>
    <t>2002-11-21 07:58 EST</t>
  </si>
  <si>
    <t>2002-11-21 08:33:45 EST</t>
  </si>
  <si>
    <t>[('CREATED', '2002-11-21 07:58 EST'), ('Adam_Kiezun', '2002-11-21 08:33:45 EST', 'akiezun'), ('enhancement', '2002-11-21 09:14:03 EST', 'dirk_baeumer'), ('ASSIGNED', '2002-11-21 09:14:03 EST', 'dirk_baeumer'), ('Refactoring - rename unit should default to actual public type [refactoring]', '2002-11-21 09:14:03 EST', 'dirk_baeumer'), ('RESOLVED', '2003-02-20 05:13:00 EST', 'akiezun'), ('WONTFIX', '2003-02-20 05:13:00 EST', 'akiezun')]</t>
  </si>
  <si>
    <t>2002-11-21 13:10:24 EST</t>
  </si>
  <si>
    <t>2002-11-21 10:52 EST</t>
  </si>
  <si>
    <t>2002-11-21 11:46:30 EST</t>
  </si>
  <si>
    <t>[('CREATED', '2002-11-21 10:52 EST'), ('Rory_Lucyshyn-Wright', '2002-11-21 11:46:30 EST', 'akiezun'), ('P1', '2002-11-21 13:02:39 EST', 'dirk_baeumer'), ('2.1 M4', '2002-11-21 13:02:39 EST', 'dirk_baeumer'), ('RESOLVED', '2002-11-21 13:10:24 EST', 'Rory_Lucyshyn-Wright'), ('FIXED', '2002-11-21 13:10:24 EST', 'Rory_Lucyshyn-Wright')]</t>
  </si>
  <si>
    <t>2002-12-19 04:37:45 EST</t>
  </si>
  <si>
    <t>2002-11-22 10:40 EST</t>
  </si>
  <si>
    <t>2002-12-18 07:44:55 EST</t>
  </si>
  <si>
    <t>[('CREATED', '2002-11-22 10:40 EST'), ('ASSIGNED', '2002-12-18 07:44:55 EST', 'akiezun'), ('2.1 M5', '2002-12-18 07:44:55 EST', 'akiezun'), ('RESOLVED', '2002-12-19 04:37:45 EST', 'akiezun'), ('FIXED', '2002-12-19 04:37:45 EST', 'akiezun')]</t>
  </si>
  <si>
    <t>2002-12-18 08:22:27 EST</t>
  </si>
  <si>
    <t>2002-11-22 11:22 EST</t>
  </si>
  <si>
    <t>2002-11-22 11:50:37 EST</t>
  </si>
  <si>
    <t>2002-12-18 08:45:07 EST</t>
  </si>
  <si>
    <t>airvine</t>
  </si>
  <si>
    <t>[('CREATED', '2002-11-22 11:22 EST'), ('Daniel_Megert', '2002-11-22 11:50:37 EST', 'dirk_baeumer'), ('Adam_Kiezun', '2002-11-28 09:08:14 EST', 'daniel_megert'), ('ASSIGNED', '2002-12-18 07:45:35 EST', 'akiezun'), ('2.1 M5', '2002-12-18 07:45:35 EST', 'akiezun'), ('RESOLVED', '2002-12-18 08:22:27 EST', 'akiezun'), ('FIXED', '2002-12-18 08:22:27 EST', 'akiezun'), ('CLOSED', '2002-12-18 08:45:07 EST', 'airvine')]</t>
  </si>
  <si>
    <t>RESOLVED  DUPLICATE  of bug 26769</t>
  </si>
  <si>
    <t>2002-11-25 04:20:19 EST</t>
  </si>
  <si>
    <t>2002-11-22 11:26 EST</t>
  </si>
  <si>
    <t>2002-11-22 11:56:33 EST</t>
  </si>
  <si>
    <t>[('CREATED', '2002-11-22 11:26 EST'), ('jdt-ui-inbox', '2002-11-22 11:56:33 EST', 'Olivier_Thomann'), ('UI', '2002-11-22 11:56:33 EST', 'Olivier_Thomann'), ('Adam_Kiezun', '2002-11-22 12:13:25 EST', 'dirk_baeumer'), ('P2', '2002-11-22 12:13:25 EST', 'dirk_baeumer'), ('RESOLVED', '2002-11-25 04:20:19 EST', 'akiezun'), ('DUPLICATE', '2002-11-25 04:20:19 EST', 'akiezun')]</t>
  </si>
  <si>
    <t>2002-11-23 10:45 EST</t>
  </si>
  <si>
    <t>[('CREATED', '2002-11-23 10:45 EST'), ('RESOLVED', '2002-11-25 04:20:38 EST', 'akiezun'), ('DUPLICATE', '2002-11-25 04:20:38 EST', 'akiezun')]</t>
  </si>
  <si>
    <t>RESOLVED  DUPLICATE  of bug 6496</t>
  </si>
  <si>
    <t>2002-11-25 05:08:12 EST</t>
  </si>
  <si>
    <t>2002-11-24 04:11 EST</t>
  </si>
  <si>
    <t>[('CREATED', '2002-11-24 04:11 EST'), ('RESOLVED', '2002-11-25 05:08:12 EST', 'dirk_baeumer'), ('DUPLICATE', '2002-11-25 05:08:12 EST', 'dirk_baeumer')]</t>
  </si>
  <si>
    <t>2002-11-26 09:58:56 EST</t>
  </si>
  <si>
    <t>2002-11-24 06:03 EST</t>
  </si>
  <si>
    <t>2002-11-25 04:22:14 EST</t>
  </si>
  <si>
    <t>[('CREATED', '2002-11-24 06:03 EST'), ('Adam_Kiezun', '2002-11-25 04:22:14 EST', 'akiezun'), ('ASSIGNED', '2002-11-26 04:58:42 EST', 'akiezun'), ('P2', '2002-11-26 04:58:42 EST', 'akiezun'), ('2.1 M4', '2002-11-26 04:58:42 EST', 'akiezun'), ('RESOLVED', '2002-11-26 09:58:56 EST', 'akiezun'), ('FIXED', '2002-11-26 09:58:56 EST', 'akiezun')]</t>
  </si>
  <si>
    <t>RESOLVED  DUPLICATE  of bug 19807</t>
  </si>
  <si>
    <t>2007-07-19 11:45:23 EDT</t>
  </si>
  <si>
    <t>2007-07-19 11:45:09 EDT</t>
  </si>
  <si>
    <t>2002-11-24 13:13 EST</t>
  </si>
  <si>
    <t>2002-11-25 05:21:47 EST</t>
  </si>
  <si>
    <t>[('CREATED', '2002-11-24 13:13 EST'), ('Adam_Kiezun', '2002-11-25 05:21:47 EST', 'dirk_baeumer'), ('RESOLVED', '2003-02-07 13:51:02 EST', 'akiezun'), ('LATER', '2003-02-07 13:51:02 EST', 'akiezun'), ('CLOSED', '2003-04-25 12:31:21 EDT', 'akiezun'), ('Drag member to another Type performs copy instead of move[dnd] [ccp]', '2003-04-25 12:31:21 EDT', 'akiezun'), ('REOPENED', '2007-07-19 11:45:09 EDT', 'benno.baumgartner'), ('---', '2007-07-19 11:45:09 EDT', 'benno.baumgartner'), ('DUPLICATE', '2007-07-19 11:45:23 EDT', 'benno.baumgartner'), ('RESOLVED', '2007-07-19 11:45:23 EDT', 'benno.baumgartner')]</t>
  </si>
  <si>
    <t>2002-11-28 13:07:25 EST</t>
  </si>
  <si>
    <t>2002-11-25 08:28 EST</t>
  </si>
  <si>
    <t>2002-11-25 08:29:04 EST</t>
  </si>
  <si>
    <t>[('CREATED', '2002-11-25 08:28 EST'), ('Adam_Kiezun', '2002-11-25 08:29:04 EST', 'akiezun'), ('ASSIGNED', '2002-11-26 05:01:26 EST', 'akiezun'), ('P2', '2002-11-26 05:01:26 EST', 'akiezun'), ('2.1 M4', '2002-11-26 05:01:26 EST', 'akiezun'), ('Adam_Kiezun', '2002-11-26 10:11:02 EST', 'akiezun'), ('jdt-core-inbox', '2002-11-26 10:11:02 EST', 'akiezun'), ('NEW', '2002-11-26 10:11:02 EST', 'akiezun'), ('Core', '2002-11-26 10:11:02 EST', 'akiezun'), ('Jerome_Lanneluc', '2002-11-27 06:16:07 EST', 'jerome_lanneluc'), ('UI', '2002-11-27 06:39:31 EST', 'jerome_lanneluc'), ('jerome_lanneluc', '2002-11-27 06:39:31 EST', 'jerome_lanneluc'), ('jdt-ui-inbox', '2002-11-27 06:39:31 EST', 'jerome_lanneluc'), ('Adam_Kiezun', '2002-11-27 07:37:29 EST', 'akiezun'), ('RESOLVED', '2002-11-28 13:07:25 EST', 'akiezun'), ('FIXED', '2002-11-28 13:07:25 EST', 'akiezun')]</t>
  </si>
  <si>
    <t>2002-11-26 11:52:11 EST</t>
  </si>
  <si>
    <t>2002-11-25 11:23 EST</t>
  </si>
  <si>
    <t>2002-11-25 12:02:06 EST</t>
  </si>
  <si>
    <t>[('CREATED', '2002-11-25 11:23 EST'), ('Adam_Kiezun', '2002-11-25 12:02:06 EST', 'dirk_baeumer'), ('major', '2002-11-25 12:02:06 EST', 'dirk_baeumer'), ('P2', '2002-11-25 12:02:06 EST', 'dirk_baeumer'), ('Refactoring: Moving multiple static arrays broke references to array.length [refactoring]', '2002-11-25 12:02:06 EST', 'dirk_baeumer'), ('ASSIGNED', '2002-11-26 04:57:58 EST', 'akiezun'), ('2.1 M4', '2002-11-26 04:57:58 EST', 'akiezun'), ('Adam_Kiezun', '2002-11-26 11:35:27 EST', 'akiezun'), ('jdt-core-inbox', '2002-11-26 11:35:27 EST', 'akiezun'), ('NEW', '2002-11-26 11:35:27 EST', 'akiezun'), ('Core', '2002-11-26 11:35:27 EST', 'akiezun'), ('Adam_Kiezun', '2002-11-26 11:36:56 EST', 'akiezun'), ('UI', '2002-11-26 11:36:56 EST', 'akiezun'), ('RESOLVED', '2002-11-26 11:52:11 EST', 'akiezun'), ('FIXED', '2002-11-26 11:52:11 EST', 'akiezun')]</t>
  </si>
  <si>
    <t>2002-11-26 12:01:02 EST</t>
  </si>
  <si>
    <t>2002-11-26 06:35 EST</t>
  </si>
  <si>
    <t>2002-11-26 06:41:18 EST</t>
  </si>
  <si>
    <t>[('CREATED', '2002-11-26 06:35 EST'), ('Rory_Lucyshyn-Wright', '2002-11-26 06:41:18 EST', 'akiezun'), ('inline constant- AssertionFailedException [refactoring]', '2002-11-26 06:41:18 EST', 'akiezun'), ('ASSIGNED', '2002-11-26 06:41:55 EST', 'akiezun'), ('P2', '2002-11-26 06:41:55 EST', 'akiezun'), ('2.1 M4', '2002-11-26 06:41:55 EST', 'akiezun'), ('major', '2002-11-26 07:53:30 EST', 'dirk_baeumer'), ('RESOLVED', '2002-11-26 12:01:02 EST', 'Rory_Lucyshyn-Wright'), ('FIXED', '2002-11-26 12:01:02 EST', 'Rory_Lucyshyn-Wright')]</t>
  </si>
  <si>
    <t>RESOLVED  DUPLICATE  of bug 7253</t>
  </si>
  <si>
    <t>2002-11-26 12:53:44 EST</t>
  </si>
  <si>
    <t>2002-11-26 11:11 EST</t>
  </si>
  <si>
    <t>[('CREATED', '2002-11-26 11:11 EST'), ('RESOLVED', '2002-11-26 12:53:44 EST', 'dirk_baeumer'), ('DUPLICATE', '2002-11-26 12:53:44 EST', 'dirk_baeumer')]</t>
  </si>
  <si>
    <t>26584 (view as bug list)</t>
  </si>
  <si>
    <t>2002-12-23 11:35:26 EST</t>
  </si>
  <si>
    <t>2002-11-26 20:08 EST</t>
  </si>
  <si>
    <t>[('CREATED', '2002-11-26 20:08 EST'), ('RESOLVED', '2002-12-23 11:35:26 EST', 'dirk_baeumer'), ('FIXED', '2002-12-23 11:35:26 EST', 'dirk_baeumer'), ('2.1 M5', '2002-12-23 11:35:26 EST', 'dirk_baeumer')]</t>
  </si>
  <si>
    <t>2002-11-28 12:30:45 EST</t>
  </si>
  <si>
    <t>2002-11-27 11:49 EST</t>
  </si>
  <si>
    <t>2002-11-27 11:51:21 EST</t>
  </si>
  <si>
    <t>2002-11-28 12:31:16 EST</t>
  </si>
  <si>
    <t>[('CREATED', '2002-11-27 11:49 EST'), ('jdt-ui-inbox', '2002-11-27 11:51:21 EST', 'philippe_mulet'), ('UI', '2002-11-27 11:51:21 EST', 'philippe_mulet'), ('Rory_Lucyshyn-Wright', '2002-11-27 12:11:17 EST', 'dirk_baeumer'), ('RESOLVED', '2002-11-28 12:30:45 EST', 'Rory_Lucyshyn-Wright'), ('FIXED', '2002-11-28 12:30:45 EST', 'Rory_Lucyshyn-Wright'), ('2.1 M4', '2002-11-28 12:31:16 EST', 'Rory_Lucyshyn-Wright')]</t>
  </si>
  <si>
    <t>RESOLVED  DUPLICATE  of bug 6749</t>
  </si>
  <si>
    <t>2003-01-07 04:33:26 EST</t>
  </si>
  <si>
    <t>2002-11-29 04:58 EST</t>
  </si>
  <si>
    <t>2002-11-29 05:02:34 EST</t>
  </si>
  <si>
    <t>[('CREATED', '2002-11-29 04:58 EST'), ('jdt-ui-inbox', '2002-11-29 05:02:34 EST', 'akiezun'), ('UI', '2002-11-29 05:02:34 EST', 'akiezun'), ('RESOLVED', '2003-01-07 04:33:26 EST', 'dirk_baeumer'), ('DUPLICATE', '2003-01-07 04:33:26 EST', 'dirk_baeumer')]</t>
  </si>
  <si>
    <t>2002-12-23 06:39:35 EST</t>
  </si>
  <si>
    <t>2002-11-29 12:30 EST</t>
  </si>
  <si>
    <t>2002-12-01 10:26:49 EST</t>
  </si>
  <si>
    <t>[('CREATED', '2002-11-29 12:30 EST'), ('Dirk_Baeumer', '2002-12-01 10:26:49 EST', 'dirk_baeumer'), ('inline method is too scared of compile warnings [refactoring]', '2002-12-01 10:26:49 EST', 'dirk_baeumer'), ('RESOLVED', '2002-12-23 06:39:35 EST', 'dirk_baeumer'), ('FIXED', '2002-12-23 06:39:35 EST', 'dirk_baeumer'), ('2.1 M5', '2002-12-23 06:39:35 EST', 'dirk_baeumer')]</t>
  </si>
  <si>
    <t>2003-01-17 08:40:41 EST</t>
  </si>
  <si>
    <t>2009-08-30 02:39:37 EDT</t>
  </si>
  <si>
    <t>2002-11-29 16:49 EST</t>
  </si>
  <si>
    <t>2002-12-02 04:58:18 EST</t>
  </si>
  <si>
    <t>[('CREATED', '2002-11-29 16:49 EST'), ('platform-core-inbox', '2002-12-02 04:58:18 EST', 'philippe_mulet'), ('Platform', '2002-12-02 04:58:18 EST', 'philippe_mulet'), ('platform-search-inbox', '2002-12-02 04:58:32 EST', 'philippe_mulet'), ('Search', '2002-12-02 04:58:32 EST', 'philippe_mulet'), ('UI', '2002-12-02 05:20:01 EST', 'daniel_megert'), ('JDT', '2002-12-02 05:20:01 EST', 'daniel_megert'), ('jdt-ui-inbox', '2002-12-02 08:27:09 EST', 'daniel_megert'), ('Martin_Aeschlimann', '2002-12-02 09:01:52 EST', 'akiezun'), ('RESOLVED', '2003-01-17 08:40:41 EST', 'martinae'), ('LATER', '2003-01-17 08:40:41 EST', 'martinae'), ('WONTFIX', '2009-08-30 02:39:37 EDT', 'webmaster'), ('jdt-ui-inbox', '2009-08-30 02:39:37 EDT', 'webmaster')]</t>
  </si>
  <si>
    <t>2002-12-10 05:28:41 EST</t>
  </si>
  <si>
    <t>2002-12-03 08:45 EST</t>
  </si>
  <si>
    <t>2002-12-03 08:47:12 EST</t>
  </si>
  <si>
    <t>[('CREATED', '2002-12-03 08:45 EST'), ('performance', '2002-12-03 08:47:12 EST', 'akiezun'), ('Martin_Aeschlimann', '2002-12-03 12:55:35 EST', 'akiezun'), ('RESOLVED', '2002-12-10 05:28:41 EST', 'martinae'), ('FIXED', '2002-12-10 05:28:41 EST', 'martinae')]</t>
  </si>
  <si>
    <t>2002-12-10 09:22:48 EST</t>
  </si>
  <si>
    <t>2002-12-03 08:52 EST</t>
  </si>
  <si>
    <t>2002-12-03 08:54:57 EST</t>
  </si>
  <si>
    <t>[('CREATED', '2002-12-03 08:52 EST'), ('review usage of exists in refactoring/reorg', '2002-12-03 08:54:57 EST', 'akiezun'), ('performance', '2002-12-03 09:07:19 EST', 'akiezun'), ('critical', '2002-12-04 05:30:11 EST', 'akiezun'), ('ASSIGNED', '2002-12-04 05:30:11 EST', 'akiezun'), ('2.1 M4', '2002-12-04 05:30:11 EST', 'akiezun'), ('RESOLVED', '2002-12-10 09:22:48 EST', 'akiezun'), ('FIXED', '2002-12-10 09:22:48 EST', 'akiezun')]</t>
  </si>
  <si>
    <t>2003-02-20 10:03:51 EST</t>
  </si>
  <si>
    <t>2002-12-03 09:34 EST</t>
  </si>
  <si>
    <t>2002-12-03 12:59:36 EST</t>
  </si>
  <si>
    <t>[('CREATED', '2002-12-03 09:34 EST'), ('Adam_Kiezun', '2002-12-03 12:59:36 EST', 'akiezun'), ('RESOLVED', '2003-02-20 10:03:51 EST', 'akiezun'), ('WONTFIX', '2003-02-20 10:03:51 EST', 'akiezun')]</t>
  </si>
  <si>
    <t>2002-12-10 09:47:03 EST</t>
  </si>
  <si>
    <t>2002-12-04 06:48 EST</t>
  </si>
  <si>
    <t>2002-12-04 06:48:37 EST</t>
  </si>
  <si>
    <t>[('CREATED', '2002-12-04 06:48 EST'), ('performance', '2002-12-04 06:48:37 EST', 'akiezun'), ('RESOLVED', '2002-12-10 09:47:03 EST', 'akiezun'), ('FIXED', '2002-12-10 09:47:03 EST', 'akiezun'), ('2.1 M4', '2002-12-10 09:47:03 EST', 'akiezun')]</t>
  </si>
  <si>
    <t>2002-12-04 10:51:07 EST</t>
  </si>
  <si>
    <t>2009-08-30 02:40:26 EDT</t>
  </si>
  <si>
    <t>2002-12-04 10:42 EST</t>
  </si>
  <si>
    <t>[('CREATED', '2002-12-04 10:42 EST'), ('Adam_Kiezun', '2002-12-04 10:51:07 EST', 'akiezun'), ('RESOLVED', '2002-12-04 10:51:07 EST', 'akiezun'), ('LATER', '2002-12-04 10:51:07 EST', 'akiezun'), ('Anonymous -&gt; Nested refactoring should supply option to make class static [refactoring]', '2003-04-02 07:04:42 EST', 'dirk_baeumer'), ('WONTFIX', '2009-08-30 02:40:26 EDT', 'webmaster')]</t>
  </si>
  <si>
    <t>2002-12-10 09:11:34 EST</t>
  </si>
  <si>
    <t>2002-12-04 12:40 EST</t>
  </si>
  <si>
    <t>2002-12-04 12:43:29 EST</t>
  </si>
  <si>
    <t>[('CREATED', '2002-12-04 12:40 EST'), ('jdt-ui-inbox', '2002-12-04 12:43:29 EST', 'akiezun'), ('UI', '2002-12-04 12:43:29 EST', 'akiezun'), ('Adam_Kiezun', '2002-12-09 04:10:22 EST', 'akiezun'), ('WORKSFORME', '2002-12-10 09:11:34 EST', 'akiezun'), ('RESOLVED', '2002-12-10 09:11:34 EST', 'akiezun')]</t>
  </si>
  <si>
    <t>36618 (view as bug list)</t>
  </si>
  <si>
    <t>2004-08-13 13:42:33 EDT</t>
  </si>
  <si>
    <t>2004-08-13 13:42:01 EDT</t>
  </si>
  <si>
    <t>2002-12-05 04:22 EST</t>
  </si>
  <si>
    <t>2002-12-09 04:12:34 EST</t>
  </si>
  <si>
    <t>[('CREATED', '2002-12-05 04:22 EST'), ('Adam_Kiezun', '2002-12-09 04:12:34 EST', 'akiezun'), ('enhancement', '2002-12-09 04:12:34 EST', 'akiezun'), ('RESOLVED', '2002-12-09 04:12:34 EST', 'akiezun'), ('LATER', '2002-12-09 04:12:34 EST', 'akiezun'), ("Rename method doesn't offer options to update comments and string literals [refactoring]", '2003-04-02 08:29:55 EST', 'dirk_baeumer'), ('jean-noel.meunier', '2003-04-22 03:02:29 EDT', 'dirk_baeumer'), ('REOPENED', '2004-08-13 13:42:01 EDT', 'dirk_baeumer'), ('---', '2004-08-13 13:42:01 EDT', 'dirk_baeumer'), ('RESOLVED', '2004-08-13 13:42:33 EDT', 'dirk_baeumer'), ('FIXED', '2004-08-13 13:42:33 EDT', 'dirk_baeumer')]</t>
  </si>
  <si>
    <t>2002-12-18 07:48:09 EST</t>
  </si>
  <si>
    <t>2002-12-05 04:40 EST</t>
  </si>
  <si>
    <t>2002-12-05 04:40:29 EST</t>
  </si>
  <si>
    <t>[('CREATED', '2002-12-05 04:40 EST'), ('Adam_Kiezun', '2002-12-05 04:40:29 EST', 'dirk_baeumer'), ('ASSIGNED', '2002-12-10 08:41:05 EST', 'akiezun'), ('RESOLVED', '2002-12-18 07:48:09 EST', 'akiezun'), ('WONTFIX', '2002-12-18 07:48:09 EST', 'akiezun')]</t>
  </si>
  <si>
    <t>35788 56948 74943 76813 119142 132442 176632 181127 217851 222527 322700 355283 419421 (view as bug list)</t>
  </si>
  <si>
    <t>2002-12-05 09:00:21 EST</t>
  </si>
  <si>
    <t>2004-10-25 05:40:08 EDT</t>
  </si>
  <si>
    <t>2002-12-05 07:50 EST</t>
  </si>
  <si>
    <t>2016-03-15 09:52:06 EDT</t>
  </si>
  <si>
    <t>harald.soderlund</t>
  </si>
  <si>
    <t>[('CREATED', '2002-12-05 07:50 EST'), ('Adam_Kiezun', '2002-12-05 09:00:21 EST', 'akiezun'), ('RESOLVED', '2002-12-05 09:00:21 EST', 'akiezun'), ('LATER', '2002-12-05 09:00:21 EST', 'akiezun'), ('Extract Local Variable (ReplaceAll) ignores value changes [refactoring]', '2003-04-02 08:30:21 EST', 'dirk_baeumer'), ('mccull1', '2004-10-04 07:05:19 EDT', 'dirk_baeumer'), ('luc_bourlier', '2004-10-25 05:39:26 EDT', 'dirk_baeumer'), ('REOPENED', '2004-10-25 05:40:08 EDT', 'dirk_baeumer'), ('---', '2004-10-25 05:40:08 EDT', 'dirk_baeumer'), ('markus_keller', '2004-10-25 05:40:33 EDT', 'dirk_baeumer'), ('NEW', '2004-10-25 05:40:33 EDT', 'dirk_baeumer'), ('rfuhrer', '2006-03-22 05:11:22 EST', 'markus.kell.r'), ('oyvind.harboe', '2006-03-22 05:11:38 EST', 'markus.kell.r'), ('luke.hutch', '2006-03-22 05:11:48 EST', 'markus.kell.r'), ('ha_tech_2004', '2006-03-22 05:11:55 EST', 'markus.kell.r'), ('[extract local] must not ignore value changes', '2006-08-03 10:31:00 EDT', 'martinae'), ('daniel_megert', '2007-01-18 10:03:14 EST', 'daniel_megert'), ('ASSIGNED', '2007-01-18 10:14:09 EST', 'markus.kell.r'), ('All', '2007-01-18 10:14:09 EST', 'markus.kell.r'), ('P2', '2007-01-18 10:14:09 EST', 'markus.kell.r'), ('All', '2007-01-18 10:14:09 EST', 'markus.kell.r'), ('fred.kid', '2007-03-08 13:10:05 EST', 'markus.kell.r'), ('3.4', '2007-06-04 05:46:54 EDT', 'martinae'), ('eden', '2007-12-19 08:39:14 EST', 'eden'), ('einarpeak', '2008-02-06 03:40:23 EST', 'martinae'), ('frederic_fusier', '2008-03-13 05:54:59 EDT', 'martinae'), ('martin_aeschlimann', '2008-05-02 10:49:59 EDT', 'martinae'), ('3.4 RC1', '2008-05-02 10:49:59 EDT', 'martinae'), ('3.4 candidate', '2008-05-16 04:40:41 EDT', 'martinae'), ('---', '2008-05-16 04:40:41 EDT', 'martinae'), (nan, '2008-08-13 06:41:51 EDT', 'daniel_megert'), ('roland.illig', '2010-08-18 02:55:25 EDT', 'daniel_megert'), ('moebius2day', '2010-08-18 02:55:46 EDT', 'daniel_megert'), ('alexkselk', '2010-11-06 05:50:31 EDT', 'alexkselk'), ('robin.rosenberg', '2011-10-18 22:23:41 EDT', 'deepakazad'), ('srikanth_sankaran', '2012-06-23 06:38:55 EDT', 'srikanth_sankaran'), ('djanoiup', '2012-11-29 14:49:14 EST', 'djanoiup'), ('manju_mathew, news', '2013-10-15 04:40:20 EDT', 'manju656'), ('harald.soderlund', '2016-03-15 09:52:06 EDT', 'harald.soderlund')]</t>
  </si>
  <si>
    <t>2003-02-07 14:03:15 EST</t>
  </si>
  <si>
    <t>2009-08-30 02:38:42 EDT</t>
  </si>
  <si>
    <t>2002-12-05 08:28 EST</t>
  </si>
  <si>
    <t>2002-12-05 08:58:30 EST</t>
  </si>
  <si>
    <t>[('CREATED', '2002-12-05 08:28 EST'), ('Adam_Kiezun', '2002-12-05 08:58:30 EST', 'akiezun'), ('major', '2002-12-05 10:01:23 EST', 'gunnar'), ('UI', '2002-12-06 05:35:45 EST', 'philippe_mulet'), ('RESOLVED', '2003-02-07 14:03:15 EST', 'akiezun'), ('LATER', '2003-02-07 14:03:15 EST', 'akiezun'), ('CLOSED', '2003-04-09 05:45:15 EDT', 'akiezun'), ('WONTFIX', '2009-08-30 02:38:42 EDT', 'webmaster'), ('jdt-ui-inbox', '2009-08-30 02:38:42 EDT', 'webmaster')]</t>
  </si>
  <si>
    <t>2004-01-03 17:20:35 EST</t>
  </si>
  <si>
    <t>2002-12-05 11:33 EST</t>
  </si>
  <si>
    <t>2003-01-07 04:52:54 EST</t>
  </si>
  <si>
    <t>[('CREATED', '2002-12-05 11:33 EST'), ('Erich_Gamma', '2003-01-07 04:52:54 EST', 'dirk_baeumer'), ('PackageExplorer looses selection when dialog box gets closed using ESC [package explorer]', '2003-01-07 04:52:54 EST', 'dirk_baeumer'), ('RESOLVED', '2004-01-03 17:20:35 EST', 'erich_gamma'), ('WORKSFORME', '2004-01-03 17:20:35 EST', 'erich_gamma')]</t>
  </si>
  <si>
    <t>RESOLVED  DUPLICATE  of bug 27878</t>
  </si>
  <si>
    <t>27885 (view as bug list)</t>
  </si>
  <si>
    <t>2002-12-10 03:59:38 EST</t>
  </si>
  <si>
    <t>2002-12-06 06:19 EST</t>
  </si>
  <si>
    <t>[('CREATED', '2002-12-06 06:19 EST'), ('RESOLVED', '2002-12-10 03:59:38 EST', 'akiezun'), ('DUPLICATE', '2002-12-10 03:59:38 EST', 'akiezun')]</t>
  </si>
  <si>
    <t>2002-12-09 04:18:35 EST</t>
  </si>
  <si>
    <t>2009-08-30 02:36:36 EDT</t>
  </si>
  <si>
    <t>2002-12-06 10:24 EST</t>
  </si>
  <si>
    <t>2002-12-08 15:13:13 EST</t>
  </si>
  <si>
    <t>[('CREATED', '2002-12-06 10:24 EST'), ('jdt-ui-inbox', '2002-12-08 15:13:13 EST', 'philippe_mulet'), ('UI', '2002-12-08 15:13:13 EST', 'philippe_mulet'), ('RESOLVED', '2002-12-09 04:18:35 EST', 'akiezun'), ('LATER', '2002-12-09 04:18:35 EST', 'akiezun'), ('enhancement', '2003-04-02 08:15:03 EST', 'daniel_megert'), ("Renaming .jardesc - File doesn't change descriptionLocation [export/import] [refactoring]", '2003-04-02 08:32:24 EST', 'dirk_baeumer'), ('P4', '2004-08-13 13:43:34 EDT', 'dirk_baeumer'), ('WONTFIX', '2009-08-30 02:36:36 EDT', 'webmaster')]</t>
  </si>
  <si>
    <t>2002-12-09 04:40:10 EST</t>
  </si>
  <si>
    <t>2002-12-06 10:55 EST</t>
  </si>
  <si>
    <t>2002-12-09 04:19:19 EST</t>
  </si>
  <si>
    <t>[('CREATED', '2002-12-06 10:55 EST'), ('Daniel_Megert', '2002-12-09 04:19:19 EST', 'akiezun'), ('INVALID', '2002-12-09 04:40:10 EST', 'daniel_megert'), ('RESOLVED', '2002-12-09 04:40:10 EST', 'daniel_megert')]</t>
  </si>
  <si>
    <t>2002-12-09 04:20:20 EST</t>
  </si>
  <si>
    <t>2009-08-30 02:24:21 EDT</t>
  </si>
  <si>
    <t>2002-12-06 11:35 EST</t>
  </si>
  <si>
    <t>[('CREATED', '2002-12-06 11:35 EST'), ('RESOLVED', '2002-12-09 04:20:20 EST', 'akiezun'), ('LATER', '2002-12-09 04:20:20 EST', 'akiezun'), ('Put refactoring change sinto search results. [refactoring]', '2003-04-02 08:33:49 EST', 'dirk_baeumer'), ('P4', '2004-08-13 13:43:57 EDT', 'dirk_baeumer'), ('WONTFIX', '2009-08-30 02:24:21 EDT', 'denis.roy')]</t>
  </si>
  <si>
    <t>2002-12-09 05:33:22 EST</t>
  </si>
  <si>
    <t>2002-12-07 18:50 EST</t>
  </si>
  <si>
    <t>2002-12-09 04:09:09 EST</t>
  </si>
  <si>
    <t>[('CREATED', '2002-12-07 18:50 EST'), ('Dirk_Baeumer', '2002-12-09 04:09:09 EST', 'akiezun'), ('critical', '2002-12-09 04:09:09 EST', 'akiezun'), ('P1', '2002-12-09 04:49:11 EST', 'erich_gamma'), ('2.1 M4', '2002-12-09 04:49:11 EST', 'erich_gamma'), ('RESOLVED', '2002-12-09 05:33:22 EST', 'dirk_baeumer'), ('DUPLICATE', '2002-12-09 05:33:22 EST', 'dirk_baeumer')]</t>
  </si>
  <si>
    <t>2003-04-25 05:06:34 EDT</t>
  </si>
  <si>
    <t>2003-04-25 05:04:15 EDT</t>
  </si>
  <si>
    <t>2002-12-09 04:26 EST</t>
  </si>
  <si>
    <t>2002-12-09 05:56:53 EST</t>
  </si>
  <si>
    <t>[('CREATED', '2002-12-09 04:26 EST'), ('jdt-ui-inbox', '2002-12-09 05:56:53 EST', 'philippe_mulet'), ('UI', '2002-12-09 05:56:53 EST', 'philippe_mulet'), ('Adam_Kiezun', '2002-12-09 08:12:44 EST', 'akiezun'), ('RESOLVED', '2002-12-09 08:12:44 EST', 'akiezun'), ('LATER', '2002-12-09 08:12:44 EST', 'akiezun'), ("Encapsulate field should allow controlling of field's visibility. [refactoring]", '2003-04-02 08:35:53 EST', 'dirk_baeumer'), ('REOPENED', '2003-04-25 05:04:15 EDT', 'dirk_baeumer'), ('---', '2003-04-25 05:04:15 EDT', 'dirk_baeumer'), ('RESOLVED', '2003-04-25 05:06:34 EDT', 'dirk_baeumer'), ('WONTFIX', '2003-04-25 05:06:34 EDT', 'dirk_baeumer')]</t>
  </si>
  <si>
    <t>28113 (view as bug list)</t>
  </si>
  <si>
    <t>2003-01-06 05:36:01 EST</t>
  </si>
  <si>
    <t>2002-12-09 05:01 EST</t>
  </si>
  <si>
    <t>2002-12-11 12:31:54 EST</t>
  </si>
  <si>
    <t>[('CREATED', '2002-12-09 05:01 EST'), ('chris_king', '2002-12-11 12:31:54 EST', 'akiezun'), ('Adam_Kiezun', '2002-12-28 10:31:16 EST', 'dirk_baeumer'), ('P2', '2002-12-28 10:31:16 EST', 'dirk_baeumer'), ("Assertion failure with 'Refactor Rename' of private field [refactzoring]", '2002-12-28 10:31:16 EST', 'dirk_baeumer'), ('2.1 M5', '2003-01-06 05:36:01 EST', 'akiezun'), ('RESOLVED', '2003-01-06 05:36:01 EST', 'akiezun'), ('FIXED', '2003-01-06 05:36:01 EST', 'akiezun')]</t>
  </si>
  <si>
    <t>2003-01-07 10:31:35 EST</t>
  </si>
  <si>
    <t>2003-01-07 10:27:50 EST</t>
  </si>
  <si>
    <t>2002-12-09 09:43 EST</t>
  </si>
  <si>
    <t>2002-12-09 10:16:32 EST</t>
  </si>
  <si>
    <t>2003-03-23 12:36:21 EST</t>
  </si>
  <si>
    <t>[('CREATED', '2002-12-09 09:43 EST'), ('jdt-ui-inbox', '2002-12-09 10:16:32 EST', 'kai-uwe_maetzel'), ('UI', '2002-12-09 10:16:32 EST', 'kai-uwe_maetzel'), ('Daniel_Megert', '2002-12-09 13:00:53 EST', 'akiezun'), ('jdt-core-inbox', '2002-12-10 02:18:00 EST', 'daniel_megert'), ('Core', '2002-12-10 02:18:00 EST', 'daniel_megert'), ('dirk_baeumer', '2002-12-10 03:42:18 EST', 'erich_gamma'), ('daniel_megert', '2002-12-10 03:42:30 EST', 'erich_gamma'), ('RESOLVED', '2003-01-07 08:22:59 EST', 'philippe_mulet'), ('LATER', '2003-01-07 08:22:59 EST', 'philippe_mulet'), ('REOPENED', '2003-01-07 10:27:50 EST', 'erich_gamma'), ('---', '2003-01-07 10:27:50 EST', 'erich_gamma'), ('RESOLVED', '2003-01-07 10:31:35 EST', 'erich_gamma'), ('FIXED', '2003-01-07 10:31:35 EST', 'erich_gamma'), ('UI', '2003-03-23 12:36:21 EST', 'jerome_lanneluc')]</t>
  </si>
  <si>
    <t>2002-12-20 11:56:22 EST</t>
  </si>
  <si>
    <t>2002-12-09 18:10 EST</t>
  </si>
  <si>
    <t>2002-12-10 08:46:33 EST</t>
  </si>
  <si>
    <t>[('CREATED', '2002-12-09 18:10 EST'), ('jdt-ui-inbox', '2002-12-10 08:46:33 EST', 'sonia_dimitrov'), ('JDT', '2002-12-10 08:46:33 EST', 'sonia_dimitrov'), ('Dirk_Baeumer', '2002-12-11 03:52:24 EST', 'akiezun'), ('RESOLVED', '2002-12-20 11:56:22 EST', 'dirk_baeumer'), ('FIXED', '2002-12-20 11:56:22 EST', 'dirk_baeumer'), ('2.1 M5', '2002-12-20 11:56:22 EST', 'dirk_baeumer')]</t>
  </si>
  <si>
    <t>35101 (view as bug list)</t>
  </si>
  <si>
    <t>2003-04-25 12:05:06 EDT</t>
  </si>
  <si>
    <t>2009-08-30 02:41:13 EDT</t>
  </si>
  <si>
    <t>2003-04-25 11:47:55 EDT</t>
  </si>
  <si>
    <t>2002-12-10 10:04 EST</t>
  </si>
  <si>
    <t>2002-12-10 10:37:14 EST</t>
  </si>
  <si>
    <t>[('CREATED', '2002-12-10 10:04 EST'), ('Adam_Kiezun', '2002-12-10 10:37:14 EST', 'akiezun'), ('RESOLVED', '2003-02-20 10:04:30 EST', 'akiezun'), ('LATER', '2003-02-20 10:04:30 EST', 'akiezun'), ('bhunt', '2003-03-17 05:29:30 EST', 'akiezun'), ('REOPENED', '2003-04-25 11:47:55 EDT', 'akiezun'), ('---', '2003-04-25 11:47:55 EDT', 'akiezun'), ('adam_kiezun', '2003-04-25 12:04:41 EDT', 'akiezun'), ('jdt-ui-inbox', '2003-04-25 12:04:41 EDT', 'akiezun'), ('NEW', '2003-04-25 12:04:41 EDT', 'akiezun'), ('RESOLVED', '2003-04-25 12:05:06 EDT', 'akiezun'), ('P4', '2003-04-25 12:05:06 EDT', 'akiezun'), ('LATER', '2003-04-25 12:05:06 EDT', 'akiezun'), ('pull up field should also pull up getter and setter[refactoring]', '2003-04-25 12:06:10 EDT', 'akiezun'), ('P3', '2004-08-13 13:44:36 EDT', 'dirk_baeumer'), ('WONTFIX', '2009-08-30 02:41:13 EDT', 'webmaster')]</t>
  </si>
  <si>
    <t>12083 (view as bug list)</t>
  </si>
  <si>
    <t>2003-09-03 13:19:16 EDT</t>
  </si>
  <si>
    <t>2003-10-08 06:17:53 EDT</t>
  </si>
  <si>
    <t>2003-04-25 12:05:26 EDT</t>
  </si>
  <si>
    <t>2002-12-10 10:11 EST</t>
  </si>
  <si>
    <t>2002-12-10 10:40:17 EST</t>
  </si>
  <si>
    <t>[('CREATED', '2002-12-10 10:11 EST'), ('Adam_Kiezun', '2002-12-10 10:40:17 EST', 'akiezun'), ('enhancement', '2002-12-18 07:53:59 EST', 'akiezun'), ('andreas.krueger', '2003-01-08 08:15:22 EST', 'andreas.krueger'), ('skeet', '2003-01-09 06:26:42 EST', 'skeet'), ('ASSIGNED', '2003-02-20 09:41:14 EST', 'akiezun'), ('2.2', '2003-02-20 09:41:14 EST', 'akiezun'), ('RESOLVED', '2003-02-20 10:11:17 EST', 'akiezun'), ('LATER', '2003-02-20 10:11:17 EST', 'akiezun'), ('REOPENED', '2003-04-25 12:05:26 EDT', 'akiezun'), ('---', '2003-04-25 12:05:26 EDT', 'akiezun'), ('cannot refactor/move static field to interface[refactoring]', '2003-04-25 13:16:07 EDT', 'akiezun'), ('jeff_brown', '2003-04-25 13:26:46 EDT', 'akiezun'), ('ASSIGNED', '2003-04-25 13:28:51 EDT', 'akiezun'), ('P2', '2003-04-25 13:28:51 EDT', 'akiezun'), ('adam_kiezun', '2003-07-14 13:15:50 EDT', 'akiezun'), ('markus_keller', '2003-07-14 13:15:50 EDT', 'akiezun'), ('NEW', '2003-07-14 13:15:50 EDT', 'akiezun'), ('RESOLVED', '2003-09-03 13:19:16 EDT', 'dirk_baeumer'), ('FIXED', '2003-09-03 13:19:16 EDT', 'dirk_baeumer'), ('3.0 M4', '2003-10-07 09:26:05 EDT', 'markus.kell.r'), ('VERIFIED', '2003-10-08 06:17:53 EDT', 'dirk_baeumer')]</t>
  </si>
  <si>
    <t>2002-12-10 10:38:58 EST</t>
  </si>
  <si>
    <t>2002-12-10 10:16 EST</t>
  </si>
  <si>
    <t>[('CREATED', '2002-12-10 10:16 EST'), ('Adam_Kiezun', '2002-12-10 10:38:58 EST', 'akiezun'), ('RESOLVED', '2002-12-10 10:38:58 EST', 'akiezun'), ('WONTFIX', '2002-12-10 10:38:58 EST', 'akiezun')]</t>
  </si>
  <si>
    <t>26824 65597 75870 78796 (view as bug list)</t>
  </si>
  <si>
    <t>2007-05-24 10:43:54 EDT</t>
  </si>
  <si>
    <t>2007-05-29 04:34:10 EDT</t>
  </si>
  <si>
    <t>2004-10-08 04:42:54 EDT</t>
  </si>
  <si>
    <t>2002-12-10 23:56 EST</t>
  </si>
  <si>
    <t>2002-12-11 03:53:48 EST</t>
  </si>
  <si>
    <t>2007-06-06 12:25:37 EDT</t>
  </si>
  <si>
    <t>[('CREATED', '2002-12-10 23:56 EST'), ('Martin_Aeschlimann', '2002-12-11 03:53:48 EST', 'akiezun'), ('alex_blewitt', '2003-03-31 11:15:19 EST', 'martinae'), ('RESOLVED', '2004-05-12 14:31:57 EDT', 'martinae'), ('LATER', '2004-05-12 14:31:57 EDT', 'martinae'), ('REOPENED', '2004-10-08 04:42:54 EDT', 'martinae'), ('---', '2004-10-08 04:42:54 EDT', 'martinae'), ('acuretra', '2004-10-08 04:43:08 EDT', 'martinae'), ('[quick fix] Greate getter for "Field is not visible"', '2005-01-21 05:20:12 EST', 'martinae'), ('akensler', '2007-03-22 06:28:57 EDT', 'martinae'), ('christian.koestlin', '2007-03-22 06:29:34 EDT', 'martinae'), ('karsten_becker', '2007-03-22 06:31:33 EDT', 'martinae'), ('NEW', '2007-03-22 06:31:33 EDT', 'martinae'), ('1', '2007-04-03 10:21:28 EDT', 'eclipse'), ('1', '2007-04-05 10:43:51 EDT', 'eclipse'), ('3.3 M7', '2007-04-13 09:45:44 EDT', 'martinae'), ('3.3 RC1', '2007-05-03 05:35:27 EDT', 'martinae'), ('1', '2007-05-04 11:22:34 EDT', 'eclipse'), ('3.3 RC2', '2007-05-16 09:42:09 EDT', 'martinae'), ('review+', '2007-05-24 07:05:08 EDT', 'martinae'), ('benno_baumgartner', '2007-05-24 07:05:36 EDT', 'martinae'), ('review?(benno_baumgartner)', '2007-05-24 07:05:36 EDT', 'martinae'), ('1', '2007-05-24 10:03:48 EDT', 'eclipse'), ('review+', '2007-05-24 10:43:54 EDT', 'benno.baumgartner'), ('RESOLVED', '2007-05-24 10:43:54 EDT', 'benno.baumgartner'), ('FIXED', '2007-05-24 10:43:54 EDT', 'benno.baumgartner'), ('VERIFIED', '2007-05-29 04:34:10 EDT', 'benno.baumgartner'), ('contributed', '2007-06-06 12:25:37 EDT', 'martinae')]</t>
  </si>
  <si>
    <t>RESOLVED  DUPLICATE  of bug 27920</t>
  </si>
  <si>
    <t>2002-12-11 11:54 EST</t>
  </si>
  <si>
    <t>2002-12-11 12:30:34 EST</t>
  </si>
  <si>
    <t>[('CREATED', '2002-12-11 11:54 EST'), ('jdt-ui-inbox', '2002-12-11 12:30:34 EST', 'akiezun'), ('UI', '2002-12-11 12:30:34 EST', 'akiezun'), ('RESOLVED', '2002-12-11 12:31:54 EST', 'akiezun'), ('DUPLICATE', '2002-12-11 12:31:54 EST', 'akiezun')]</t>
  </si>
  <si>
    <t>2002-12-20 07:51:25 EST</t>
  </si>
  <si>
    <t>2002-12-13 05:01 EST</t>
  </si>
  <si>
    <t>2002-12-13 05:05:02 EST</t>
  </si>
  <si>
    <t>[('CREATED', '2002-12-13 05:01 EST'), ('Dirk_Baeumer', '2002-12-13 05:05:02 EST', 'akiezun'), ('RESOLVED', '2002-12-20 07:51:25 EST', 'dirk_baeumer'), ('FIXED', '2002-12-20 07:51:25 EST', 'dirk_baeumer'), ('2.1 M5', '2002-12-20 07:51:25 EST', 'dirk_baeumer')]</t>
  </si>
  <si>
    <t>2003-01-27 07:21:55 EST</t>
  </si>
  <si>
    <t>2003-02-19 11:02:49 EST</t>
  </si>
  <si>
    <t>2002-12-13 08:55 EST</t>
  </si>
  <si>
    <t>2002-12-13 09:04:44 EST</t>
  </si>
  <si>
    <t>alex.blewitt</t>
  </si>
  <si>
    <t>[('CREATED', '2002-12-13 08:55 EST'), ('jdt-ui-inbox', '2002-12-13 09:04:44 EST', 'Olivier_Thomann'), ('UI', '2002-12-13 09:04:44 EST', 'Olivier_Thomann'), ('Adam_Kiezun', '2002-12-13 09:46:44 EST', 'akiezun'), ('enhancement', '2002-12-18 06:08:50 EST', 'akiezun'), ('RESOLVED', '2003-01-27 07:21:55 EST', 'akiezun'), ('FIXED', '2003-01-27 07:21:55 EST', 'akiezun'), ('2.1 M5', '2003-01-27 07:21:55 EST', 'akiezun'), ('VERIFIED', '2003-02-19 11:02:49 EST', 'alex.blewitt')]</t>
  </si>
  <si>
    <t>29178</t>
  </si>
  <si>
    <t>2004-05-18 09:22:35 EDT</t>
  </si>
  <si>
    <t>2002-12-13 09:45 EST</t>
  </si>
  <si>
    <t>2002-12-13 11:15:17 EST</t>
  </si>
  <si>
    <t>[('CREATED', '2002-12-13 09:45 EST'), ('jdt-ui-inbox', '2002-12-13 11:15:17 EST', 'Olivier_Thomann'), ('UI', '2002-12-13 11:15:17 EST', 'Olivier_Thomann'), ('Dirk_Baeumer', '2002-12-16 04:35:38 EST', 'akiezun'), ('Core', '2002-12-16 05:29:01 EST', 'dirk_baeumer'), ('jdt-core-inbox', '2002-12-16 05:29:01 EST', 'dirk_baeumer'), ('Olivier_Thomann', '2002-12-16 05:40:36 EST', 'philippe_mulet'), ('ASSIGNED', '2002-12-16 08:35:34 EST', 'Olivier_Thomann'), ('Jim_des_Rivieres', '2002-12-16 12:02:22 EST', 'Olivier_Thomann'), ('NEW', '2002-12-16 12:02:22 EST', 'Olivier_Thomann'), ('jgossage, Dirk_Baeumer', '2003-01-06 17:09:06 EST', 'jeem'), ('29178', '2003-01-08 17:13:53 EST', 'jeem'), ('Dirk_Baeumer', '2003-01-08 17:55:11 EST', 'jeem'), ('UI', '2003-01-08 17:55:11 EST', 'jeem'), ('Extract method moves closing bracket to end of new method [refactoring]', '2003-01-09 03:05:48 EST', 'dirk_baeumer'), ('RESOLVED', '2004-05-18 09:22:35 EDT', 'dirk_baeumer'), ('FIXED', '2004-05-18 09:22:35 EDT', 'dirk_baeumer'), ('3.0', '2004-05-18 09:22:35 EDT', 'dirk_baeumer')]</t>
  </si>
  <si>
    <t>2003-04-02 08:41:06 EST</t>
  </si>
  <si>
    <t>2003-04-02 08:40:44 EST</t>
  </si>
  <si>
    <t>2002-12-14 07:02 EST</t>
  </si>
  <si>
    <t>2002-12-16 04:49:44 EST</t>
  </si>
  <si>
    <t>[('CREATED', '2002-12-14 07:02 EST'), ('enhancement', '2002-12-16 04:49:44 EST', 'akiezun'), ('RESOLVED', '2002-12-16 04:50:22 EST', 'akiezun'), ('LATER', '2002-12-16 04:50:22 EST', 'akiezun'), ('---', '2003-04-02 08:40:44 EST', 'dirk_baeumer'), ('REOPENED', '2003-04-02 08:40:44 EST', 'dirk_baeumer'), ('RESOLVED', '2003-04-02 08:41:06 EST', 'dirk_baeumer'), ('FIXED', '2003-04-02 08:41:06 EST', 'dirk_baeumer'), ('2.1', '2003-04-02 08:41:06 EST', 'dirk_baeumer')]</t>
  </si>
  <si>
    <t>2002-12-16 05:22:50 EST</t>
  </si>
  <si>
    <t>2009-08-30 02:39:33 EDT</t>
  </si>
  <si>
    <t>2002-12-14 22:04 EST</t>
  </si>
  <si>
    <t>2002-12-16 04:51:11 EST</t>
  </si>
  <si>
    <t>[('CREATED', '2002-12-14 22:04 EST'), ('Dirk_Baeumer', '2002-12-16 04:51:11 EST', 'akiezun'), ('RESOLVED', '2002-12-16 05:22:50 EST', 'dirk_baeumer'), ('LATER', '2002-12-16 05:22:50 EST', 'dirk_baeumer'), ('markus_keller', '2004-03-08 12:36:20 EST', 'markus.kell.r'), ('WONTFIX', '2009-08-30 02:39:33 EDT', 'webmaster'), ('jdt-ui-inbox', '2009-08-30 02:39:33 EDT', 'webmaster')]</t>
  </si>
  <si>
    <t>2003-01-21 05:30:40 EST</t>
  </si>
  <si>
    <t>2002-12-17 05:37 EST</t>
  </si>
  <si>
    <t>2002-12-17 09:03:58 EST</t>
  </si>
  <si>
    <t>[('CREATED', '2002-12-17 05:37 EST'), ('Adam_Kiezun', '2002-12-17 09:03:58 EST', 'andre_weinand'), ('enhancement', '2002-12-17 09:03:58 EST', 'andre_weinand'), ("UI for refactoring 'pull up...' must be [a bit] larger [refactoring]", '2002-12-17 09:03:58 EST', 'andre_weinand'), ('P1', '2002-12-17 09:10:54 EST', 'dirk_baeumer'), ('P2', '2003-01-15 09:15:30 EST', 'erich_gamma'), ('normal', '2003-01-15 09:47:27 EST', 'akiezun'), ('RESOLVED', '2003-01-21 05:30:40 EST', 'akiezun'), ('FIXED', '2003-01-21 05:30:40 EST', 'akiezun'), ('2.1 M5', '2003-01-21 05:30:40 EST', 'akiezun')]</t>
  </si>
  <si>
    <t>2002-12-18 05:33:51 EST</t>
  </si>
  <si>
    <t>2002-12-17 06:48 EST</t>
  </si>
  <si>
    <t>[('CREATED', '2002-12-17 06:48 EST'), ('adam_kiezun', '2002-12-18 05:33:51 EST', 'akiezun'), ('RESOLVED', '2002-12-18 05:33:51 EST', 'akiezun'), ('INVALID', '2002-12-18 05:33:51 EST', 'akiezun')]</t>
  </si>
  <si>
    <t>2003-01-27 08:22:54 EST</t>
  </si>
  <si>
    <t>2003-01-27 08:16:39 EST</t>
  </si>
  <si>
    <t>2002-12-17 08:18 EST</t>
  </si>
  <si>
    <t>2002-12-17 09:24:24 EST</t>
  </si>
  <si>
    <t>[('CREATED', '2002-12-17 08:18 EST'), ('Adam_Kiezun', '2002-12-17 09:24:24 EST', 'dirk_baeumer'), ('P2', '2002-12-17 09:24:24 EST', 'dirk_baeumer'), ('Use Supertype where possible does not show error on Finish [refactoring]', '2002-12-17 09:24:24 EST', 'dirk_baeumer'), ('RESOLVED', '2003-01-27 07:37:12 EST', 'akiezun'), ('WORKSFORME', '2003-01-27 07:37:12 EST', 'akiezun'), ('2.1 M5', '2003-01-27 07:37:12 EST', 'akiezun'), ('REOPENED', '2003-01-27 07:44:07 EST', 'daniel_megert'), ('---', '2003-01-27 07:44:07 EST', 'daniel_megert'), ('RESOLVED', '2003-01-27 07:57:49 EST', 'akiezun'), ('WORKSFORME', '2003-01-27 07:57:49 EST', 'akiezun'), ('---', '2003-01-27 08:16:39 EST', 'daniel_megert'), ('REOPENED', '2003-01-27 08:16:39 EST', 'daniel_megert'), ('RESOLVED', '2003-01-27 08:22:54 EST', 'akiezun'), ('WORKSFORME', '2003-01-27 08:22:54 EST', 'akiezun')]</t>
  </si>
  <si>
    <t>2002-12-17 15:12:21 EST</t>
  </si>
  <si>
    <t>2002-12-17 09:23 EST</t>
  </si>
  <si>
    <t>2002-12-17 09:29:10 EST</t>
  </si>
  <si>
    <t>[('CREATED', '2002-12-17 09:23 EST'), ('jdt-ui-inbox', '2002-12-17 09:29:10 EST', 'dejan'), ('JDT', '2002-12-17 09:29:10 EST', 'dejan'), ('Erich_Gamma', '2002-12-17 09:31:04 EST', 'dirk_baeumer'), ('P1', '2002-12-17 09:31:04 EST', 'dirk_baeumer'), ('dejan', '2002-12-17 15:12:21 EST', 'erich_gamma'), ('RESOLVED', '2002-12-17 15:12:21 EST', 'erich_gamma'), ('FIXED', '2002-12-17 15:12:21 EST', 'erich_gamma')]</t>
  </si>
  <si>
    <t>2002-12-20 11:35:22 EST</t>
  </si>
  <si>
    <t>2002-12-17 09:42 EST</t>
  </si>
  <si>
    <t>2002-12-17 09:46:35 EST</t>
  </si>
  <si>
    <t>[('CREATED', '2002-12-17 09:42 EST'), ('Adam_Kiezun', '2002-12-17 09:46:35 EST', 'dirk_baeumer'), ('major', '2002-12-17 09:46:35 EST', 'dirk_baeumer'), ('P2', '2002-12-17 09:46:35 EST', 'dirk_baeumer'), ('RESOLVED', '2002-12-20 11:35:22 EST', 'akiezun'), ('WORKSFORME', '2002-12-20 11:35:22 EST', 'akiezun')]</t>
  </si>
  <si>
    <t>2003-01-31 12:35:37 EST</t>
  </si>
  <si>
    <t>2002-12-17 11:18 EST</t>
  </si>
  <si>
    <t>2002-12-17 11:54:07 EST</t>
  </si>
  <si>
    <t>[('CREATED', '2002-12-17 11:18 EST'), ('Dirk_Baeumer', '2002-12-17 11:54:07 EST', 'dirk_baeumer'), ('jdt-core-inbox', '2002-12-17 12:18:49 EST', 'akiezun'), ('Core', '2002-12-17 12:18:49 EST', 'akiezun'), ('Jerome_Lanneluc', '2002-12-17 14:34:19 EST', 'philippe_mulet'), ('2.1 M5', '2002-12-17 14:34:19 EST', 'philippe_mulet'), ('ASSIGNED', '2002-12-18 12:08:34 EST', 'jerome_lanneluc'), ('nested src folders - deleting the outermost one deletes all nested', '2003-01-10 07:31:45 EST', 'philippe_mulet'), ('jdt-ui-inbox', '2003-01-28 06:36:47 EST', 'jerome_lanneluc'), ('NEW', '2003-01-28 06:36:47 EST', 'jerome_lanneluc'), ('UI', '2003-01-28 06:36:47 EST', 'jerome_lanneluc'), ('jerome_lanneluc', '2003-01-28 06:39:52 EST', 'jerome_lanneluc'), ('Adam_Kiezun', '2003-01-28 06:48:12 EST', 'dirk_baeumer'), ('Philippe_Mulet', '2003-01-29 11:44:05 EST', 'dirk_baeumer'), ('jdt-core-inbox', '2003-01-30 11:38:18 EST', 'akiezun'), ('Core', '2003-01-30 11:38:18 EST', 'akiezun'), ('adam_kiezun', '2003-01-30 13:01:30 EST', 'philippe_mulet'), ('UI', '2003-01-30 13:01:30 EST', 'philippe_mulet'), ('RESOLVED', '2003-01-31 12:35:37 EST', 'akiezun'), ('FIXED', '2003-01-31 12:35:37 EST', 'akiezun')]</t>
  </si>
  <si>
    <t>2003-01-31 12:42:18 EST</t>
  </si>
  <si>
    <t>2002-12-17 11:21 EST</t>
  </si>
  <si>
    <t>2002-12-17 11:54:42 EST</t>
  </si>
  <si>
    <t>[('CREATED', '2002-12-17 11:21 EST'), ('Dirk_Baeumer', '2002-12-17 11:54:42 EST', 'dirk_baeumer'), ('jdt-core-inbox', '2002-12-17 12:21:17 EST', 'akiezun'), ('Core', '2002-12-17 12:21:17 EST', 'akiezun'), ('Jerome_Lanneluc', '2002-12-17 14:34:44 EST', 'philippe_mulet'), ('2.1 M5', '2002-12-17 14:34:44 EST', 'philippe_mulet'), ('ASSIGNED', '2002-12-18 12:08:48 EST', 'jerome_lanneluc'), ('jdt-ui-inbox', '2003-01-28 06:38:19 EST', 'jerome_lanneluc'), ('NEW', '2003-01-28 06:38:19 EST', 'jerome_lanneluc'), ('UI', '2003-01-28 06:38:19 EST', 'jerome_lanneluc'), ('jerome_lanneluc', '2003-01-28 06:39:30 EST', 'jerome_lanneluc'), ('Adam_Kiezun', '2003-01-28 07:03:53 EST', 'akiezun'), ('RESOLVED', '2003-01-31 12:42:18 EST', 'akiezun'), ('FIXED', '2003-01-31 12:42:18 EST', 'akiezun')]</t>
  </si>
  <si>
    <t>2002-12-17 12:54:59 EST</t>
  </si>
  <si>
    <t>2002-12-17 12:04 EST</t>
  </si>
  <si>
    <t>2002-12-17 12:54:28 EST</t>
  </si>
  <si>
    <t>[('CREATED', '2002-12-17 12:04 EST'), ('jdt-ui-inbox', '2002-12-17 12:54:28 EST', 'akiezun'), ('UI', '2002-12-17 12:54:28 EST', 'akiezun'), ('RESOLVED', '2002-12-17 12:54:59 EST', 'akiezun'), ('DUPLICATE', '2002-12-17 12:54:59 EST', 'akiezun')]</t>
  </si>
  <si>
    <t>2003-02-17 04:52:36 EST</t>
  </si>
  <si>
    <t>2002-12-21 18:26 EST</t>
  </si>
  <si>
    <t>2002-12-22 05:33:02 EST</t>
  </si>
  <si>
    <t>[('CREATED', '2002-12-21 18:26 EST'), ('Dirk_Baeumer', '2002-12-22 05:33:02 EST', 'andre_weinand'), ('code generation tool for forwarding methods to fields [refactoring]', '2002-12-22 05:33:02 EST', 'andre_weinand'), ('Dirk_Baeumer', '2002-12-23 03:57:29 EST', 'dirk_baeumer'), ('Martin_Aeschlimann', '2002-12-23 03:57:29 EST', 'dirk_baeumer'), ('code generation tool for forwarding methods to fields [code manipulation]', '2002-12-23 03:57:29 EST', 'dirk_baeumer'), (nan, '2003-01-09 03:45:52 EST', 'dirk_baeumer'), ('1', '2003-02-10 10:37:50 EST', 'm.moebius'), ('RESOLVED', '2003-02-17 04:52:36 EST', 'martinae'), ('FIXED', '2003-02-17 04:52:36 EST', 'martinae'), ('2.1 RC1', '2003-02-17 04:52:36 EST', 'martinae')]</t>
  </si>
  <si>
    <t>2003-02-04 14:17:53 EST</t>
  </si>
  <si>
    <t>2002-12-22 16:33 EST</t>
  </si>
  <si>
    <t>2002-12-24 09:57:49 EST</t>
  </si>
  <si>
    <t>[('CREATED', '2002-12-22 16:33 EST'), ('jdt-ui-inbox', '2002-12-24 09:57:49 EST', 'kent_johnson'), ('UI', '2002-12-24 09:57:49 EST', 'kent_johnson'), ('Martin_Aeschlimann', '2002-12-27 11:28:24 EST', 'dirk_baeumer'), ('enhancement', '2002-12-27 11:28:54 EST', 'dirk_baeumer'), ('Override/Implement Methods should be marked [code manipulation]', '2002-12-27 11:28:54 EST', 'dirk_baeumer'), ('RESOLVED', '2003-02-04 14:17:53 EST', 'martinae'), ('FIXED', '2003-02-04 14:17:53 EST', 'martinae'), ('2.1 M5', '2003-02-04 14:17:53 EST', 'martinae')]</t>
  </si>
  <si>
    <t>2002-12-31 10:09:48 EST</t>
  </si>
  <si>
    <t>2009-08-30 02:17:14 EDT</t>
  </si>
  <si>
    <t>2002-12-22 17:56 EST</t>
  </si>
  <si>
    <t>2002-12-22 18:00:20 EST</t>
  </si>
  <si>
    <t>[('CREATED', '2002-12-22 17:56 EST'), ('enhancement', '2002-12-22 18:00:20 EST', 'patrice_kerremans'), ("change visibility of items by clicking their icon in the 'package viewer'", '2002-12-22 18:01:13 EST', 'patrice_kerremans'), ('JDT', '2002-12-30 12:54:54 EST', 'sonia_dimitrov'), ('jdt-ui-inbox', '2002-12-30 12:54:54 EST', 'sonia_dimitrov'), ('UI', '2002-12-30 12:54:54 EST', 'sonia_dimitrov'), ('RESOLVED', '2002-12-31 10:09:48 EST', 'dirk_baeumer'), ('LATER', '2002-12-31 10:09:48 EST', 'dirk_baeumer'), ("change visibility of items by clicking their icon in the 'package viewer' [code manipulation]", '2002-12-31 10:09:48 EST', 'dirk_baeumer'), ('WONTFIX', '2009-08-30 02:17:14 EDT', 'denis.roy')]</t>
  </si>
  <si>
    <t>2003-01-06 05:26:33 EST</t>
  </si>
  <si>
    <t>2002-12-22 22:16 EST</t>
  </si>
  <si>
    <t>2002-12-24 10:01:26 EST</t>
  </si>
  <si>
    <t>[('CREATED', '2002-12-22 22:16 EST'), ('jdt-ui-inbox', '2002-12-24 10:01:26 EST', 'kent_johnson'), ('UI', '2002-12-24 10:01:26 EST', 'kent_johnson'), ('Adam_Kiezun', '2002-12-25 09:28:27 EST', 'dirk_baeumer'), ('Refactoring "Move To Top Level" handles interface members as non-static members [refactoring]', '2002-12-25 09:28:27 EST', 'dirk_baeumer'), ('ASSIGNED', '2003-01-06 04:17:28 EST', 'akiezun'), ('2.1 M5', '2003-01-06 04:17:28 EST', 'akiezun'), ('RESOLVED', '2003-01-06 05:26:33 EST', 'akiezun'), ('FIXED', '2003-01-06 05:26:33 EST', 'akiezun')]</t>
  </si>
  <si>
    <t>2003-01-07 09:36:46 EST</t>
  </si>
  <si>
    <t>2002-12-26 09:56 EST</t>
  </si>
  <si>
    <t>2003-01-02 12:15:55 EST</t>
  </si>
  <si>
    <t>[('CREATED', '2002-12-26 09:56 EST'), ('jdt-ui-inbox', '2003-01-02 12:15:55 EST', 'kent_johnson'), ('UI', '2003-01-02 12:15:55 EST', 'kent_johnson'), ('Adam_Kiezun', '2003-01-02 12:23:24 EST', 'andre_weinand'), ('Refactor - Change method signature [refactoring]', '2003-01-02 12:23:24 EST', 'andre_weinand'), ('ASSIGNED', '2003-01-06 04:16:49 EST', 'akiezun'), ('2.1 M5', '2003-01-06 04:16:49 EST', 'akiezun'), ('RESOLVED', '2003-01-07 09:36:46 EST', 'akiezun'), ('FIXED', '2003-01-07 09:36:46 EST', 'akiezun')]</t>
  </si>
  <si>
    <t>30087 (view as bug list)</t>
  </si>
  <si>
    <t>2003-02-03 13:15:22 EST</t>
  </si>
  <si>
    <t>2003-01-02 07:33 EST</t>
  </si>
  <si>
    <t>2003-01-06 04:22:09 EST</t>
  </si>
  <si>
    <t>[('CREATED', '2003-01-02 07:33 EST'), ('jdt-ui-inbox', '2003-01-06 04:22:09 EST', 'akiezun'), ('UI', '2003-01-06 04:22:09 EST', 'akiezun'), ('Dirk_Baeumer', '2003-01-07 10:43:36 EST', 'dirk_baeumer'), ('"Extract method" refactoring error [refactoring]', '2003-01-07 10:43:36 EST', 'dirk_baeumer'), ('2.1 M5', '2003-01-07 10:43:36 EST', 'dirk_baeumer'), ('Adam_Kiezun', '2003-01-23 10:07:36 EST', 'dirk_baeumer'), ('RESOLVED', '2003-02-03 13:15:22 EST', 'dirk_baeumer'), ('P2', '2003-02-03 13:15:22 EST', 'dirk_baeumer'), ('FIXED', '2003-02-03 13:15:22 EST', 'dirk_baeumer')]</t>
  </si>
  <si>
    <t>2003-01-07 11:01:23 EST</t>
  </si>
  <si>
    <t>2003-01-05 07:54 EST</t>
  </si>
  <si>
    <t>2003-01-07 11:01:04 EST</t>
  </si>
  <si>
    <t>[('CREATED', '2003-01-05 07:54 EST'), ('Dirk_Baeumer', '2003-01-07 11:01:04 EST', 'dirk_baeumer'), ('RESOLVED', '2003-01-07 11:01:23 EST', 'dirk_baeumer'), ('FIXED', '2003-01-07 11:01:23 EST', 'dirk_baeumer'), ('2.1 M5', '2003-01-07 11:01:23 EST', 'dirk_baeumer')]</t>
  </si>
  <si>
    <t>2003-01-21 05:27:59 EST</t>
  </si>
  <si>
    <t>2003-01-06 18:41 EST</t>
  </si>
  <si>
    <t>2003-01-07 03:38:57 EST</t>
  </si>
  <si>
    <t>[('CREATED', '2003-01-06 18:41 EST'), ('Adam_Kiezun', '2003-01-07 03:38:57 EST', 'akiezun'), ('RESOLVED', '2003-01-21 05:27:59 EST', 'akiezun'), ('WORKSFORME', '2003-01-21 05:27:59 EST', 'akiezun')]</t>
  </si>
  <si>
    <t>2003-01-07 05:26:24 EST</t>
  </si>
  <si>
    <t>2003-01-07 04:45 EST</t>
  </si>
  <si>
    <t>2003-01-07 05:23:30 EST</t>
  </si>
  <si>
    <t>[('CREATED', '2003-01-07 04:45 EST'), ('jdt-ui-inbox', '2003-01-07 05:23:30 EST', 'akiezun'), ('UI', '2003-01-07 05:23:30 EST', 'akiezun'), ('RESOLVED', '2003-01-07 05:26:24 EST', 'akiezun'), ('WORKSFORME', '2003-01-07 05:26:24 EST', 'akiezun'), ('adam_kiezun', '2003-01-07 05:26:24 EST', 'akiezun')]</t>
  </si>
  <si>
    <t>67192 302434 393000 (view as bug list)</t>
  </si>
  <si>
    <t>2004-02-06 06:42:02 EST</t>
  </si>
  <si>
    <t>2009-08-30 02:35:25 EDT</t>
  </si>
  <si>
    <t>2004-02-06 06:41:18 EST</t>
  </si>
  <si>
    <t>2003-01-07 16:58 EST</t>
  </si>
  <si>
    <t>2003-01-08 08:27:49 EST</t>
  </si>
  <si>
    <t>2012-10-29 04:26:07 EDT</t>
  </si>
  <si>
    <t>[('CREATED', '2003-01-07 16:58 EST'), ('jdt-ui-inbox', '2003-01-08 08:27:49 EST', 'kai-uwe_maetzel'), ('UI', '2003-01-08 08:27:49 EST', 'kai-uwe_maetzel'), ('RESOLVED', '2003-01-08 09:08:51 EST', 'dirk_baeumer'), ('helpwanted', '2003-01-08 09:08:51 EST', 'dirk_baeumer'), ('LATER', '2003-01-08 09:08:51 EST', 'dirk_baeumer'), ('add refactoring: singletonize [refactoring]', '2003-04-02 08:45:05 EST', 'dirk_baeumer'), ('REOPENED', '2004-01-31 16:40:32 EST', 'patrice_kerremans'), ('---', '2004-01-31 16:40:32 EST', 'patrice_kerremans'), ('jdt-text-inbox', '2004-02-05 16:53:50 EST', 'martinae'), ('NEW', '2004-02-05 16:53:50 EST', 'martinae'), ('Text', '2004-02-05 16:53:50 EST', 'martinae'), ('add refactoring: singletonize [templates]', '2004-02-05 16:53:50 EST', 'martinae'), ('martin_aeschlimann', '2004-02-06 02:50:21 EST', 'daniel_megert'), ('ASSIGNED', '2004-02-06 02:50:21 EST', 'daniel_megert'), ('[templates] add refactoring: singletonize', '2004-02-06 02:50:21 EST', 'daniel_megert'), ('RESOLVED', '2004-02-06 06:32:32 EST', 'patrice_kerremans'), ('LATER', '2004-02-06 06:32:32 EST', 'patrice_kerremans'), ('UI', '2004-02-06 06:41:18 EST', 'daniel_megert'), ('---', '2004-02-06 06:41:18 EST', 'daniel_megert'), ('REOPENED', '2004-02-06 06:41:18 EST', 'daniel_megert'), ('jdt-ui-inbox', '2004-02-06 06:41:35 EST', 'daniel_megert'), ('NEW', '2004-02-06 06:41:35 EST', 'daniel_megert'), (nan, '2004-02-06 06:42:02 EST', 'daniel_megert'), ('RESOLVED', '2004-02-06 06:42:02 EST', 'daniel_megert'), ('LATER', '2004-02-06 06:42:02 EST', 'daniel_megert'), ('WONTFIX', '2009-08-30 02:35:25 EDT', 'webmaster'), ('raubvogel87', '2009-09-13 10:43:11 EDT', 'nobody'), ('dannydig', '2009-09-14 11:55:54 EDT', 'markus.kell.r'), ('markus_keller', '2009-09-14 12:04:42 EDT', 'markus.kell.r'), ('dmitry.astu', '2010-04-14 03:40:03 EDT', 'daniel_megert'), ('pshivale', '2012-10-29 04:26:07 EDT', 'daniel_megert')]</t>
  </si>
  <si>
    <t>29288 (view as bug list)</t>
  </si>
  <si>
    <t>2003-01-09 04:10:45 EST</t>
  </si>
  <si>
    <t>2003-01-08 15:35 EST</t>
  </si>
  <si>
    <t>2003-01-09 04:10:24 EST</t>
  </si>
  <si>
    <t>2003-01-10 09:19:01 EST</t>
  </si>
  <si>
    <t>[('CREATED', '2003-01-08 15:35 EST'), ('Dirk_Baeumer', '2003-01-09 04:10:24 EST', 'dirk_baeumer'), ('RESOLVED', '2003-01-09 04:10:45 EST', 'dirk_baeumer'), ('FIXED', '2003-01-09 04:10:45 EST', 'dirk_baeumer'), ('2.1 M5', '2003-01-09 04:10:45 EST', 'dirk_baeumer'), ('Philippe_Mulet', '2003-01-10 09:19:01 EST', 'dirk_baeumer')]</t>
  </si>
  <si>
    <t>2003-01-09 11:33:44 EST</t>
  </si>
  <si>
    <t>2009-08-30 02:24:29 EDT</t>
  </si>
  <si>
    <t>2003-01-09 10:29 EST</t>
  </si>
  <si>
    <t>2003-01-09 10:35:41 EST</t>
  </si>
  <si>
    <t>[('CREATED', '2003-01-09 10:29 EST'), ('jdt-ui-inbox', '2003-01-09 10:35:41 EST', 'sonia_dimitrov'), ('UI', '2003-01-09 10:35:41 EST', 'sonia_dimitrov'), ('JDT', '2003-01-09 10:35:41 EST', 'sonia_dimitrov'), ('RESOLVED', '2003-01-09 11:33:44 EST', 'dirk_baeumer'), ('LATER', '2003-01-09 11:33:44 EST', 'dirk_baeumer'), ('Refactoring recording [refactoring]', '2003-01-09 11:33:44 EST', 'dirk_baeumer'), ('WONTFIX', '2009-08-30 02:24:29 EDT', 'denis.roy')]</t>
  </si>
  <si>
    <t>2003-01-10 04:03:42 EST</t>
  </si>
  <si>
    <t>2003-01-10 03:45 EST</t>
  </si>
  <si>
    <t>[('CREATED', '2003-01-10 03:45 EST'), ('RESOLVED', '2003-01-10 04:03:42 EST', 'akiezun'), ('FIXED', '2003-01-10 04:03:42 EST', 'akiezun'), ('2.1 M5', '2003-01-10 04:03:42 EST', 'akiezun')]</t>
  </si>
  <si>
    <t>RESOLVED  DUPLICATE  of bug 29167</t>
  </si>
  <si>
    <t>2003-01-10 06:48 EST</t>
  </si>
  <si>
    <t>[('CREATED', '2003-01-10 06:48 EST'), ('RESOLVED', '2003-01-10 09:19:01 EST', 'dirk_baeumer'), ('DUPLICATE', '2003-01-10 09:19:01 EST', 'dirk_baeumer')]</t>
  </si>
  <si>
    <t>2010-07-08 15:38:20 EDT</t>
  </si>
  <si>
    <t>2003-04-25 12:57:40 EDT</t>
  </si>
  <si>
    <t>2003-01-13 10:38 EST</t>
  </si>
  <si>
    <t>2003-01-13 10:48:47 EST</t>
  </si>
  <si>
    <t>[('CREATED', '2003-01-13 10:38 EST'), ('Adam_Kiezun', '2003-01-13 10:48:47 EST', 'akiezun'), ('UI', '2003-01-13 10:48:47 EST', 'akiezun'), ('RESOLVED', '2003-02-20 10:06:35 EST', 'akiezun'), ('LATER', '2003-02-20 10:06:35 EST', 'akiezun'), ('2.2', '2003-02-20 10:06:35 EST', 'akiezun'), ('REOPENED', '2003-04-25 12:57:40 EDT', 'akiezun'), ('---', '2003-04-25 12:57:40 EDT', 'akiezun'), ('Refactoring "move to top level" does not handle visibility of constants[refactoring]', '2003-04-25 13:16:18 EDT', 'akiezun'), ('---', '2003-11-10 18:58:07 EST', 'akiezun'), ('tobias_widmer', '2006-06-02 06:32:12 EDT', 'martinae'), ('NEW', '2006-06-02 06:32:12 EDT', 'martinae'), ('[member type to toplevel] does not handle visibility of constants[refactoring]', '2006-06-02 06:32:12 EDT', 'martinae'), ('[move member type] does not handle visibility of constants [refactoring]', '2006-06-02 06:49:01 EDT', 'tobias_widmer'), ('jdt-ui-inbox', '2007-06-14 10:44:40 EDT', 'martinae'), ('RESOLVED', '2010-07-08 15:38:20 EDT', 'deepakazad'), ('deepak.azad', '2010-07-08 15:38:20 EDT', 'deepakazad'), ('FIXED', '2010-07-08 15:38:20 EDT', 'deepakazad')]</t>
  </si>
  <si>
    <t>2003-01-13 12:25:19 EST</t>
  </si>
  <si>
    <t>2009-08-30 02:21:19 EDT</t>
  </si>
  <si>
    <t>2003-01-13 12:11 EST</t>
  </si>
  <si>
    <t>[('CREATED', '2003-01-13 12:11 EST'), ('Adam_Kiezun', '2003-01-13 12:25:19 EST', 'akiezun'), ('RESOLVED', '2003-01-13 12:25:19 EST', 'akiezun'), ('LATER', '2003-01-13 12:25:19 EST', 'akiezun'), ('helpwanted', '2003-04-02 08:48:32 EST', 'dirk_baeumer'), ('Refactoring support for removing unreferenced code [refactoring]', '2003-04-02 08:48:32 EST', 'dirk_baeumer'), ('WONTFIX', '2009-08-30 02:21:19 EDT', 'denis.roy')]</t>
  </si>
  <si>
    <t>2003-01-15 03:55:59 EST</t>
  </si>
  <si>
    <t>2009-08-30 02:40:11 EDT</t>
  </si>
  <si>
    <t>2003-01-14 02:18 EST</t>
  </si>
  <si>
    <t>2003-01-14 08:50:41 EST</t>
  </si>
  <si>
    <t>[('CREATED', '2003-01-14 02:18 EST'), ('jdt-ui-inbox', '2003-01-14 08:50:41 EST', 'sonia_dimitrov'), ('UI', '2003-01-14 08:50:41 EST', 'sonia_dimitrov'), ('JDT', '2003-01-14 08:50:41 EST', 'sonia_dimitrov'), ('LATER', '2003-01-15 03:55:59 EST', 'dirk_baeumer'), ('Compare w/ignore refactorings [compare] [refactoring]', '2003-01-15 03:55:59 EST', 'dirk_baeumer'), ('RESOLVED', '2003-01-15 03:55:59 EST', 'dirk_baeumer'), ('helpwanted', '2003-04-25 05:11:54 EDT', 'dirk_baeumer'), ('WONTFIX', '2009-08-30 02:40:11 EDT', 'webmaster')]</t>
  </si>
  <si>
    <t>2003-01-20 09:02:59 EST</t>
  </si>
  <si>
    <t>2009-08-30 02:39:18 EDT</t>
  </si>
  <si>
    <t>2003-01-14 20:37 EST</t>
  </si>
  <si>
    <t>2003-01-14 21:55:09 EST</t>
  </si>
  <si>
    <t>[('CREATED', '2003-01-14 20:37 EST'), ('kehn', '2003-01-14 21:55:09 EST', 'kehn'), ('jdt-ui-inbox', '2003-01-15 05:13:14 EST', 'kai-uwe_maetzel'), ('UI', '2003-01-15 05:13:14 EST', 'kai-uwe_maetzel'), ('Java refactoring limited to JavaEditor [refactoring]', '2003-01-15 08:04:55 EST', 'dirk_baeumer'), ('RESOLVED', '2003-01-20 09:02:59 EST', 'dirk_baeumer'), ('LATER', '2003-01-20 09:02:59 EST', 'dirk_baeumer'), ('WONTFIX', '2009-08-30 02:39:18 EDT', 'webmaster')]</t>
  </si>
  <si>
    <t>2003-01-28 05:31:29 EST</t>
  </si>
  <si>
    <t>2003-01-15 03:41 EST</t>
  </si>
  <si>
    <t>2003-01-21 05:16:55 EST</t>
  </si>
  <si>
    <t>[('CREATED', '2003-01-15 03:41 EST'), ('ASSIGNED', '2003-01-21 05:16:55 EST', 'akiezun'), ('2.1 M5', '2003-01-21 05:16:55 EST', 'akiezun'), ('Dirk_Baeumer', '2003-01-21 05:23:44 EST', 'akiezun'), ('NEW', '2003-01-21 05:23:44 EST', 'akiezun'), ('RESOLVED', '2003-01-28 05:31:29 EST', 'dirk_baeumer'), ('FIXED', '2003-01-28 05:31:29 EST', 'dirk_baeumer')]</t>
  </si>
  <si>
    <t>2003-01-21 06:13:38 EST</t>
  </si>
  <si>
    <t>2003-01-15 03:44 EST</t>
  </si>
  <si>
    <t>2003-01-21 05:25:45 EST</t>
  </si>
  <si>
    <t>[('CREATED', '2003-01-15 03:44 EST'), ('ASSIGNED', '2003-01-21 05:25:45 EST', 'akiezun'), ('RESOLVED', '2003-01-21 06:13:38 EST', 'akiezun'), ('WORKSFORME', '2003-01-21 06:13:38 EST', 'akiezun'), ('2.1 M5', '2003-01-21 06:13:38 EST', 'akiezun')]</t>
  </si>
  <si>
    <t>CLOSED  DUPLICATE  of bug 290430</t>
  </si>
  <si>
    <t>2003-02-07 13:52:25 EST</t>
  </si>
  <si>
    <t>2009-10-06 06:54:40 EDT</t>
  </si>
  <si>
    <t>2003-04-25 12:58:18 EDT</t>
  </si>
  <si>
    <t>2003-01-15 05:17 EST</t>
  </si>
  <si>
    <t>[('CREATED', '2003-01-15 05:17 EST'), ('RESOLVED', '2003-02-07 13:52:25 EST', 'akiezun'), ('LATER', '2003-02-07 13:52:25 EST', 'akiezun'), ('REOPENED', '2003-04-25 12:58:18 EDT', 'akiezun'), ('---', '2003-04-25 12:58:18 EDT', 'akiezun'), ('pull up: precondition checking could be improved[refactoring]', '2003-04-25 13:16:24 EDT', 'akiezun'), ('N.Metchev', '2003-10-07 05:26:19 EDT', 'nikolaymetchev'), ('tobias_widmer', '2006-06-02 06:31:17 EDT', 'martinae'), ('NEW', '2006-06-02 06:31:17 EDT', 'martinae'), ('[pull up] precondition checking could be improved', '2006-06-02 06:31:17 EDT', 'martinae'), ('[pull up] precondition checking could be improved [refactoring]', '2006-06-02 06:48:07 EDT', 'tobias_widmer'), ('jdt-ui-inbox', '2007-06-14 10:46:16 EDT', 'martinae'), ('CLOSED', '2009-10-06 06:54:40 EDT', 'markus.kell.r'), ('markus_keller', '2009-10-06 06:54:40 EDT', 'markus.kell.r'), ('DUPLICATE', '2009-10-06 06:54:40 EDT', 'markus.kell.r')]</t>
  </si>
  <si>
    <t>2003-01-27 09:01:38 EST</t>
  </si>
  <si>
    <t>2003-01-15 06:50 EST</t>
  </si>
  <si>
    <t>2003-01-27 05:54:58 EST</t>
  </si>
  <si>
    <t>[('CREATED', '2003-01-15 06:50 EST'), ('ASSIGNED', '2003-01-27 05:54:58 EST', 'akiezun'), ('2.1 M5', '2003-01-27 05:55:26 EST', 'akiezun'), ('RESOLVED', '2003-01-27 09:01:38 EST', 'akiezun'), ('FIXED', '2003-01-27 09:01:38 EST', 'akiezun')]</t>
  </si>
  <si>
    <t>RESOLVED  DUPLICATE  of bug 29151</t>
  </si>
  <si>
    <t>2003-01-20 08:36:55 EST</t>
  </si>
  <si>
    <t>2003-01-15 12:06 EST</t>
  </si>
  <si>
    <t>2003-01-15 12:32:44 EST</t>
  </si>
  <si>
    <t>[('CREATED', '2003-01-15 12:06 EST'), ('2.1 M5', '2003-01-15 12:32:44 EST', 'dirk_baeumer'), ('Dirk_Baeumer', '2003-01-15 12:32:44 EST', 'dirk_baeumer'), ('major', '2003-01-15 12:32:44 EST', 'dirk_baeumer'), ('P2', '2003-01-15 12:32:44 EST', 'dirk_baeumer'), ('Refactoring NPE during surrond with try/catch [refactoring]', '2003-01-15 12:32:44 EST', 'dirk_baeumer'), ('RESOLVED', '2003-01-20 08:36:55 EST', 'dirk_baeumer'), ('DUPLICATE', '2003-01-20 08:36:55 EST', 'dirk_baeumer')]</t>
  </si>
  <si>
    <t>29735 (view as bug list)</t>
  </si>
  <si>
    <t>2003-01-20 08:37:19 EST</t>
  </si>
  <si>
    <t>2003-01-15 12:13 EST</t>
  </si>
  <si>
    <t>2003-01-15 12:34:01 EST</t>
  </si>
  <si>
    <t>[('CREATED', '2003-01-15 12:13 EST'), ('P2', '2003-01-15 12:34:01 EST', 'dirk_baeumer'), ('NPE in SurroundWithTryCatchAction [refactoring]', '2003-01-15 12:34:01 EST', 'dirk_baeumer'), ('2.1 M5', '2003-01-15 12:34:01 EST', 'dirk_baeumer'), ('jdt-ui-inbox', '2003-01-15 12:34:01 EST', 'dirk_baeumer'), ('major', '2003-01-15 12:34:01 EST', 'dirk_baeumer'), ('Dirk_Baeumer', '2003-01-15 12:34:16 EST', 'dirk_baeumer'), ('Olivier_Thomann', '2003-01-20 03:53:24 EST', 'dirk_baeumer'), ('RESOLVED', '2003-01-20 08:37:19 EST', 'dirk_baeumer'), ('DUPLICATE', '2003-01-20 08:37:19 EST', 'dirk_baeumer')]</t>
  </si>
  <si>
    <t>2003-01-16 03:46:38 EST</t>
  </si>
  <si>
    <t>2009-08-30 02:37:53 EDT</t>
  </si>
  <si>
    <t>2003-01-15 13:49 EST</t>
  </si>
  <si>
    <t>2003-01-15 17:16:15 EST</t>
  </si>
  <si>
    <t>[('CREATED', '2003-01-15 13:49 EST'), ('jdt-ui-inbox', '2003-01-15 17:16:15 EST', 'philippe_mulet'), ('UI', '2003-01-15 17:16:15 EST', 'philippe_mulet'), ('RESOLVED', '2003-01-16 03:46:38 EST', 'dirk_baeumer'), ('helpwanted', '2003-01-16 03:46:38 EST', 'dirk_baeumer'), ('LATER', '2003-01-16 03:46:38 EST', 'dirk_baeumer'), ('Refactor&gt;Clone [refactoring]', '2003-01-16 03:46:38 EST', 'dirk_baeumer'), ('WONTFIX', '2009-08-30 02:37:53 EDT', 'webmaster')]</t>
  </si>
  <si>
    <t>RESOLVED  DUPLICATE  of bug 47509</t>
  </si>
  <si>
    <t>2005-09-06 11:45:35 EDT</t>
  </si>
  <si>
    <t>2005-09-06 11:45:04 EDT</t>
  </si>
  <si>
    <t>2003-01-16 03:57 EST</t>
  </si>
  <si>
    <t>2003-01-16 04:15:46 EST</t>
  </si>
  <si>
    <t>[('CREATED', '2003-01-16 03:57 EST'), ('jdt-ui-inbox', '2003-01-16 04:15:46 EST', 'akiezun'), ('UI', '2003-01-16 04:15:46 EST', 'akiezun'), ('Adam_Kiezun', '2003-01-16 04:25:39 EST', 'dirk_baeumer'), ('Refactoring does not create new import statement when renaming package [refactoring]', '2003-01-16 04:25:39 EST', 'dirk_baeumer'), ('RESOLVED', '2003-02-07 13:56:18 EST', 'akiezun'), ('LATER', '2003-02-07 13:56:18 EST', 'akiezun'), ('adam_kiezun', '2003-04-25 12:13:37 EDT', 'akiezun'), ('REOPENED', '2003-04-25 12:13:37 EDT', 'akiezun'), ('P4', '2003-04-25 12:13:37 EDT', 'akiezun'), ('---', '2003-04-25 12:13:37 EDT', 'akiezun'), ('jdt-ui-inbox', '2003-04-25 12:13:48 EDT', 'akiezun'), ('NEW', '2003-04-25 12:13:48 EDT', 'akiezun'), ('RESOLVED', '2003-04-25 12:14:18 EDT', 'akiezun'), ('LATER', '2003-04-25 12:14:18 EDT', 'akiezun'), ('markus_keller', '2005-09-06 11:45:04 EDT', 'markus.kell.r'), ('REOPENED', '2005-09-06 11:45:04 EDT', 'markus.kell.r'), ('---', '2005-09-06 11:45:04 EDT', 'markus.kell.r'), ('RESOLVED', '2005-09-06 11:45:35 EDT', 'markus.kell.r'), ('DUPLICATE', '2005-09-06 11:45:35 EDT', 'markus.kell.r')]</t>
  </si>
  <si>
    <t>RESOLVED  DUPLICATE  of bug 34065</t>
  </si>
  <si>
    <t>2003-03-12 14:26:05 EST</t>
  </si>
  <si>
    <t>2003-03-12 14:25:47 EST</t>
  </si>
  <si>
    <t>2003-01-16 09:10 EST</t>
  </si>
  <si>
    <t>2003-02-07 14:04:11 EST</t>
  </si>
  <si>
    <t>[('CREATED', '2003-01-16 09:10 EST'), ('ASSIGNED', '2003-02-07 14:04:11 EST', 'akiezun'), ('RESOLVED', '2003-02-20 10:08:42 EST', 'akiezun'), ('LATER', '2003-02-20 10:08:42 EST', 'akiezun'), ('REOPENED', '2003-03-12 14:25:47 EST', 'akiezun'), ('---', '2003-03-12 14:25:47 EST', 'akiezun'), ('RESOLVED', '2003-03-12 14:26:05 EST', 'akiezun'), ('DUPLICATE', '2003-03-12 14:26:05 EST', 'akiezun')]</t>
  </si>
  <si>
    <t>2003-01-17 02:42:44 EST</t>
  </si>
  <si>
    <t>2009-08-30 02:41:24 EDT</t>
  </si>
  <si>
    <t>2003-01-16 14:57 EST</t>
  </si>
  <si>
    <t>[('CREATED', '2003-01-16 14:57 EST'), ('RESOLVED', '2003-01-17 02:42:44 EST', 'dirk_baeumer'), ('LATER', '2003-01-17 02:42:44 EST', 'dirk_baeumer'), ('some packages in ui refactoring should go away or be used [refactoring]', '2003-01-17 02:42:44 EST', 'dirk_baeumer'), ('WONTFIX', '2009-08-30 02:41:24 EDT', 'webmaster')]</t>
  </si>
  <si>
    <t>2003-01-17 09:00:52 EST</t>
  </si>
  <si>
    <t>2003-01-17 04:49 EST</t>
  </si>
  <si>
    <t>2003-01-17 05:05:57 EST</t>
  </si>
  <si>
    <t>[('CREATED', '2003-01-17 04:49 EST'), ('Dirk_Baeumer', '2003-01-17 05:05:57 EST', 'akiezun'), ('RESOLVED', '2003-01-17 09:00:52 EST', 'dirk_baeumer'), ('FIXED', '2003-01-17 09:00:52 EST', 'dirk_baeumer'), ('2.1 M5', '2003-01-17 09:00:52 EST', 'dirk_baeumer')]</t>
  </si>
  <si>
    <t>2003-01-21 04:33:15 EST</t>
  </si>
  <si>
    <t>2003-01-17 09:15 EST</t>
  </si>
  <si>
    <t>2003-01-17 09:34:29 EST</t>
  </si>
  <si>
    <t>[('CREATED', '2003-01-17 09:15 EST'), ('ASSIGNED', '2003-01-17 09:34:29 EST', 'akiezun'), ('2.1 M5', '2003-01-17 09:34:29 EST', 'akiezun'), ('jdt-ui-inbox', '2003-01-21 04:32:36 EST', 'akiezun'), ('NEW', '2003-01-21 04:32:36 EST', 'akiezun'), ('Adam_Kiezun', '2003-01-21 04:33:05 EST', 'akiezun'), ('RESOLVED', '2003-01-21 04:33:15 EST', 'akiezun'), ('FIXED', '2003-01-21 04:33:15 EST', 'akiezun')]</t>
  </si>
  <si>
    <t>2003-02-04 11:12:54 EST</t>
  </si>
  <si>
    <t>2003-01-17 10:17 EST</t>
  </si>
  <si>
    <t>2003-01-17 10:18:05 EST</t>
  </si>
  <si>
    <t>[('CREATED', '2003-01-17 10:17 EST'), ('P2', '2003-01-17 10:18:05 EST', 'dirk_baeumer'), ('ASSIGNED', '2003-01-27 05:56:05 EST', 'akiezun'), ('2.1 M5', '2003-01-27 05:56:05 EST', 'akiezun'), ('FIXED', '2003-02-04 11:12:54 EST', 'akiezun'), ('RESOLVED', '2003-02-04 11:12:54 EST', 'akiezun')]</t>
  </si>
  <si>
    <t>RESOLVED  DUPLICATE  of bug 29549</t>
  </si>
  <si>
    <t>2003-01-20 03:53:24 EST</t>
  </si>
  <si>
    <t>2003-01-17 13:56 EST</t>
  </si>
  <si>
    <t>[('CREATED', '2003-01-17 13:56 EST'), ('RESOLVED', '2003-01-20 03:53:24 EST', 'dirk_baeumer'), ('DUPLICATE', '2003-01-20 03:53:24 EST', 'dirk_baeumer')]</t>
  </si>
  <si>
    <t>2003-01-20 04:10:10 EST</t>
  </si>
  <si>
    <t>2003-01-17 15:33 EST</t>
  </si>
  <si>
    <t>[('CREATED', '2003-01-17 15:33 EST'), ('RESOLVED', '2003-01-20 04:10:10 EST', 'dirk_baeumer'), ('WORKSFORME', '2003-01-20 04:10:10 EST', 'dirk_baeumer')]</t>
  </si>
  <si>
    <t>2003-01-20 04:31:12 EST</t>
  </si>
  <si>
    <t>2003-01-17 16:03 EST</t>
  </si>
  <si>
    <t>2003-01-17 16:08:25 EST</t>
  </si>
  <si>
    <t>[('CREATED', '2003-01-17 16:03 EST'), ('jdt-ui-inbox', '2003-01-17 16:08:25 EST', 'Olivier_Thomann'), ('UI', '2003-01-17 16:08:25 EST', 'Olivier_Thomann'), ('Adam_Kiezun', '2003-01-20 04:11:47 EST', 'dirk_baeumer'), ('RESOLVED', '2003-01-20 04:31:12 EST', 'akiezun'), ('DUPLICATE', '2003-01-20 04:31:12 EST', 'akiezun')]</t>
  </si>
  <si>
    <t>2003-01-21 09:24:34 EST</t>
  </si>
  <si>
    <t>2009-08-30 02:22:45 EDT</t>
  </si>
  <si>
    <t>2003-01-20 11:48 EST</t>
  </si>
  <si>
    <t>2003-01-21 08:52:33 EST</t>
  </si>
  <si>
    <t>[('CREATED', '2003-01-20 11:48 EST'), ('jdt-ui-inbox', '2003-01-21 08:52:33 EST', 'sonia_dimitrov'), ('UI', '2003-01-21 08:52:33 EST', 'sonia_dimitrov'), ('JDT', '2003-01-21 08:52:33 EST', 'sonia_dimitrov'), ('RESOLVED', '2003-01-21 09:24:34 EST', 'dirk_baeumer'), ('LATER', '2003-01-21 09:24:34 EST', 'dirk_baeumer'), ('Include jsp in refactoring [refactoring]', '2003-01-21 09:24:34 EST', 'dirk_baeumer'), ('WONTFIX', '2009-08-30 02:22:45 EDT', 'denis.roy')]</t>
  </si>
  <si>
    <t>2003-02-07 13:54:34 EST</t>
  </si>
  <si>
    <t>2003-01-27 15:57:54 EST</t>
  </si>
  <si>
    <t>2003-04-01 12:05:24 EST</t>
  </si>
  <si>
    <t>2003-01-20 12:09 EST</t>
  </si>
  <si>
    <t>2003-01-21 08:53:55 EST</t>
  </si>
  <si>
    <t>2010-11-30 08:24:47 EST</t>
  </si>
  <si>
    <t>[('CREATED', '2003-01-20 12:09 EST'), ('Platform-UI-Inbox', '2003-01-21 08:53:55 EST', 'sonia_dimitrov'), ('UI', '2003-01-21 08:53:55 EST', 'sonia_dimitrov'), ('Simon_Arsenault', '2003-01-22 09:24:10 EST', 'sonia_dimitrov'), ('[GlobalActions] Rename/Delete Action hooks', '2003-01-22 09:24:10 EST', 'sonia_dimitrov'), ('RESOLVED', '2003-01-27 15:57:54 EST', 'simon_arsenault'), ('INVALID', '2003-01-27 15:57:54 EST', 'simon_arsenault'), ('schacher', '2003-02-06 15:16:35 EST', 'schacher'), ('---', '2003-02-06 15:41:37 EST', 'jsholl'), ('REOPENED', '2003-02-06 15:41:37 EST', 'jsholl'), ('RESOLVED', '2003-02-07 13:54:34 EST', 'simon_arsenault'), ('LATER', '2003-02-07 13:54:34 EST', 'simon_arsenault'), ('REOPENED', '2003-04-01 12:05:24 EST', 'simon_arsenault'), ('---', '2003-04-01 12:05:24 EST', 'simon_arsenault'), ('Simon_Arsenault', '2003-04-01 12:06:15 EST', 'simon_arsenault'), ('jdt-ui-inbox', '2003-04-01 12:06:15 EST', 'simon_arsenault'), ('NEW', '2003-04-01 12:06:15 EST', 'simon_arsenault'), ('JDT', '2003-04-01 12:06:15 EST', 'simon_arsenault'), ('dirk_baeumer', '2003-04-01 12:22:55 EST', 'dirk_baeumer'), ('Rename/Delete Action hooks [refactoring]', '2003-04-01 12:22:55 EST', 'dirk_baeumer'), ('richkulp', '2003-12-03 16:19:55 EST', 'richkulp'), ('nick_edgar', '2003-12-03 17:40:23 EST', 'dirk_baeumer'), ('dj_houghton', '2003-12-04 09:31:42 EST', 'n.a.edgar'), ('jcagle', '2003-12-04 09:43:11 EST', 'schacher'), ('danberg', '2003-12-04 09:44:06 EST', 'schacher'), ('pahack', '2003-12-04 10:56:09 EST', 'pahack'), (nan, '2003-12-04 14:26:59 EST', 'simon_arsenault'), ('mutdosch', '2003-12-04 16:21:55 EST', 'mutdosch'), ('mdelder', '2004-02-05 10:58:36 EST', 'mdelder'), ('Participants should be allows to contribute to the user interface/wizard [refactoring]', '2004-12-22 05:14:33 EST', 'dirk_baeumer'), ('jlanuti', '2005-09-30 13:33:27 EDT', 'jlanuti'), ('tobias_widmer', '2006-04-05 14:07:56 EDT', 'dirk_baeumer'), ('[refactoring] [ltk] Participants should be allows to contribute to the user interface/wizard [refactoring]', '2006-04-05 14:07:56 EDT', 'dirk_baeumer'), ('[ltk] participants should be allowed to contribute to the user interface/wizard [refactoring]', '2006-05-29 05:52:56 EDT', 'tobias_widmer'), ('jdt-ui-inbox', '2007-06-14 10:44:22 EDT', 'martinae'), (nan, '2007-09-10 13:42:07 EDT', 'jlanuti'), ('harshana05', '2010-10-28 07:57:56 EDT', 'harshana05'), ('ASSIGNED', '2010-11-30 08:24:47 EST', 'daniel_megert'), ('daniel_megert', '2010-11-30 08:24:47 EST', 'daniel_megert')]</t>
  </si>
  <si>
    <t>RESOLVED  DUPLICATE  of bug 75603</t>
  </si>
  <si>
    <t>2004-12-07 06:29:49 EST</t>
  </si>
  <si>
    <t>2004-12-07 06:29:37 EST</t>
  </si>
  <si>
    <t>2003-01-21 11:07 EST</t>
  </si>
  <si>
    <t>2003-01-21 11:31:38 EST</t>
  </si>
  <si>
    <t>[('CREATED', '2003-01-21 11:07 EST'), ('jdt-ui-inbox', '2003-01-21 11:31:38 EST', 'akiezun'), ('UI', '2003-01-21 11:31:38 EST', 'akiezun'), ('Req for Extract Class or Insert Superclass refactoring [refactoring]', '2003-01-21 12:41:53 EST', 'dirk_baeumer'), ('RESOLVED', '2003-01-21 12:41:53 EST', 'dirk_baeumer'), ('LATER', '2003-01-21 12:41:53 EST', 'dirk_baeumer'), ('REOPENED', '2004-12-07 06:29:37 EST', 'dirk_baeumer'), ('---', '2004-12-07 06:29:37 EST', 'dirk_baeumer'), ('RESOLVED', '2004-12-07 06:29:49 EST', 'dirk_baeumer'), ('DUPLICATE', '2004-12-07 06:29:49 EST', 'dirk_baeumer')]</t>
  </si>
  <si>
    <t>21785 (view as bug list)</t>
  </si>
  <si>
    <t>2003-05-02 11:45:44 EDT</t>
  </si>
  <si>
    <t>2003-04-25 12:14:49 EDT</t>
  </si>
  <si>
    <t>2003-01-22 08:50 EST</t>
  </si>
  <si>
    <t>2003-02-20 10:09:16 EST</t>
  </si>
  <si>
    <t>[('CREATED', '2003-01-22 08:50 EST'), ('RESOLVED', '2003-02-20 10:09:16 EST', 'akiezun'), ('LATER', '2003-02-20 10:09:16 EST', 'akiezun'), ('2.2', '2003-02-20 10:09:16 EST', 'akiezun'), ('peter_burka', '2003-04-25 10:52:18 EDT', 'akiezun'), ('pull up: allow fields delcared in multi-declarations[refactoring]', '2003-04-25 10:52:58 EDT', 'akiezun'), ('REOPENED', '2003-04-25 12:14:49 EDT', 'akiezun'), ('---', '2003-04-25 12:14:49 EDT', 'akiezun'), ('RESOLVED', '2003-05-02 11:45:44 EDT', 'akiezun'), ('FIXED', '2003-05-02 11:45:44 EDT', 'akiezun')]</t>
  </si>
  <si>
    <t>2003-01-23 03:52:24 EST</t>
  </si>
  <si>
    <t>2003-01-22 16:58 EST</t>
  </si>
  <si>
    <t>[('CREATED', '2003-01-22 16:58 EST'), ('RESOLVED', '2003-01-23 03:52:24 EST', 'dirk_baeumer'), ('DUPLICATE', '2003-01-23 03:52:24 EST', 'dirk_baeumer')]</t>
  </si>
  <si>
    <t>2003-01-23 13:28:38 EST</t>
  </si>
  <si>
    <t>2003-01-23 12:47 EST</t>
  </si>
  <si>
    <t>[('CREATED', '2003-01-23 12:47 EST'), ('RESOLVED', '2003-01-23 13:28:38 EST', 'akiezun'), ('FIXED', '2003-01-23 13:28:38 EST', 'akiezun'), ('2.1 M5', '2003-01-23 13:28:38 EST', 'akiezun')]</t>
  </si>
  <si>
    <t>2003-08-21 09:32:59 EDT</t>
  </si>
  <si>
    <t>2003-04-25 12:25:56 EDT</t>
  </si>
  <si>
    <t>2003-01-24 04:40 EST</t>
  </si>
  <si>
    <t>2003-01-24 04:49:38 EST</t>
  </si>
  <si>
    <t>[('CREATED', '2003-01-24 04:40 EST'), ('enhancement', '2003-01-24 04:49:38 EST', 'akiezun'), ('Adam_Kiezun', '2003-01-24 04:55:12 EST', 'dirk_baeumer'), ('Extract local: Usage should be more comfortable [refactoring]', '2003-01-24 04:55:12 EST', 'dirk_baeumer'), ('Adam_Kiezun', '2003-01-24 07:43:59 EST', 'akiezun'), ('RESOLVED', '2003-02-20 10:09:37 EST', 'akiezun'), ('LATER', '2003-02-20 10:09:37 EST', 'akiezun'), ('REOPENED', '2003-04-25 12:25:56 EDT', 'akiezun'), ('---', '2003-04-25 12:25:56 EDT', 'akiezun'), ('3.0 M3', '2003-08-05 06:04:04 EDT', 'dirk_baeumer'), ('RESOLVED', '2003-08-21 09:32:59 EDT', 'akiezun'), ('FIXED', '2003-08-21 09:32:59 EDT', 'akiezun')]</t>
  </si>
  <si>
    <t>2005-11-28 05:06:33 EST</t>
  </si>
  <si>
    <t>2005-11-28 05:05:31 EST</t>
  </si>
  <si>
    <t>2009-08-30 02:35:41 EDT</t>
  </si>
  <si>
    <t>2005-11-28 05:06:17 EST</t>
  </si>
  <si>
    <t>2003-01-24 06:37 EST</t>
  </si>
  <si>
    <t>2003-01-24 07:37:01 EST</t>
  </si>
  <si>
    <t>[('CREATED', '2003-01-24 06:37 EST'), ('enhancement', '2003-01-24 07:37:01 EST', 'dirk_baeumer'), ('RESOLVED', '2003-01-24 07:37:01 EST', 'dirk_baeumer'), ('LATER', '2003-01-24 07:37:01 EST', 'dirk_baeumer'), ('Source&gt;Surround with try/catch does not allow refining an existing try/catch block [refactoring]', '2003-01-24 07:37:01 EST', 'dirk_baeumer'), ('helpwanted', '2003-04-25 06:56:31 EDT', 'dirk_baeumer'), ('Source&gt;Surround with try/catch does not allow refining an existing try/catch block [quick assist]', '2003-04-25 06:56:31 EDT', 'dirk_baeumer'), ('REOPENED', '2005-11-28 05:04:21 EST', 'dirk_baeumer'), ('---', '2005-11-28 05:04:21 EST', 'dirk_baeumer'), ('RESOLVED', '2005-11-28 05:05:31 EST', 'dirk_baeumer'), ('FIXED', '2005-11-28 05:05:31 EST', 'dirk_baeumer'), ('REOPENED', '2005-11-28 05:06:17 EST', 'dirk_baeumer'), ('---', '2005-11-28 05:06:17 EST', 'dirk_baeumer'), ('RESOLVED', '2005-11-28 05:06:33 EST', 'dirk_baeumer'), ('LATER', '2005-11-28 05:06:33 EST', 'dirk_baeumer'), ('WONTFIX', '2009-08-30 02:35:41 EDT', 'webmaster')]</t>
  </si>
  <si>
    <t>2003-01-27 05:45:42 EST</t>
  </si>
  <si>
    <t>2003-01-25 17:24 EST</t>
  </si>
  <si>
    <t>[('CREATED', '2003-01-25 17:24 EST'), ('RESOLVED', '2003-01-27 05:45:42 EST', 'akiezun'), ('FIXED', '2003-01-27 05:45:42 EST', 'akiezun'), ('2.1 M5', '2003-01-27 05:45:42 EST', 'akiezun')]</t>
  </si>
  <si>
    <t>2003-01-27 07:16:07 EST</t>
  </si>
  <si>
    <t>2003-01-25 18:11 EST</t>
  </si>
  <si>
    <t>2003-01-27 05:49:32 EST</t>
  </si>
  <si>
    <t>[('CREATED', '2003-01-25 18:11 EST'), ('ASSIGNED', '2003-01-27 05:49:32 EST', 'akiezun'), ('2.1 M5', '2003-01-27 07:01:32 EST', 'akiezun'), ('RESOLVED', '2003-01-27 07:16:07 EST', 'akiezun'), ('FIXED', '2003-01-27 07:16:07 EST', 'akiezun')]</t>
  </si>
  <si>
    <t>RESOLVED  DUPLICATE  of bug 18944</t>
  </si>
  <si>
    <t>2003-02-06 06:34:53 EST</t>
  </si>
  <si>
    <t>2003-01-26 20:20 EST</t>
  </si>
  <si>
    <t>[('CREATED', '2003-01-26 20:20 EST'), ('RESOLVED', '2003-02-06 06:34:53 EST', 'dirk_baeumer'), ('DUPLICATE', '2003-02-06 06:34:53 EST', 'dirk_baeumer')]</t>
  </si>
  <si>
    <t>2003-04-25 06:59:25 EDT</t>
  </si>
  <si>
    <t>2003-04-25 06:58:51 EDT</t>
  </si>
  <si>
    <t>2003-01-27 01:25 EST</t>
  </si>
  <si>
    <t>2003-01-27 05:20:31 EST</t>
  </si>
  <si>
    <t>[('CREATED', '2003-01-27 01:25 EST'), ('Adam_Kiezun', '2003-01-27 05:20:31 EST', 'akiezun'), ('RESOLVED', '2003-01-27 05:37:44 EST', 'dirk_baeumer'), ('LATER', '2003-01-27 05:37:44 EST', 'dirk_baeumer'), ('Extract method and add parameters [refactoring]', '2003-01-27 05:37:44 EST', 'dirk_baeumer'), ('REOPENED', '2003-04-25 06:58:51 EDT', 'dirk_baeumer'), ('---', '2003-04-25 06:58:51 EDT', 'dirk_baeumer'), ('RESOLVED', '2003-04-25 06:59:25 EDT', 'dirk_baeumer'), ('WONTFIX', '2003-04-25 06:59:25 EDT', 'dirk_baeumer')]</t>
  </si>
  <si>
    <t>2006-06-02 06:35:00 EDT</t>
  </si>
  <si>
    <t>2003-04-25 12:59:11 EDT</t>
  </si>
  <si>
    <t>2003-01-27 02:52 EST</t>
  </si>
  <si>
    <t>2003-01-27 05:38:29 EST</t>
  </si>
  <si>
    <t>[('CREATED', '2003-01-27 02:52 EST'), ('jdt-ui-inbox', '2003-01-27 05:38:29 EST', 'akiezun'), ('UI', '2003-01-27 05:38:29 EST', 'akiezun'), ('JDT', '2003-01-27 05:38:29 EST', 'akiezun'), ('Refactoring produces code that does not compile [refactoring]', '2003-01-27 07:37:24 EST', 'dirk_baeumer'), ('Adam_Kiezun', '2003-01-27 07:37:24 EST', 'dirk_baeumer'), ('RESOLVED', '2003-01-27 07:45:04 EST', 'akiezun'), ('LATER', '2003-01-27 07:45:04 EST', 'akiezun'), ('REOPENED', '2003-04-25 12:59:11 EDT', 'akiezun'), ('---', '2003-04-25 12:59:11 EDT', 'akiezun'), ('r.bhaskar', '2005-12-12 17:50:08 EST', 'r.bhaskar'), ('RESOLVED', '2006-06-02 06:35:00 EDT', 'martinae'), ('WONTFIX', '2006-06-02 06:35:00 EDT', 'martinae')]</t>
  </si>
  <si>
    <t>RESOLVED  DUPLICATE  of bug 41534</t>
  </si>
  <si>
    <t>2003-08-14 11:44:28 EDT</t>
  </si>
  <si>
    <t>2003-04-25 12:15:56 EDT</t>
  </si>
  <si>
    <t>2003-01-27 04:09 EST</t>
  </si>
  <si>
    <t>2003-01-28 11:57:32 EST</t>
  </si>
  <si>
    <t>2003-08-28 10:41:52 EDT</t>
  </si>
  <si>
    <t>[('CREATED', '2003-01-27 04:09 EST'), ('P4', '2003-01-28 11:57:32 EST', 'akiezun'), ('RESOLVED', '2003-02-07 13:57:18 EST', 'akiezun'), ('LATER', '2003-02-07 13:57:18 EST', 'akiezun'), ('REOPENED', '2003-04-25 12:15:56 EDT', 'akiezun'), ('---', '2003-04-25 12:15:56 EDT', 'akiezun'), ('Rename Refactoring shows wrong error[refactoring]', '2003-04-25 13:16:42 EDT', 'akiezun'), ('3.0 M3', '2003-08-05 06:06:52 EDT', 'dirk_baeumer'), ('RESOLVED', '2003-08-14 11:44:28 EDT', 'akiezun'), ('DUPLICATE', '2003-08-14 11:44:28 EDT', 'akiezun'), ('3.0 M4', '2003-08-28 10:41:52 EDT', 'jerome_lanneluc')]</t>
  </si>
  <si>
    <t>2003-01-28 04:29:09 EST</t>
  </si>
  <si>
    <t>2003-01-27 10:40 EST</t>
  </si>
  <si>
    <t>2003-01-27 10:52:31 EST</t>
  </si>
  <si>
    <t>[('CREATED', '2003-01-27 10:40 EST'), ('Stack trace in Refactor -&gt; Extract Local variable... [refactoring]', '2003-01-27 10:52:31 EST', 'dirk_baeumer'), ('Adam_Kiezun', '2003-01-27 10:52:31 EST', 'dirk_baeumer'), ('P2', '2003-01-27 10:52:31 EST', 'dirk_baeumer'), ('ASSIGNED', '2003-01-27 11:07:06 EST', 'akiezun'), ('2.1 M5', '2003-01-27 11:07:06 EST', 'akiezun'), ('RESOLVED', '2003-01-28 04:29:09 EST', 'akiezun'), ('FIXED', '2003-01-28 04:29:09 EST', 'akiezun')]</t>
  </si>
  <si>
    <t>2003-01-27 12:04:43 EST</t>
  </si>
  <si>
    <t>2009-08-30 02:16:27 EDT</t>
  </si>
  <si>
    <t>2003-01-27 12:03 EST</t>
  </si>
  <si>
    <t>[('CREATED', '2003-01-27 12:03 EST'), ('Adam_Kiezun', '2003-01-27 12:04:43 EST', 'dirk_baeumer'), ('enhancement', '2003-01-27 12:04:43 EST', 'dirk_baeumer'), ('RESOLVED', '2003-01-27 12:04:43 EST', 'dirk_baeumer'), ('LATER', '2003-01-27 12:04:43 EST', 'dirk_baeumer'), ('WONTFIX', '2009-08-30 02:16:27 EDT', 'denis.roy')]</t>
  </si>
  <si>
    <t>2003-01-28 10:19:02 EST</t>
  </si>
  <si>
    <t>2009-08-30 02:34:57 EDT</t>
  </si>
  <si>
    <t>2003-01-28 08:48 EST</t>
  </si>
  <si>
    <t>2003-01-28 09:39:56 EST</t>
  </si>
  <si>
    <t>[('CREATED', '2003-01-28 08:48 EST'), ('jdt-ui-inbox', '2003-01-28 09:39:56 EST', 'philippe_mulet'), ('UI', '2003-01-28 09:39:56 EST', 'philippe_mulet'), ('RESOLVED', '2003-01-28 10:19:02 EST', 'dirk_baeumer'), ('LATER', '2003-01-28 10:19:02 EST', 'dirk_baeumer'), ('[Refactoring] Feature request: add method to interface [refactoring]', '2003-01-28 10:19:02 EST', 'dirk_baeumer'), ('WONTFIX', '2009-08-30 02:34:57 EDT', 'webmaster')]</t>
  </si>
  <si>
    <t>2003-02-05 10:35:21 EST</t>
  </si>
  <si>
    <t>2003-01-28 13:07 EST</t>
  </si>
  <si>
    <t>2003-02-03 11:59:50 EST</t>
  </si>
  <si>
    <t>[('CREATED', '2003-01-28 13:07 EST'), ('ASSIGNED', '2003-02-03 11:59:50 EST', 'akiezun'), ('2.1 RC1', '2003-02-05 08:18:40 EST', 'akiezun'), ('2.1 M5', '2003-02-05 10:35:21 EST', 'akiezun'), ('RESOLVED', '2003-02-05 10:35:21 EST', 'akiezun'), ('FIXED', '2003-02-05 10:35:21 EST', 'akiezun')]</t>
  </si>
  <si>
    <t>2003-01-29 10:27:35 EST</t>
  </si>
  <si>
    <t>2009-08-30 02:20:50 EDT</t>
  </si>
  <si>
    <t>2003-01-29 10:22 EST</t>
  </si>
  <si>
    <t>[('CREATED', '2003-01-29 10:22 EST'), ('Martin_Aeschlimann', '2003-01-29 10:27:35 EST', 'dirk_baeumer'), ('RESOLVED', '2003-01-29 10:27:35 EST', 'dirk_baeumer'), ('LATER', '2003-01-29 10:27:35 EST', 'dirk_baeumer'), ("Add QuickAssist/Refactoring support for expanding ' ? : ' operator into ' if else ' statement [quick fix]", '2003-01-29 10:27:35 EST', 'dirk_baeumer'), ('WONTFIX', '2009-08-30 02:20:50 EDT', 'denis.roy')]</t>
  </si>
  <si>
    <t>2003-01-29 13:05:41 EST</t>
  </si>
  <si>
    <t>2003-01-29 12:49 EST</t>
  </si>
  <si>
    <t>2003-01-29 13:03:21 EST</t>
  </si>
  <si>
    <t>[('CREATED', '2003-01-29 12:49 EST'), ('jdt-ui-inbox', '2003-01-29 13:03:21 EST', 'akiezun'), ('UI', '2003-01-29 13:03:21 EST', 'akiezun'), ('JDT', '2003-01-29 13:03:21 EST', 'akiezun'), ('RESOLVED', '2003-01-29 13:05:41 EST', 'akiezun'), ('WORKSFORME', '2003-01-29 13:05:41 EST', 'akiezun')]</t>
  </si>
  <si>
    <t>36427 53177 (view as bug list)</t>
  </si>
  <si>
    <t>32498</t>
  </si>
  <si>
    <t>2006-01-03 13:06:09 EST</t>
  </si>
  <si>
    <t>2003-04-28 04:42:57 EDT</t>
  </si>
  <si>
    <t>2003-01-30 03:10 EST</t>
  </si>
  <si>
    <t>2003-01-30 05:59:50 EST</t>
  </si>
  <si>
    <t>[('CREATED', '2003-01-30 03:10 EST'), ('RESOLVED', '2003-01-30 05:59:50 EST', 'dirk_baeumer'), ('LATER', '2003-01-30 05:59:50 EST', 'dirk_baeumer'), ('Actions should check for IAdaptable#getAdapter(IJavaElement.class) [misc] [general issue]', '2003-01-30 05:59:50 EST', 'dirk_baeumer'), ('eclipse', '2003-04-25 13:06:50 EDT', 'dirk_baeumer'), ('REOPENED', '2003-04-28 04:42:57 EDT', 'dirk_baeumer'), ('P2', '2003-04-28 04:42:57 EDT', 'dirk_baeumer'), ('---', '2003-04-28 04:42:57 EDT', 'dirk_baeumer'), ('dirk_baeumer', '2003-04-28 04:43:10 EDT', 'dirk_baeumer'), ('NEW', '2003-04-28 04:43:10 EDT', 'dirk_baeumer'), ('32498', '2003-08-07 17:37:11 EDT', 'sxenos'), ('normal', '2004-03-09 12:46:43 EST', 'dirk_baeumer'), ('mdelder', '2004-03-09 12:47:21 EST', 'dirk_baeumer'), ('P3', '2004-03-10 04:54:13 EST', 'dirk_baeumer'), ('RESOLVED', '2006-01-03 13:06:09 EST', 'dirk_baeumer'), ('WORKSFORME', '2006-01-03 13:06:09 EST', 'dirk_baeumer')]</t>
  </si>
  <si>
    <t>2003-02-12 10:33:34 EST</t>
  </si>
  <si>
    <t>2003-01-30 07:25 EST</t>
  </si>
  <si>
    <t>2003-01-30 07:47:27 EST</t>
  </si>
  <si>
    <t>[('CREATED', '2003-01-30 07:25 EST'), ('jdt-ui-inbox', '2003-01-30 07:47:27 EST', 'akiezun'), ('UI', '2003-01-30 07:47:27 EST', 'akiezun'), ('Martin_Aeschlimann', '2003-02-06 06:36:08 EST', 'dirk_baeumer'), ('Exception upon inlining methods using assert key word', '2003-02-06 07:25:45 EST', 'dirk_baeumer'), ('martin_aeschlimann', '2003-02-09 13:28:46 EST', 'dirk_baeumer'), ('P2', '2003-02-09 13:28:46 EST', 'dirk_baeumer'), ('2.1 RC1', '2003-02-09 13:28:46 EST', 'dirk_baeumer'), ('RESOLVED', '2003-02-12 10:33:34 EST', 'martinae'), ('FIXED', '2003-02-12 10:33:34 EST', 'martinae')]</t>
  </si>
  <si>
    <t>2003-02-13 10:21:54 EST</t>
  </si>
  <si>
    <t>2003-01-31 03:41 EST</t>
  </si>
  <si>
    <t>2003-01-31 03:50:34 EST</t>
  </si>
  <si>
    <t>[('CREATED', '2003-01-31 03:41 EST'), ('adam_kiezun', '2003-01-31 03:50:34 EST', 'akiezun'), ('dirk_baeumer', '2003-01-31 03:57:51 EST', 'dirk_baeumer'), ('martin_aeschlimann', '2003-01-31 03:57:51 EST', 'dirk_baeumer'), ('FIXED', '2003-02-13 10:21:54 EST', 'martinae'), ('2.1 RC1', '2003-02-13 10:21:54 EST', 'martinae'), ('RESOLVED', '2003-02-13 10:21:54 EST', 'martinae')]</t>
  </si>
  <si>
    <t>RESOLVED  DUPLICATE  of bug 74035</t>
  </si>
  <si>
    <t>2004-11-25 15:47:58 EST</t>
  </si>
  <si>
    <t>2003-02-19 12:19:58 EST</t>
  </si>
  <si>
    <t>2004-11-25 15:45:16 EST</t>
  </si>
  <si>
    <t>2003-01-31 06:12 EST</t>
  </si>
  <si>
    <t>[('CREATED', '2003-01-31 06:12 EST'), ('RESOLVED', '2003-02-19 12:19:58 EST', 'akiezun'), ('INVALID', '2003-02-19 12:19:58 EST', 'akiezun'), ('REOPENED', '2004-11-25 15:45:16 EST', 'markus.kell.r'), ('---', '2004-11-25 15:45:16 EST', 'markus.kell.r'), ('RESOLVED', '2004-11-25 15:47:58 EST', 'markus.kell.r'), ('DUPLICATE', '2004-11-25 15:47:58 EST', 'markus.kell.r')]</t>
  </si>
  <si>
    <t>2003-02-13 13:27:00 EST</t>
  </si>
  <si>
    <t>2003-01-31 07:45 EST</t>
  </si>
  <si>
    <t>2003-01-31 07:57:49 EST</t>
  </si>
  <si>
    <t>[('CREATED', '2003-01-31 07:45 EST'), ('jdt-ui-inbox', '2003-01-31 07:57:49 EST', 'philippe_mulet'), ('UI', '2003-01-31 07:57:49 EST', 'philippe_mulet'), ('adam_kiezun', '2003-01-31 08:27:37 EST', 'dirk_baeumer'), ('critical', '2003-01-31 08:27:37 EST', 'dirk_baeumer'), ('P2', '2003-01-31 08:27:37 EST', 'dirk_baeumer'), ('dirk_baeumer', '2003-01-31 08:33:26 EST', 'akiezun'), ('P3', '2003-01-31 08:35:40 EST', 'dirk_baeumer'), ('jdt-ui-inbox', '2003-01-31 08:35:40 EST', 'dirk_baeumer'), ('major', '2003-01-31 08:35:40 EST', 'dirk_baeumer'), ('dirk_baeumer', '2003-01-31 09:52:17 EST', 'dirk_baeumer'), ('adam_kiezun', '2003-01-31 11:10:49 EST', 'akiezun'), ('jdt-core-inbox', '2003-01-31 11:10:49 EST', 'akiezun'), ('Core', '2003-01-31 11:10:49 EST', 'akiezun'), ('jerome_lanneluc', '2003-01-31 12:28:47 EST', 'philippe_mulet'), ('2.1 RC1', '2003-01-31 12:28:47 EST', 'philippe_mulet'), ('ASSIGNED', '2003-02-01 06:02:04 EST', 'jerome_lanneluc'), ('jdt-ui-inbox', '2003-02-10 11:31:09 EST', 'jerome_lanneluc'), ('NEW', '2003-02-10 11:31:09 EST', 'jerome_lanneluc'), ('UI', '2003-02-10 11:31:09 EST', 'jerome_lanneluc'), ('adam_kiezun', '2003-02-10 11:55:49 EST', 'dirk_baeumer'), ('ASSIGNED', '2003-02-13 12:59:51 EST', 'akiezun'), ('RESOLVED', '2003-02-13 13:27:00 EST', 'akiezun'), ('FIXED', '2003-02-13 13:27:00 EST', 'akiezun')]</t>
  </si>
  <si>
    <t>2003-02-03 05:17:10 EST</t>
  </si>
  <si>
    <t>2003-01-31 12:16 EST</t>
  </si>
  <si>
    <t>2003-02-01 17:30:38 EST</t>
  </si>
  <si>
    <t>[('CREATED', '2003-01-31 12:16 EST'), ('adam_kiezun', '2003-02-01 17:30:38 EST', 'dirk_baeumer'), ('P2', '2003-02-01 17:30:38 EST', 'dirk_baeumer'), ('Modify parameters: order of buttons [refactoring]', '2003-02-01 17:30:38 EST', 'dirk_baeumer'), ('RESOLVED', '2003-02-03 05:17:10 EST', 'akiezun'), ('FIXED', '2003-02-03 05:17:10 EST', 'akiezun'), ('2.1 M5', '2003-02-03 05:17:10 EST', 'akiezun')]</t>
  </si>
  <si>
    <t>31227 (view as bug list)</t>
  </si>
  <si>
    <t>2003-07-08 06:23:04 EDT</t>
  </si>
  <si>
    <t>2003-04-25 12:24:26 EDT</t>
  </si>
  <si>
    <t>2003-01-31 16:10 EST</t>
  </si>
  <si>
    <t>2003-02-01 17:40:19 EST</t>
  </si>
  <si>
    <t>[('CREATED', '2003-01-31 16:10 EST'), ('adam_kiezun', '2003-02-01 17:40:19 EST', 'dirk_baeumer'), ("Can't move source folder and dialog doesn't give reason [refactoring] [ccp]", '2003-02-01 17:40:19 EST', 'dirk_baeumer'), ('dirk_baeumer', '2003-02-07 12:43:00 EST', 'akiezun'), ('RESOLVED', '2003-02-07 14:00:20 EST', 'akiezun'), ('LATER', '2003-02-07 14:00:20 EST', 'akiezun'), ('REOPENED', '2003-02-10 04:52:06 EST', 'dirk_baeumer'), ('---', '2003-02-10 04:52:06 EST', 'dirk_baeumer'), ('NEW', '2003-02-10 04:52:22 EST', 'dirk_baeumer'), ('RESOLVED', '2003-03-05 13:24:20 EST', 'akiezun'), ('LATER', '2003-03-05 13:24:20 EST', 'akiezun'), ('---', '2003-04-25 12:24:26 EDT', 'akiezun'), ('REOPENED', '2003-04-25 12:24:26 EDT', 'akiezun'), ('ASSIGNED', '2003-06-05 19:02:41 EDT', 'akiezun'), ('3.0', '2003-06-05 19:02:41 EDT', 'akiezun'), ('3.0 M2', '2003-06-06 12:42:23 EDT', 'akiezun'), ('RESOLVED', '2003-07-08 06:23:04 EDT', 'akiezun'), ('FIXED', '2003-07-08 06:23:04 EDT', 'akiezun')]</t>
  </si>
  <si>
    <t>2003-02-03 11:45:26 EST</t>
  </si>
  <si>
    <t>2003-01-31 16:50 EST</t>
  </si>
  <si>
    <t>2003-01-31 17:12:36 EST</t>
  </si>
  <si>
    <t>[('CREATED', '2003-01-31 16:50 EST'), ('jdt-ui-inbox', '2003-01-31 17:12:36 EST', 'Olivier_Thomann'), ('UI', '2003-01-31 17:12:36 EST', 'Olivier_Thomann'), ('adam_kiezun', '2003-02-03 04:18:25 EST', 'akiezun'), ('FIXED', '2003-02-03 11:45:26 EST', 'akiezun'), ('2.1 M5', '2003-02-03 11:45:26 EST', 'akiezun'), ('RESOLVED', '2003-02-03 11:45:26 EST', 'akiezun')]</t>
  </si>
  <si>
    <t>31643 (view as bug list)</t>
  </si>
  <si>
    <t>2003-02-17 10:42:13 EST</t>
  </si>
  <si>
    <t>2003-02-03 07:44 EST</t>
  </si>
  <si>
    <t>2003-02-03 07:45:56 EST</t>
  </si>
  <si>
    <t>[('CREATED', '2003-02-03 07:44 EST'), ("Pull up doesn't support static fields, methods and inner classes [refactoring]", '2003-02-03 07:45:56 EST', 'dirk_baeumer'), ('2.1 RC1', '2003-02-03 07:45:56 EST', 'dirk_baeumer'), ('oyvind.harboe', '2003-02-12 06:59:53 EST', 'dirk_baeumer'), ('ASSIGNED', '2003-02-14 11:37:21 EST', 'akiezun'), ('enhancement', '2003-02-14 11:37:21 EST', 'akiezun'), ('RESOLVED', '2003-02-17 10:42:13 EST', 'akiezun'), ('FIXED', '2003-02-17 10:42:13 EST', 'akiezun')]</t>
  </si>
  <si>
    <t>2003-02-03 07:57:20 EST</t>
  </si>
  <si>
    <t>2003-02-03 07:47 EST</t>
  </si>
  <si>
    <t>2003-02-03 07:50:39 EST</t>
  </si>
  <si>
    <t>[('CREATED', '2003-02-03 07:47 EST'), ('adam_kiezun', '2003-02-03 07:50:39 EST', 'dirk_baeumer'), ('Pull up: no labels during progress reporting [refactoring]', '2003-02-03 07:50:39 EST', 'dirk_baeumer'), ('RESOLVED', '2003-02-03 07:57:20 EST', 'akiezun'), ('FIXED', '2003-02-03 07:57:20 EST', 'akiezun')]</t>
  </si>
  <si>
    <t>2003-04-25 07:06:43 EDT</t>
  </si>
  <si>
    <t>2003-04-25 07:06:22 EDT</t>
  </si>
  <si>
    <t>2003-02-03 07:50 EST</t>
  </si>
  <si>
    <t>2003-02-03 11:25:35 EST</t>
  </si>
  <si>
    <t>[('CREATED', '2003-02-03 07:50 EST'), ('dirk_baeumer', '2003-02-03 11:25:35 EST', 'akiezun'), ('jdt-ui-inbox', '2003-02-11 05:22:36 EST', 'dirk_baeumer'), ('RESOLVED', '2003-02-11 05:23:02 EST', 'dirk_baeumer'), ('LATER', '2003-02-11 05:23:02 EST', 'dirk_baeumer'), ('REOPENED', '2003-04-25 07:06:22 EDT', 'dirk_baeumer'), ('---', '2003-04-25 07:06:22 EDT', 'dirk_baeumer'), ('RESOLVED', '2003-04-25 07:06:43 EDT', 'dirk_baeumer'), ('FIXED', '2003-04-25 07:06:43 EDT', 'dirk_baeumer')]</t>
  </si>
  <si>
    <t>35803 39419 48912 61015 79942 89352 108755 108814 (view as bug list)</t>
  </si>
  <si>
    <t>2006-04-20 06:47:39 EDT</t>
  </si>
  <si>
    <t>2003-04-25 12:59:51 EDT</t>
  </si>
  <si>
    <t>2003-02-03 12:57 EST</t>
  </si>
  <si>
    <t>2003-02-03 12:57:36 EST</t>
  </si>
  <si>
    <t>[('CREATED', '2003-02-03 12:57 EST'), ('2.1 RC1', '2003-02-03 12:57:36 EST', 'dirk_baeumer'), ('enhancement', '2003-02-13 09:37:12 EST', 'akiezun'), ('RESOLVED', '2003-02-18 11:01:05 EST', 'akiezun'), ('LATER', '2003-02-18 11:01:05 EST', 'akiezun'), ('---', '2003-02-18 11:01:05 EST', 'akiezun'), ('REOPENED', '2003-04-25 12:59:51 EDT', 'akiezun'), ('---', '2003-04-25 12:59:51 EDT', 'akiezun'), ('preuss', '2003-06-24 04:43:30 EDT', 'preuss'), ('oyvind.harboe', '2003-07-11 09:19:43 EDT', 'akiezun'), ('N.Metchev', '2003-10-07 05:25:30 EDT', 'nikolaymetchev'), ('dcorbin', '2003-12-16 16:04:59 EST', 'dirk_baeumer'), ('jdt-ui-inbox', '2003-12-16 16:05:26 EST', 'dirk_baeumer'), ('NEW', '2003-12-16 16:05:26 EST', 'dirk_baeumer'), ('3.0', '2003-12-16 16:05:26 EST', 'dirk_baeumer'), ('---', '2004-05-21 10:26:34 EDT', 'dirk_baeumer'), ('tobias_widmer', '2004-09-14 09:03:32 EDT', 'dirk_baeumer'), ('3.1', '2004-09-14 09:03:32 EDT', 'dirk_baeumer'), ('mqm', '2004-09-14 12:18:52 EDT', 'dirk_baeumer'), ('goerge', '2004-10-10 07:51:25 EDT', 'goerge'), ('ben_hutchison', '2004-12-02 06:14:28 EST', 'dirk_baeumer'), ('eclipse', '2005-04-01 11:08:08 EST', 'dirk_baeumer'), ('mn', '2005-04-10 17:41:00 EDT', 'mn'), ('3.2', '2005-05-27 10:15:22 EDT', 'tobias_widmer'), ('stanio', '2005-07-27 14:29:16 EDT', 'stanio'), ('ngreenwood', '2005-08-03 09:11:05 EDT', 'neil.greenwood.lists'), ('kwhittingham', '2005-09-05 08:43:22 EDT', 'dirk_baeumer'), ('roger.ye', '2005-09-06 02:42:33 EDT', 'frederic_fusier'), ('eclipse', '2005-11-13 07:11:23 EST', 'g.albrecht'), ('RESOLVED', '2006-04-20 06:47:39 EDT', 'tobias_widmer'), ('FIXED', '2006-04-20 06:47:39 EDT', 'tobias_widmer'), ('3.2 RC2', '2006-04-20 06:47:39 EDT', 'tobias_widmer')]</t>
  </si>
  <si>
    <t>31325 (view as bug list)</t>
  </si>
  <si>
    <t>2003-02-11 09:03:00 EST</t>
  </si>
  <si>
    <t>2003-02-03 13:01 EST</t>
  </si>
  <si>
    <t>2003-02-03 13:12:21 EST</t>
  </si>
  <si>
    <t>[('CREATED', '2003-02-03 13:01 EST'), ('dirk_baeumer', '2003-02-03 13:12:21 EST', 'dirk_baeumer'), ('2.1 RC1', '2003-02-03 13:12:21 EST', 'dirk_baeumer'), ('kai-uwe_maetzel', '2003-02-07 11:22:12 EST', 'dirk_baeumer'), ('RESOLVED', '2003-02-11 09:03:00 EST', 'dirk_baeumer'), ('FIXED', '2003-02-11 09:03:00 EST', 'dirk_baeumer')]</t>
  </si>
  <si>
    <t>RESOLVED  DUPLICATE  of bug 31289</t>
  </si>
  <si>
    <t>2003-02-07 09:53:02 EST</t>
  </si>
  <si>
    <t>2003-02-05 10:27:54 EST</t>
  </si>
  <si>
    <t>2003-02-07 09:52:23 EST</t>
  </si>
  <si>
    <t>2003-02-04 11:45 EST</t>
  </si>
  <si>
    <t>2003-02-04 12:07:47 EST</t>
  </si>
  <si>
    <t>[('CREATED', '2003-02-04 11:45 EST'), ('martin_aeschlimann', '2003-02-04 12:07:47 EST', 'dirk_baeumer'), ('major', '2003-02-04 12:07:47 EST', 'dirk_baeumer'), ('P2', '2003-02-04 12:07:47 EST', 'dirk_baeumer'), ('StringIndexOutOfBoundsException from ASTRewriter [code manipulation]', '2003-02-04 12:07:47 EST', 'dirk_baeumer'), ('RESOLVED', '2003-02-05 10:27:54 EST', 'martinae'), ('INVALID', '2003-02-05 10:27:54 EST', 'martinae'), ('REOPENED', '2003-02-07 09:52:23 EST', 'martinae'), ('---', '2003-02-07 09:52:23 EST', 'martinae'), ('RESOLVED', '2003-02-07 09:53:02 EST', 'martinae'), ('DUPLICATE', '2003-02-07 09:53:02 EST', 'martinae')]</t>
  </si>
  <si>
    <t>38218 41268 44276 (view as bug list)</t>
  </si>
  <si>
    <t>2007-02-16 04:50:29 EST</t>
  </si>
  <si>
    <t>2007-02-16 04:50:03 EST</t>
  </si>
  <si>
    <t>2003-02-04 14:57 EST</t>
  </si>
  <si>
    <t>2003-02-06 06:40:08 EST</t>
  </si>
  <si>
    <t>[('CREATED', '2003-02-04 14:57 EST'), ('RESOLVED', '2003-02-06 06:40:08 EST', 'dirk_baeumer'), ('LATER', '2003-02-06 06:40:08 EST', 'dirk_baeumer'), ('Local rename of parameter should update Javadoc [general issue] [refactoring]', '2003-02-06 06:40:08 EST', 'dirk_baeumer'), ('simon.lieschke', '2003-06-03 05:08:42 EDT', 'dirk_baeumer'), ('paul.ruane', '2003-09-04 11:41:47 EDT', 'dirk_baeumer'), ('boris', '2003-10-07 05:25:48 EDT', 'dirk_baeumer'), ('bradleyjames', '2007-02-15 22:30:23 EST', 'bradleyjames'), ('REOPENED', '2007-02-16 04:50:03 EST', 'markus.kell.r'), ('---', '2007-02-16 04:50:03 EST', 'markus.kell.r'), ('markus_keller', '2007-02-16 04:50:29 EST', 'markus.kell.r'), ('RESOLVED', '2007-02-16 04:50:29 EST', 'markus.kell.r'), ('WORKSFORME', '2007-02-16 04:50:29 EST', 'markus.kell.r'), ('3.3 M4', '2007-02-16 04:50:29 EST', 'markus.kell.r')]</t>
  </si>
  <si>
    <t>2003-02-12 08:43:59 EST</t>
  </si>
  <si>
    <t>2003-02-04 15:32 EST</t>
  </si>
  <si>
    <t>2003-02-05 02:31:10 EST</t>
  </si>
  <si>
    <t>[('CREATED', '2003-02-04 15:32 EST'), ('adam_kiezun', '2003-02-05 02:31:10 EST', 'dirk_baeumer'), ('P2', '2003-02-05 02:31:10 EST', 'dirk_baeumer'), ('2.1 RC1', '2003-02-05 02:31:10 EST', 'dirk_baeumer'), ('jdt-core-inbox', '2003-02-10 07:37:32 EST', 'akiezun'), ('Core', '2003-02-10 07:37:32 EST', 'akiezun'), ('adam_kiezun', '2003-02-10 07:37:32 EST', 'akiezun'), ('david_audel', '2003-02-12 05:23:40 EST', 'philippe_mulet'), ('david_audel', '2003-02-12 06:14:29 EST', 'david_audel'), ('jdt-ui-inbox', '2003-02-12 06:14:29 EST', 'david_audel'), ('UI', '2003-02-12 06:14:29 EST', 'david_audel'), ('adam_kiezun', '2003-02-12 06:27:31 EST', 'dirk_baeumer'), ('RESOLVED', '2003-02-12 08:43:59 EST', 'akiezun'), ('FIXED', '2003-02-12 08:43:59 EST', 'akiezun')]</t>
  </si>
  <si>
    <t>2003-02-05 05:24:53 EST</t>
  </si>
  <si>
    <t>2003-02-04 18:25 EST</t>
  </si>
  <si>
    <t>2003-02-04 18:27:25 EST</t>
  </si>
  <si>
    <t>[('CREATED', '2003-02-04 18:25 EST'), ('jdt-ui-inbox', '2003-02-04 18:27:25 EST', 'philippe_mulet'), ('UI', '2003-02-04 18:27:25 EST', 'philippe_mulet'), ('Refactor-&gt; Rename in Static initializer', '2003-02-04 18:27:25 EST', 'philippe_mulet'), ('adam_kiezun', '2003-02-05 02:40:12 EST', 'dirk_baeumer'), ('Refactor-&gt; Rename in Static initializer [refactoring]', '2003-02-05 02:40:12 EST', 'dirk_baeumer'), ('ASSIGNED', '2003-02-05 05:11:36 EST', 'akiezun'), ('2.1 RC1', '2003-02-05 05:11:36 EST', 'akiezun'), ('RESOLVED', '2003-02-05 05:24:53 EST', 'akiezun'), ('FIXED', '2003-02-05 05:24:53 EST', 'akiezun'), ('2.1 M5', '2003-02-05 05:24:53 EST', 'akiezun')]</t>
  </si>
  <si>
    <t>25125</t>
  </si>
  <si>
    <t>2003-02-13 06:55:07 EST</t>
  </si>
  <si>
    <t>2003-02-05 03:54 EST</t>
  </si>
  <si>
    <t>2003-02-06 06:42:11 EST</t>
  </si>
  <si>
    <t>[('CREATED', '2003-02-05 03:54 EST'), ('adam_kiezun', '2003-02-06 06:42:11 EST', 'dirk_baeumer'), (nan, '2003-02-06 06:42:11 EST', 'dirk_baeumer'), ('25125', '2003-02-06 06:42:11 EST', 'dirk_baeumer'), ('ASSIGNED', '2003-02-07 13:54:49 EST', 'akiezun'), ('2.1 RC1', '2003-02-07 13:54:49 EST', 'akiezun'), ('P2', '2003-02-12 13:59:42 EST', 'akiezun'), ('RESOLVED', '2003-02-13 06:55:07 EST', 'akiezun'), ('FIXED', '2003-02-13 06:55:07 EST', 'akiezun')]</t>
  </si>
  <si>
    <t>31082 (view as bug list)</t>
  </si>
  <si>
    <t>2003-02-05 10:19:26 EST</t>
  </si>
  <si>
    <t>2003-02-05 10:12 EST</t>
  </si>
  <si>
    <t>2003-02-06 10:01:11 EST</t>
  </si>
  <si>
    <t>[('CREATED', '2003-02-05 10:12 EST'), ('RESOLVED', '2003-02-05 10:19:26 EST', 'akiezun'), ('FIXED', '2003-02-05 10:19:26 EST', 'akiezun'), ('2.1 M5', '2003-02-05 10:19:26 EST', 'akiezun'), ('N.Metchev', '2003-02-06 10:01:11 EST', 'akiezun')]</t>
  </si>
  <si>
    <t>2004-12-22 05:19:26 EST</t>
  </si>
  <si>
    <t>2003-02-05 10:47 EST</t>
  </si>
  <si>
    <t>2003-02-06 06:43:38 EST</t>
  </si>
  <si>
    <t>[('CREATED', '2003-02-05 10:47 EST'), ('dirk_baeumer', '2003-02-06 06:43:38 EST', 'dirk_baeumer'), ('RESOLVED', '2004-12-22 05:19:26 EST', 'dirk_baeumer'), ('FIXED', '2004-12-22 05:19:26 EST', 'dirk_baeumer')]</t>
  </si>
  <si>
    <t>2003-02-06 04:45:38 EST</t>
  </si>
  <si>
    <t>2003-02-05 17:17 EST</t>
  </si>
  <si>
    <t>[('CREATED', '2003-02-05 17:17 EST'), ('RESOLVED', '2003-02-06 04:45:38 EST', 'dirk_baeumer'), ('WORKSFORME', '2003-02-06 04:45:38 EST', 'dirk_baeumer')]</t>
  </si>
  <si>
    <t>2003-02-06 05:14:03 EST</t>
  </si>
  <si>
    <t>2009-08-30 02:38:08 EDT</t>
  </si>
  <si>
    <t>2003-02-05 22:41 EST</t>
  </si>
  <si>
    <t>[('CREATED', '2003-02-05 22:41 EST'), ("Refactoring a does not change 'Run' profile [refactoring]", '2003-02-06 05:14:03 EST', 'dirk_baeumer'), ('RESOLVED', '2003-02-06 05:14:03 EST', 'dirk_baeumer'), ('LATER', '2003-02-06 05:14:03 EST', 'dirk_baeumer'), ('WONTFIX', '2009-08-30 02:38:08 EDT', 'webmaster')]</t>
  </si>
  <si>
    <t>2003-04-25 12:18:12 EDT</t>
  </si>
  <si>
    <t>2009-08-30 02:22:01 EDT</t>
  </si>
  <si>
    <t>2003-04-25 12:17:36 EDT</t>
  </si>
  <si>
    <t>2003-02-06 03:58 EST</t>
  </si>
  <si>
    <t>2003-02-07 14:00:53 EST</t>
  </si>
  <si>
    <t>2010-04-29 07:31:53 EDT</t>
  </si>
  <si>
    <t>yann.tanguy</t>
  </si>
  <si>
    <t>[('CREATED', '2003-02-06 03:58 EST'), ('ASSIGNED', '2003-02-07 14:00:53 EST', 'akiezun'), ('2.1 RC1', '2003-02-07 14:00:53 EST', 'akiezun'), ('RESOLVED', '2003-02-13 12:12:02 EST', 'akiezun'), ('LATER', '2003-02-13 12:12:02 EST', 'akiezun'), ('---', '2003-02-13 12:12:02 EST', 'akiezun'), ('REOPENED', '2003-04-25 12:17:36 EDT', 'akiezun'), ('P4', '2003-04-25 12:17:36 EDT', 'akiezun'), ('---', '2003-04-25 12:17:36 EDT', 'akiezun'), ('adam_kiezun', '2003-04-25 12:17:36 EDT', 'akiezun'), ('jdt-ui-inbox', '2003-04-25 12:17:44 EDT', 'akiezun'), ('NEW', '2003-04-25 12:17:44 EDT', 'akiezun'), ('RESOLVED', '2003-04-25 12:18:12 EDT', 'akiezun'), ('LATER', '2003-04-25 12:18:12 EDT', 'akiezun'), ('Externalize String Tool does not work with package fragments [refactoring]', '2003-04-28 05:45:03 EDT', 'dirk_baeumer'), ('WONTFIX', '2009-08-30 02:22:01 EDT', 'denis.roy'), ('yann.tanguy', '2010-04-29 07:31:53 EDT', 'yann.tanguy')]</t>
  </si>
  <si>
    <t>RESOLVED  DUPLICATE  of bug 30959</t>
  </si>
  <si>
    <t>2003-02-06 07:45 EST</t>
  </si>
  <si>
    <t>2003-02-06 09:34:17 EST</t>
  </si>
  <si>
    <t>[('CREATED', '2003-02-06 07:45 EST'), ('adam_kiezun', '2003-02-06 09:34:17 EST', 'akiezun'), ('UI', '2003-02-06 09:34:17 EST', 'akiezun'), ('P1', '2003-02-06 09:34:17 EST', 'akiezun'), ('2.1 RC1', '2003-02-06 09:34:17 EST', 'akiezun'), ('ASSIGNED', '2003-02-06 09:55:59 EST', 'akiezun'), ('RESOLVED', '2003-02-06 10:01:11 EST', 'akiezun'), ('DUPLICATE', '2003-02-06 10:01:11 EST', 'akiezun'), ('2.1 M5', '2003-02-06 10:01:11 EST', 'akiezun')]</t>
  </si>
  <si>
    <t>2003-04-25 07:08:32 EDT</t>
  </si>
  <si>
    <t>2003-04-25 07:07:58 EDT</t>
  </si>
  <si>
    <t>2003-02-06 10:10 EST</t>
  </si>
  <si>
    <t>2003-02-06 10:10:29 EST</t>
  </si>
  <si>
    <t>[('CREATED', '2003-02-06 10:10 EST'), ('dirk_baeumer', '2003-02-06 10:10:29 EST', 'dirk_baeumer'), ('P2', '2003-02-06 10:10:29 EST', 'dirk_baeumer'), ('2.1 RC1', '2003-02-06 10:10:29 EST', 'dirk_baeumer'), ('jdt-ui-inbox', '2003-02-19 15:33:15 EST', 'dirk_baeumer'), ('There should be a different label in the move and rename dialog for updating names in non Java Resources [refactoring]', '2003-02-19 15:33:15 EST', 'dirk_baeumer'), ('---', '2003-02-19 15:33:15 EST', 'dirk_baeumer'), ('RESOLVED', '2003-02-19 15:33:35 EST', 'dirk_baeumer'), ('LATER', '2003-02-19 15:33:35 EST', 'dirk_baeumer'), ('REOPENED', '2003-04-25 07:07:58 EDT', 'dirk_baeumer'), ('---', '2003-04-25 07:07:58 EDT', 'dirk_baeumer'), ('RESOLVED', '2003-04-25 07:08:32 EDT', 'dirk_baeumer'), ('INVALID', '2003-04-25 07:08:32 EDT', 'dirk_baeumer')]</t>
  </si>
  <si>
    <t>31521 (view as bug list)</t>
  </si>
  <si>
    <t>2003-02-10 10:27:32 EST</t>
  </si>
  <si>
    <t>2003-02-06 12:59 EST</t>
  </si>
  <si>
    <t>2003-02-07 13:18:20 EST</t>
  </si>
  <si>
    <t>2003-02-11 06:42:03 EST</t>
  </si>
  <si>
    <t>[('CREATED', '2003-02-06 12:59 EST'), ('adam_kiezun', '2003-02-07 13:18:20 EST', 'akiezun'), ('P2', '2003-02-07 13:18:20 EST', 'akiezun'), ('2.1 RC1', '2003-02-07 13:18:20 EST', 'akiezun'), ('RESOLVED', '2003-02-10 10:27:32 EST', 'akiezun'), ('FIXED', '2003-02-10 10:27:32 EST', 'akiezun'), ('gkarasiuk', '2003-02-11 06:42:03 EST', 'akiezun')]</t>
  </si>
  <si>
    <t>2007-08-02 08:26:35 EDT</t>
  </si>
  <si>
    <t>2007-08-02 07:01:14 EDT</t>
  </si>
  <si>
    <t>2003-02-06 13:03 EST</t>
  </si>
  <si>
    <t>2003-02-07 13:20:35 EST</t>
  </si>
  <si>
    <t>[('CREATED', '2003-02-06 13:03 EST'), ('adam_kiezun', '2003-02-07 13:20:35 EST', 'akiezun'), ('ASSIGNED', '2003-02-09 07:14:48 EST', 'dirk_baeumer'), ("Can't DnD a package to a simple project [DnD] [ccp] [refactoring]", '2003-02-09 07:14:48 EST', 'dirk_baeumer'), ('enhancement', '2003-04-25 13:35:00 EDT', 'akiezun'), ("[dnd] Can't DnD a package to a simple project [DnD] [ccp] [refactoring]", '2006-06-12 03:18:23 EDT', 'martinae'), ('daniel_megert', '2007-07-16 10:40:18 EDT', 'benno.baumgartner'), ("[ccp][dnd] Can't drop a java element onto a none java element (except ICompilationUnit) [refactoring]", '2007-07-17 04:15:50 EDT', 'benno.baumgartner'), ("[ccp][dnd] Can't drop a java element onto any other element (except ICompilationUnit) [refactoring]", '2007-07-17 04:19:05 EDT', 'daniel_megert'), ('benno_baumgartner', '2007-07-31 10:54:30 EDT', 'benno.baumgartner'), ('RESOLVED', '2007-07-31 11:01:32 EDT', 'benno.baumgartner'), ('FIXED', '2007-07-31 11:01:32 EDT', 'benno.baumgartner'), ('3.4 M1', '2007-07-31 11:01:44 EDT', 'benno.baumgartner'), ('REOPENED', '2007-08-02 07:01:14 EDT', 'daniel_megert'), ('---', '2007-08-02 07:01:14 EDT', 'daniel_megert'), ('RESOLVED', '2007-08-02 08:26:35 EDT', 'benno.baumgartner'), ('FIXED', '2007-08-02 08:26:35 EDT', 'benno.baumgartner')]</t>
  </si>
  <si>
    <t>RESOLVED  DUPLICATE  of bug 30747</t>
  </si>
  <si>
    <t>2003-02-07 12:43:00 EST</t>
  </si>
  <si>
    <t>2003-02-07 05:42 EST</t>
  </si>
  <si>
    <t>2003-02-07 05:45:47 EST</t>
  </si>
  <si>
    <t>[('CREATED', '2003-02-07 05:42 EST'), ('adam_kiezun', '2003-02-07 05:45:47 EST', 'dirk_baeumer'), ('RESOLVED', '2003-02-07 12:43:00 EST', 'akiezun'), ('DUPLICATE', '2003-02-07 12:43:00 EST', 'akiezun')]</t>
  </si>
  <si>
    <t>2003-02-07 12:44:55 EST</t>
  </si>
  <si>
    <t>2009-08-30 02:35:59 EDT</t>
  </si>
  <si>
    <t>2003-02-07 05:55 EST</t>
  </si>
  <si>
    <t>[('CREATED', '2003-02-07 05:55 EST'), ('RESOLVED', '2003-02-07 12:44:55 EST', 'akiezun'), ('LATER', '2003-02-07 12:44:55 EST', 'akiezun'), ("Move dialog should not offer targets that can't be used as targets [ccp] [refactoring]", '2003-04-02 09:04:00 EST', 'dirk_baeumer'), ('WONTFIX', '2009-08-30 02:35:59 EDT', 'webmaster')]</t>
  </si>
  <si>
    <t>2003-02-11 05:45:09 EST</t>
  </si>
  <si>
    <t>2003-02-10 12:37:50 EST</t>
  </si>
  <si>
    <t>2003-02-07 06:23 EST</t>
  </si>
  <si>
    <t>2003-02-07 12:52:25 EST</t>
  </si>
  <si>
    <t>[('CREATED', '2003-02-07 06:23 EST'), ('adam_kiezun', '2003-02-07 12:52:25 EST', 'akiezun'), ('2.1 RC1', '2003-02-07 12:52:25 EST', 'akiezun'), ('RESOLVED', '2003-02-10 12:20:31 EST', 'akiezun'), ('LATER', '2003-02-10 12:20:31 EST', 'akiezun'), ('---', '2003-02-10 12:20:31 EST', 'akiezun'), ('REOPENED', '2003-02-10 12:37:50 EST', 'dirk_baeumer'), ('---', '2003-02-10 12:37:50 EST', 'dirk_baeumer'), ('RESOLVED', '2003-02-11 05:45:09 EST', 'akiezun'), ('FIXED', '2003-02-11 05:45:09 EST', 'akiezun')]</t>
  </si>
  <si>
    <t>2003-02-11 04:53:16 EST</t>
  </si>
  <si>
    <t>2003-02-07 07:00 EST</t>
  </si>
  <si>
    <t>2003-02-09 12:20:32 EST</t>
  </si>
  <si>
    <t>[('CREATED', '2003-02-07 07:00 EST'), ('dirk_baeumer', '2003-02-09 12:20:32 EST', 'dirk_baeumer'), ('P2', '2003-02-09 12:20:32 EST', 'dirk_baeumer'), ('2.1 RC1', '2003-02-09 12:20:32 EST', 'dirk_baeumer'), ('RESOLVED', '2003-02-11 04:53:16 EST', 'dirk_baeumer'), ('FIXED', '2003-02-11 04:53:16 EST', 'dirk_baeumer')]</t>
  </si>
  <si>
    <t>2003-02-12 12:07:13 EST</t>
  </si>
  <si>
    <t>2003-02-07 07:02 EST</t>
  </si>
  <si>
    <t>2003-02-07 07:07:53 EST</t>
  </si>
  <si>
    <t>[('CREATED', '2003-02-07 07:02 EST'), ('Change Method signature refactoring: Table leaves cursor edit mode', '2003-02-07 07:07:53 EST', 'martinae'), ('dirk_baeumer', '2003-02-09 12:23:15 EST', 'dirk_baeumer'), ('P2', '2003-02-09 12:23:15 EST', 'dirk_baeumer'), ('2.1 RC1', '2003-02-09 12:23:15 EST', 'dirk_baeumer'), ('RESOLVED', '2003-02-12 12:07:13 EST', 'dirk_baeumer'), ('FIXED', '2003-02-12 12:07:13 EST', 'dirk_baeumer')]</t>
  </si>
  <si>
    <t>2003-02-12 13:55:29 EST</t>
  </si>
  <si>
    <t>2003-02-07 07:14 EST</t>
  </si>
  <si>
    <t>2003-02-07 13:04:09 EST</t>
  </si>
  <si>
    <t>[('CREATED', '2003-02-07 07:14 EST'), ('adam_kiezun', '2003-02-07 13:04:09 EST', 'akiezun'), ('2.1 RC1', '2003-02-07 13:04:09 EST', 'akiezun'), ('RESOLVED', '2003-02-12 13:55:29 EST', 'akiezun'), ('FIXED', '2003-02-12 13:55:29 EST', 'akiezun')]</t>
  </si>
  <si>
    <t>2003-02-20 13:03:23 EST</t>
  </si>
  <si>
    <t>2009-08-30 02:22:58 EDT</t>
  </si>
  <si>
    <t>2003-02-07 08:27 EST</t>
  </si>
  <si>
    <t>2003-02-09 12:38:31 EST</t>
  </si>
  <si>
    <t>[('CREATED', '2003-02-07 08:27 EST'), ('ASSIGNED', '2003-02-09 12:38:31 EST', 'dirk_baeumer'), ('Type Selection Dialog: Preselected entry should not be qualified in text field [refactoring]', '2003-02-09 12:38:31 EST', 'dirk_baeumer'), ('adam_kiezun', '2003-02-20 12:10:19 EST', 'dirk_baeumer'), ('NEW', '2003-02-20 12:10:19 EST', 'dirk_baeumer'), ('jdt-ui-inbox', '2003-02-20 13:03:11 EST', 'akiezun'), ('RESOLVED', '2003-02-20 13:03:23 EST', 'akiezun'), ('LATER', '2003-02-20 13:03:23 EST', 'akiezun'), ('WONTFIX', '2009-08-30 02:22:58 EDT', 'denis.roy')]</t>
  </si>
  <si>
    <t>2003-02-11 10:43:56 EST</t>
  </si>
  <si>
    <t>2003-02-07 08:54 EST</t>
  </si>
  <si>
    <t>2003-02-07 09:03:06 EST</t>
  </si>
  <si>
    <t>[('CREATED', '2003-02-07 08:54 EST'), ('adam_kiezun', '2003-02-07 09:03:06 EST', 'akiezun'), ('Push down refactoring: Dialog details + exception', '2003-02-07 09:03:06 EST', 'akiezun'), ('adam_kiezun', '2003-02-07 13:05:57 EST', 'akiezun'), ('P2', '2003-02-07 13:05:57 EST', 'akiezun'), ('2.1 RC1', '2003-02-07 13:05:57 EST', 'akiezun'), ('RESOLVED', '2003-02-11 10:43:56 EST', 'akiezun'), ('FIXED', '2003-02-11 10:43:56 EST', 'akiezun')]</t>
  </si>
  <si>
    <t>2003-02-18 12:32:34 EST</t>
  </si>
  <si>
    <t>2003-02-07 08:56 EST</t>
  </si>
  <si>
    <t>2003-02-07 13:07:07 EST</t>
  </si>
  <si>
    <t>[('CREATED', '2003-02-07 08:56 EST'), ('dirk_baeumer', '2003-02-07 13:07:07 EST', 'akiezun'), ('P2', '2003-02-07 13:07:07 EST', 'akiezun'), ('2.1 RC1', '2003-02-18 12:32:34 EST', 'dirk_baeumer'), ('RESOLVED', '2003-02-18 12:32:34 EST', 'dirk_baeumer'), ('FIXED', '2003-02-18 12:32:34 EST', 'dirk_baeumer')]</t>
  </si>
  <si>
    <t>31319 31641 (view as bug list)</t>
  </si>
  <si>
    <t>2003-02-12 07:02:17 EST</t>
  </si>
  <si>
    <t>2003-02-07 08:59 EST</t>
  </si>
  <si>
    <t>2003-02-07 13:02:12 EST</t>
  </si>
  <si>
    <t>2003-02-12 08:09:11 EST</t>
  </si>
  <si>
    <t>[('CREATED', '2003-02-07 08:59 EST'), ('kai-uwe_maetzel', '2003-02-07 13:02:12 EST', 'akiezun'), ('adam_kiezun', '2003-02-07 13:08:45 EST', 'akiezun'), ('P2', '2003-02-07 13:08:45 EST', 'akiezun'), ('2.1 RC1', '2003-02-07 13:08:45 EST', 'akiezun'), ('ASSIGNED', '2003-02-12 05:57:02 EST', 'akiezun'), ('RESOLVED', '2003-02-12 07:02:17 EST', 'akiezun'), ('FIXED', '2003-02-12 07:02:17 EST', 'akiezun'), ('oyvind.harboe', '2003-02-12 08:09:11 EST', 'akiezun')]</t>
  </si>
  <si>
    <t>2003-02-14 05:37:36 EST</t>
  </si>
  <si>
    <t>2003-02-07 10:08 EST</t>
  </si>
  <si>
    <t>[('CREATED', '2003-02-07 10:08 EST'), ('RESOLVED', '2003-02-14 05:37:36 EST', 'dirk_baeumer'), ('WORKSFORME', '2003-02-14 05:37:36 EST', 'dirk_baeumer')]</t>
  </si>
  <si>
    <t>2003-02-10 13:35:22 EST</t>
  </si>
  <si>
    <t>2003-02-07 10:11 EST</t>
  </si>
  <si>
    <t>2003-02-07 12:57:23 EST</t>
  </si>
  <si>
    <t>[('CREATED', '2003-02-07 10:11 EST'), ('dirk_baeumer', '2003-02-07 12:57:23 EST', 'akiezun'), ('P2', '2003-02-07 12:57:23 EST', 'akiezun'), ('RESOLVED', '2003-02-10 13:35:22 EST', 'dirk_baeumer'), ('FIXED', '2003-02-10 13:35:22 EST', 'dirk_baeumer'), ('2.1 RC1', '2003-02-10 13:35:22 EST', 'dirk_baeumer')]</t>
  </si>
  <si>
    <t>RESOLVED  DUPLICATE  of bug 30827</t>
  </si>
  <si>
    <t>2003-02-07 11:22:12 EST</t>
  </si>
  <si>
    <t>2003-02-07 11:15 EST</t>
  </si>
  <si>
    <t>[('CREATED', '2003-02-07 11:15 EST'), ('RESOLVED', '2003-02-07 11:22:12 EST', 'dirk_baeumer'), ('DUPLICATE', '2003-02-07 11:22:12 EST', 'dirk_baeumer')]</t>
  </si>
  <si>
    <t>2003-02-17 04:56:43 EST</t>
  </si>
  <si>
    <t>2003-02-07 11:17 EST</t>
  </si>
  <si>
    <t>2003-02-09 12:56:40 EST</t>
  </si>
  <si>
    <t>[('CREATED', '2003-02-07 11:17 EST'), ('ASSIGNED', '2003-02-09 12:56:40 EST', 'dirk_baeumer'), ('generate delegate method: ugly dialog if int field selected [code manipulation]', '2003-02-09 12:56:40 EST', 'dirk_baeumer'), ('m.moebius', '2003-02-14 06:29:48 EST', 'dirk_baeumer'), ('Martin_Aeschlimann', '2003-02-14 06:30:04 EST', 'dirk_baeumer'), ('RESOLVED', '2003-02-17 04:56:43 EST', 'martinae'), ('FIXED', '2003-02-17 04:56:43 EST', 'martinae'), ('2.1 RC1', '2003-02-17 04:56:43 EST', 'martinae')]</t>
  </si>
  <si>
    <t>2003-02-10 09:34:36 EST</t>
  </si>
  <si>
    <t>2003-02-07 12:38 EST</t>
  </si>
  <si>
    <t>2003-02-07 13:04:17 EST</t>
  </si>
  <si>
    <t>[('CREATED', '2003-02-07 12:38 EST'), ('martin_aeschlimann', '2003-02-07 13:04:17 EST', 'dirk_baeumer'), ('P2', '2003-02-07 13:04:17 EST', 'dirk_baeumer'), ('"Extrude" is not a good name for the quick assist', '2003-02-07 13:04:17 EST', 'dirk_baeumer'), ('2.1 RC1', '2003-02-07 13:04:17 EST', 'dirk_baeumer'), ('adam_kiezun', '2003-02-07 14:14:38 EST', 'akiezun'), ('RESOLVED', '2003-02-10 09:34:36 EST', 'martinae'), ('FIXED', '2003-02-10 09:34:36 EST', 'martinae')]</t>
  </si>
  <si>
    <t>2004-10-26 06:27:08 EDT</t>
  </si>
  <si>
    <t>2003-02-07 12:58 EST</t>
  </si>
  <si>
    <t>2003-02-09 12:59:46 EST</t>
  </si>
  <si>
    <t>[('CREATED', '2003-02-07 12:58 EST'), ('ASSIGNED', '2003-02-09 12:59:46 EST', 'dirk_baeumer'), ('Move Method does not fix visibility [refactoring]', '2003-02-09 12:59:46 EST', 'dirk_baeumer'), ('neil_swingler', '2003-08-22 08:12:56 EDT', 'neil'), ('3.1', '2004-09-15 13:06:28 EDT', 'dirk_baeumer'), ('RESOLVED', '2004-10-26 06:27:08 EDT', 'tobias_widmer'), ('FIXED', '2004-10-26 06:27:08 EDT', 'tobias_widmer')]</t>
  </si>
  <si>
    <t>28479</t>
  </si>
  <si>
    <t>2003-02-10 10:36:21 EST</t>
  </si>
  <si>
    <t>2003-02-26 11:42:56 EST</t>
  </si>
  <si>
    <t>2003-02-10 06:33 EST</t>
  </si>
  <si>
    <t>2003-02-10 06:40:20 EST</t>
  </si>
  <si>
    <t>[('CREATED', '2003-02-10 06:33 EST'), ('28479', '2003-02-10 06:40:20 EST', 'daniel_megert'), ('P2', '2003-02-10 09:08:23 EST', 'dirk_baeumer'), ('2.1 RC1', '2003-02-10 09:08:23 EST', 'dirk_baeumer'), ('FIXED', '2003-02-10 10:36:21 EST', 'dirk_baeumer'), ('RESOLVED', '2003-02-10 10:36:21 EST', 'dirk_baeumer'), ('VERIFIED', '2003-02-26 11:42:56 EST', 'daniel_megert')]</t>
  </si>
  <si>
    <t>2004-03-26 05:53:08 EST</t>
  </si>
  <si>
    <t>2003-02-10 13:33 EST</t>
  </si>
  <si>
    <t>2003-02-10 16:56:16 EST</t>
  </si>
  <si>
    <t>[('CREATED', '2003-02-10 13:33 EST'), ('ASSIGNED', '2003-02-10 16:56:16 EST', 'dirk_baeumer'), ('Organize Imports Ignores JavaDoc Dependencies [code manipulation] [general issue]', '2003-02-10 16:56:16 EST', 'dirk_baeumer'), ('boris', '2004-03-09 02:56:06 EST', 'boris'), ('FIXED', '2004-03-26 05:53:08 EST', 'dirk_baeumer'), ('3.0 M8', '2004-03-26 05:53:08 EST', 'dirk_baeumer'), ('RESOLVED', '2004-03-26 05:53:08 EST', 'dirk_baeumer')]</t>
  </si>
  <si>
    <t>CLOSED  DUPLICATE  of bug 31124</t>
  </si>
  <si>
    <t>2003-02-11 05:15 EST</t>
  </si>
  <si>
    <t>2003-02-11 06:18:51 EST</t>
  </si>
  <si>
    <t>2006-07-10 06:59:44 EDT</t>
  </si>
  <si>
    <t>gkarasiuk</t>
  </si>
  <si>
    <t>[('CREATED', '2003-02-11 05:15 EST'), ('jdt-ui-inbox', '2003-02-11 06:18:51 EST', 'philippe_mulet'), ('UI', '2003-02-11 06:18:51 EST', 'philippe_mulet'), ('adam_kiezun', '2003-02-11 06:36:08 EST', 'dirk_baeumer'), ('P2', '2003-02-11 06:36:08 EST', 'dirk_baeumer'), ('2.1 RC1', '2003-02-11 06:36:08 EST', 'dirk_baeumer'), ('RESOLVED', '2003-02-11 06:42:03 EST', 'akiezun'), ('DUPLICATE', '2003-02-11 06:42:03 EST', 'akiezun'), ('CLOSED', '2006-07-10 06:59:44 EDT', 'gkarasiuk')]</t>
  </si>
  <si>
    <t>2003-02-11 14:39:18 EST</t>
  </si>
  <si>
    <t>2003-02-11 07:12 EST</t>
  </si>
  <si>
    <t>[('CREATED', '2003-02-11 07:12 EST'), ('RESOLVED', '2003-02-11 14:39:18 EST', 'dirk_baeumer'), ('WORKSFORME', '2003-02-11 14:39:18 EST', 'dirk_baeumer')]</t>
  </si>
  <si>
    <t>2003-02-17 08:43:46 EST</t>
  </si>
  <si>
    <t>2003-02-11 10:48 EST</t>
  </si>
  <si>
    <t>2003-02-11 11:45:15 EST</t>
  </si>
  <si>
    <t>[('CREATED', '2003-02-11 10:48 EST'), ('jdt-ui-inbox', '2003-02-11 11:45:15 EST', 'philippe_mulet'), ('UI', '2003-02-11 11:45:15 EST', 'philippe_mulet'), ('ASSIGNED', '2003-02-11 14:48:04 EST', 'dirk_baeumer'), ('QuickFix Add catch clause to surrounding try in catch clause incorrect [code manipulation] [refactoring]', '2003-02-11 14:48:04 EST', 'dirk_baeumer'), ('martin_aeschlimann', '2003-02-14 06:37:38 EST', 'dirk_baeumer'), ('NEW', '2003-02-14 06:37:38 EST', 'dirk_baeumer'), ('P2', '2003-02-14 06:37:38 EST', 'dirk_baeumer'), ('2.1 RC1', '2003-02-14 06:37:38 EST', 'dirk_baeumer'), ('RESOLVED', '2003-02-17 08:43:46 EST', 'martinae'), ('FIXED', '2003-02-17 08:43:46 EST', 'martinae')]</t>
  </si>
  <si>
    <t>2003-02-11 17:35:44 EST</t>
  </si>
  <si>
    <t>2009-08-30 02:37:15 EDT</t>
  </si>
  <si>
    <t>2003-02-11 14:55 EST</t>
  </si>
  <si>
    <t>[('CREATED', '2003-02-11 14:55 EST'), ('RESOLVED', '2003-02-11 17:35:44 EST', 'dirk_baeumer'), ('LATER', '2003-02-11 17:35:44 EST', 'dirk_baeumer'), ('Refactor Change Method Signature could be more intelligent [refactoring]', '2003-02-11 17:35:44 EST', 'dirk_baeumer'), ('P4', '2003-04-25 09:33:13 EDT', 'dirk_baeumer'), ('WONTFIX', '2009-08-30 02:37:15 EDT', 'webmaster')]</t>
  </si>
  <si>
    <t>2003-02-12 05:23:45 EST</t>
  </si>
  <si>
    <t>2003-02-11 17:30 EST</t>
  </si>
  <si>
    <t>2003-02-11 17:31:14 EST</t>
  </si>
  <si>
    <t>[('CREATED', '2003-02-11 17:30 EST'), ('adam_kiezun', '2003-02-11 17:31:14 EST', 'dirk_baeumer'), ('major', '2003-02-11 17:31:14 EST', 'dirk_baeumer'), ('P2', '2003-02-11 17:31:14 EST', 'dirk_baeumer'), ('2.1 RC1', '2003-02-11 17:31:14 EST', 'dirk_baeumer'), ('RESOLVED', '2003-02-12 05:23:45 EST', 'akiezun'), ('FIXED', '2003-02-12 05:23:45 EST', 'akiezun')]</t>
  </si>
  <si>
    <t>2003-02-17 06:51:09 EST</t>
  </si>
  <si>
    <t>2003-02-12 04:52 EST</t>
  </si>
  <si>
    <t>2003-02-12 04:54:29 EST</t>
  </si>
  <si>
    <t>[('CREATED', '2003-02-12 04:52 EST'), ('Platform', '2003-02-12 04:54:29 EST', 'philippe_mulet'), ('platform-vcm-inbox', '2003-02-12 04:54:47 EST', 'philippe_mulet'), ('VCM', '2003-02-12 04:54:47 EST', 'philippe_mulet'), ('jdt-core-inbox', '2003-02-13 11:27:24 EST', 'Kevin_McGuire'), ('Core', '2003-02-13 11:27:24 EST', 'Kevin_McGuire'), ('JDT', '2003-02-13 11:27:24 EST', 'Kevin_McGuire'), ('jdt-ui-inbox', '2003-02-13 12:21:53 EST', 'philippe_mulet'), ('UI', '2003-02-13 12:21:53 EST', 'philippe_mulet'), ('Martin_Aeschlimann', '2003-02-13 13:28:52 EST', 'dirk_baeumer'), ('martin_aeschlimann', '2003-02-14 05:43:28 EST', 'dirk_baeumer'), ('2.1 RC1', '2003-02-14 05:43:28 EST', 'dirk_baeumer'), ('RESOLVED', '2003-02-17 06:51:09 EST', 'martinae'), ('FIXED', '2003-02-17 06:51:09 EST', 'martinae')]</t>
  </si>
  <si>
    <t>RESOLVED  DUPLICATE  of bug 31284</t>
  </si>
  <si>
    <t>2003-02-12 06:29 EST</t>
  </si>
  <si>
    <t>2003-02-12 06:30:44 EST</t>
  </si>
  <si>
    <t>[('CREATED', '2003-02-12 06:29 EST'), ('jdt-ui-inbox', '2003-02-12 06:30:44 EST', 'philippe_mulet'), ('UI', '2003-02-12 06:30:44 EST', 'philippe_mulet'), ('RESOLVED', '2003-02-12 08:09:11 EST', 'akiezun'), ('DUPLICATE', '2003-02-12 08:09:11 EST', 'akiezun')]</t>
  </si>
  <si>
    <t>2003-02-12 07:03:11 EST</t>
  </si>
  <si>
    <t>2003-02-12 06:34 EST</t>
  </si>
  <si>
    <t>2003-02-12 06:51:08 EST</t>
  </si>
  <si>
    <t>[('CREATED', '2003-02-12 06:34 EST'), ('jdt-ui-inbox', '2003-02-12 06:51:08 EST', 'philippe_mulet'), ('UI', '2003-02-12 06:51:08 EST', 'philippe_mulet'), ('RESOLVED', '2003-02-12 07:03:11 EST', 'dirk_baeumer'), ('WORKSFORME', '2003-02-12 07:03:11 EST', 'dirk_baeumer')]</t>
  </si>
  <si>
    <t>2003-03-03 08:46:37 EST</t>
  </si>
  <si>
    <t>2003-02-12 07:15:28 EST</t>
  </si>
  <si>
    <t>2003-02-28 04:01:09 EST</t>
  </si>
  <si>
    <t>2003-02-12 06:46 EST</t>
  </si>
  <si>
    <t>2003-02-12 06:51:11 EST</t>
  </si>
  <si>
    <t>[('CREATED', '2003-02-12 06:46 EST'), ('jdt-ui-inbox', '2003-02-12 06:51:11 EST', 'philippe_mulet'), ('UI', '2003-02-12 06:51:11 EST', 'philippe_mulet'), ('RESOLVED', '2003-02-12 07:15:28 EST', 'dirk_baeumer'), ('WORKSFORME', '2003-02-12 07:15:28 EST', 'dirk_baeumer'), ('REOPENED', '2003-02-28 04:01:09 EST', 'oyvind.harboe'), ('---', '2003-02-28 04:01:09 EST', 'oyvind.harboe'), ('adam_kiezun', '2003-02-28 06:49:12 EST', 'dirk_baeumer'), ('NEW', '2003-02-28 06:49:12 EST', 'dirk_baeumer'), ('P2', '2003-02-28 06:49:12 EST', 'dirk_baeumer'), ('2.1 RC2', '2003-02-28 06:49:12 EST', 'dirk_baeumer'), ('ASSIGNED', '2003-03-03 06:58:57 EST', 'akiezun'), ('RESOLVED', '2003-03-03 08:46:37 EST', 'akiezun'), ('FIXED', '2003-03-03 08:46:37 EST', 'akiezun')]</t>
  </si>
  <si>
    <t>32891 (view as bug list)</t>
  </si>
  <si>
    <t>2003-03-18 09:32:05 EST</t>
  </si>
  <si>
    <t>2009-08-30 02:41:03 EDT</t>
  </si>
  <si>
    <t>2003-02-13 10:51 EST</t>
  </si>
  <si>
    <t>2003-02-13 11:06:33 EST</t>
  </si>
  <si>
    <t>[('CREATED', '2003-02-13 10:51 EST'), ('Daniel_Megert', '2003-02-13 11:06:33 EST', 'dirk_baeumer'), ('ASSIGNED', '2003-02-13 11:06:33 EST', 'dirk_baeumer'), ('browsing perspective does not show JRE System Library nodes [browsing]', '2003-02-13 11:06:33 EST', 'dirk_baeumer'), ('chm', '2003-02-25 04:39:21 EST', 'dirk_baeumer'), ('2.1 RC2', '2003-02-25 07:45:36 EST', 'erich_gamma'), ('LATER', '2003-03-18 09:32:05 EST', 'erich_gamma'), ('---', '2003-03-18 09:32:05 EST', 'erich_gamma'), ('RESOLVED', '2003-03-18 09:32:05 EST', 'erich_gamma'), ('WONTFIX', '2009-08-30 02:41:03 EDT', 'webmaster')]</t>
  </si>
  <si>
    <t>2003-02-19 13:48:50 EST</t>
  </si>
  <si>
    <t>2009-08-30 02:33:39 EDT</t>
  </si>
  <si>
    <t>2003-02-13 13:32 EST</t>
  </si>
  <si>
    <t>[('CREATED', '2003-02-13 13:32 EST'), ('RESOLVED', '2003-02-19 13:48:50 EST', 'dirk_baeumer'), ('LATER', '2003-02-19 13:48:50 EST', 'dirk_baeumer'), ('cannot undo renaming of read-only elements [refactoring]', '2003-02-19 13:48:50 EST', 'dirk_baeumer'), ('WONTFIX', '2009-08-30 02:33:39 EDT', 'webmaster')]</t>
  </si>
  <si>
    <t>2003-02-14 04:26:56 EST</t>
  </si>
  <si>
    <t>2009-08-30 02:34:24 EDT</t>
  </si>
  <si>
    <t>2003-02-13 19:12 EST</t>
  </si>
  <si>
    <t>[('CREATED', '2003-02-13 19:12 EST'), ('RESOLVED', '2003-02-14 04:26:56 EST', 'dirk_baeumer'), ('LATER', '2003-02-14 04:26:56 EST', 'dirk_baeumer'), ('New refactorings requested [refactoring]', '2003-02-14 04:26:56 EST', 'dirk_baeumer'), ('P4', '2003-04-25 09:52:09 EDT', 'dirk_baeumer'), ('WONTFIX', '2009-08-30 02:34:24 EDT', 'webmaster')]</t>
  </si>
  <si>
    <t>2003-02-14 09:43:40 EST</t>
  </si>
  <si>
    <t>2003-02-14 06:13 EST</t>
  </si>
  <si>
    <t>2003-02-14 06:26:10 EST</t>
  </si>
  <si>
    <t>[('CREATED', '2003-02-14 06:13 EST'), ('jdt-ui-inbox', '2003-02-14 06:26:10 EST', 'akiezun'), ('UI', '2003-02-14 06:26:10 EST', 'akiezun'), ('2.1 RC1', '2003-02-14 06:40:50 EST', 'akiezun'), ('adam_kiezun', '2003-02-14 06:40:50 EST', 'akiezun'), ('adam_kiezun', '2003-02-14 06:40:50 EST', 'akiezun'), ('RESOLVED', '2003-02-14 09:43:40 EST', 'akiezun'), ('FIXED', '2003-02-14 09:43:40 EST', 'akiezun')]</t>
  </si>
  <si>
    <t>RESOLVED  DUPLICATE  of bug 211861</t>
  </si>
  <si>
    <t>2007-12-04 06:13:01 EST</t>
  </si>
  <si>
    <t>2003-02-14 06:25 EST</t>
  </si>
  <si>
    <t>2003-02-14 06:49:49 EST</t>
  </si>
  <si>
    <t>[('CREATED', '2003-02-14 06:25 EST'), ('ASSIGNED', '2003-02-14 06:49:49 EST', 'dirk_baeumer'), ('push down: error condition not detected [refactoring]', '2003-02-14 06:49:49 EST', 'dirk_baeumer'), ('tobias_widmer', '2006-06-15 02:56:32 EDT', 'martinae'), ('NEW', '2006-06-15 02:56:32 EDT', 'martinae'), ('[push down] error condition not detected [refactoring]', '2006-06-15 02:56:32 EDT', 'martinae'), ('jdt-ui-inbox', '2007-06-14 10:46:37 EDT', 'martinae'), ('martin_aeschlimann', '2007-12-04 06:13:01 EST', 'martinae'), ('RESOLVED', '2007-12-04 06:13:01 EST', 'martinae'), ('DUPLICATE', '2007-12-04 06:13:01 EST', 'martinae')]</t>
  </si>
  <si>
    <t>2003-02-15 09:58:21 EST</t>
  </si>
  <si>
    <t>2009-08-30 02:14:24 EDT</t>
  </si>
  <si>
    <t>2003-02-14 20:41 EST</t>
  </si>
  <si>
    <t>[('CREATED', '2003-02-14 20:41 EST'), ('RESOLVED', '2003-02-15 09:58:21 EST', 'dirk_baeumer'), ('LATER', '2003-02-15 09:58:21 EST', 'dirk_baeumer'), ('Copy action not enabled with mixed resources [ccp] [dnd]', '2003-02-15 09:58:21 EST', 'dirk_baeumer'), ('WONTFIX', '2009-08-30 02:14:24 EDT', 'denis.roy')]</t>
  </si>
  <si>
    <t>RESOLVED  DUPLICATE  of bug 31891</t>
  </si>
  <si>
    <t>2003-02-15 09:52:30 EST</t>
  </si>
  <si>
    <t>2003-02-14 22:43 EST</t>
  </si>
  <si>
    <t>[('CREATED', '2003-02-14 22:43 EST'), ('RESOLVED', '2003-02-15 09:52:30 EST', 'dirk_baeumer'), ('DUPLICATE', '2003-02-15 09:52:30 EST', 'dirk_baeumer')]</t>
  </si>
  <si>
    <t>2003-02-18 14:07:28 EST</t>
  </si>
  <si>
    <t>2003-02-15 17:59 EST</t>
  </si>
  <si>
    <t>2003-02-17 06:15:32 EST</t>
  </si>
  <si>
    <t>[('CREATED', '2003-02-15 17:59 EST'), ('jdt-ui-inbox', '2003-02-17 06:15:32 EST', 'dirk_baeumer'), ('UI', '2003-02-17 06:15:32 EST', 'dirk_baeumer'), ('JDT', '2003-02-17 06:15:32 EST', 'dirk_baeumer'), ('ASSIGNED', '2003-02-17 06:15:45 EST', 'dirk_baeumer'), ('dirk_baeumer', '2003-02-17 13:20:55 EST', 'dirk_baeumer'), ('NEW', '2003-02-17 13:20:55 EST', 'dirk_baeumer'), ('RESOLVED', '2003-02-18 14:07:28 EST', 'dirk_baeumer'), ('FIXED', '2003-02-18 14:07:28 EST', 'dirk_baeumer'), ('2.1 RC1', '2003-02-18 14:07:28 EST', 'dirk_baeumer')]</t>
  </si>
  <si>
    <t>2003-03-06 08:26:28 EST</t>
  </si>
  <si>
    <t>2003-02-17 06:13 EST</t>
  </si>
  <si>
    <t>2003-02-17 06:22:02 EST</t>
  </si>
  <si>
    <t>[('CREATED', '2003-02-17 06:13 EST'), ('ASSIGNED', '2003-02-17 06:22:02 EST', 'dirk_baeumer'), ('RESOLVED', '2003-03-06 08:26:28 EST', 'akiezun'), ('WORKSFORME', '2003-03-06 08:26:28 EST', 'akiezun'), ('2.1 RC2', '2003-03-06 08:26:28 EST', 'akiezun')]</t>
  </si>
  <si>
    <t>2003-02-19 09:32:19 EST</t>
  </si>
  <si>
    <t>2003-02-17 10:55 EST</t>
  </si>
  <si>
    <t>2003-02-17 12:58:03 EST</t>
  </si>
  <si>
    <t>[('CREATED', '2003-02-17 10:55 EST'), ('dirk_baeumer', '2003-02-17 12:58:03 EST', 'dirk_baeumer'), ('RESOLVED', '2003-02-19 09:32:19 EST', 'dirk_baeumer'), ('P2', '2003-02-19 09:32:19 EST', 'dirk_baeumer'), ('FIXED', '2003-02-19 09:32:19 EST', 'dirk_baeumer'), ('2.1 RC1', '2003-02-19 09:32:19 EST', 'dirk_baeumer')]</t>
  </si>
  <si>
    <t>2003-02-17 13:24:21 EST</t>
  </si>
  <si>
    <t>2003-02-17 13:21:44 EST</t>
  </si>
  <si>
    <t>2003-02-17 12:36 EST</t>
  </si>
  <si>
    <t>2003-02-17 12:40:10 EST</t>
  </si>
  <si>
    <t>[('CREATED', '2003-02-17 12:36 EST'), ('jdt-ui-inbox', '2003-02-17 12:40:10 EST', 'philippe_mulet'), ('UI', '2003-02-17 12:40:10 EST', 'philippe_mulet'), ('adam_kiezun', '2003-02-17 12:58:55 EST', 'akiezun'), ('RESOLVED', '2003-02-17 12:58:55 EST', 'akiezun'), ('WONTFIX', '2003-02-17 12:58:55 EST', 'akiezun'), ('REOPENED', '2003-02-17 13:21:44 EST', 'alex.blewitt'), ('---', '2003-02-17 13:21:44 EST', 'alex.blewitt'), ('RESOLVED', '2003-02-17 13:24:21 EST', 'dirk_baeumer'), ('LATER', '2003-02-17 13:24:21 EST', 'dirk_baeumer'), ("'Extract Interface' could use type as interface and rename class [refactoring]", '2003-02-17 13:24:21 EST', 'dirk_baeumer'), ('sharples', '2003-09-03 19:26:48 EDT', 'sharples'), ('WONTFIX', '2009-08-30 02:22:06 EDT', 'denis.roy')]</t>
  </si>
  <si>
    <t>2003-02-19 12:10:12 EST</t>
  </si>
  <si>
    <t>2003-02-17 12:39:49 EST</t>
  </si>
  <si>
    <t>[('CREATED', '2003-02-17 12:36 EST'), ('jdt-ui-inbox', '2003-02-17 12:39:49 EST', 'philippe_mulet'), ('UI', '2003-02-17 12:39:49 EST', 'philippe_mulet'), ('2.1 RC1', '2003-02-17 13:07:52 EST', 'dirk_baeumer'), ('adam_kiezun', '2003-02-17 13:07:52 EST', 'dirk_baeumer'), ('P2', '2003-02-17 13:07:52 EST', 'dirk_baeumer'), ('ASSIGNED', '2003-02-17 13:14:03 EST', 'akiezun'), ('RESOLVED', '2003-02-19 12:10:12 EST', 'akiezun'), ('WORKSFORME', '2003-02-19 12:10:12 EST', 'akiezun')]</t>
  </si>
  <si>
    <t>2003-02-20 06:43:03 EST</t>
  </si>
  <si>
    <t>2003-02-18 09:47 EST</t>
  </si>
  <si>
    <t>2003-02-18 10:02:25 EST</t>
  </si>
  <si>
    <t>[('CREATED', '2003-02-18 09:47 EST'), ('adam_kiezun', '2003-02-18 10:02:25 EST', 'akiezun'), ('Refactoring does not update Outline View [refactoring]', '2003-02-18 11:51:08 EST', 'dirk_baeumer'), ('RESOLVED', '2003-02-20 06:43:03 EST', 'akiezun'), ('WORKSFORME', '2003-02-20 06:43:03 EST', 'akiezun')]</t>
  </si>
  <si>
    <t>2003-02-18 09:59:42 EST</t>
  </si>
  <si>
    <t>2009-08-30 02:19:51 EDT</t>
  </si>
  <si>
    <t>2003-02-18 09:58 EST</t>
  </si>
  <si>
    <t>[('CREATED', '2003-02-18 09:58 EST'), ('RESOLVED', '2003-02-18 09:59:42 EST', 'akiezun'), ('LATER', '2003-02-18 09:59:42 EST', 'akiezun'), ('Push Down/Pull Up activation issue [refactoring]', '2003-02-18 11:52:16 EST', 'dirk_baeumer'), ('WONTFIX', '2009-08-30 02:19:51 EDT', 'denis.roy')]</t>
  </si>
  <si>
    <t>2003-02-18 12:26:49 EST</t>
  </si>
  <si>
    <t>2003-02-18 12:26:15 EST</t>
  </si>
  <si>
    <t>2003-02-18 11:42 EST</t>
  </si>
  <si>
    <t>2003-02-18 12:22:17 EST</t>
  </si>
  <si>
    <t>[('CREATED', '2003-02-18 11:42 EST'), ('adam_kiezun', '2003-02-18 12:22:17 EST', 'akiezun'), ('RESOLVED', '2003-02-18 12:22:17 EST', 'akiezun'), ('UI', '2003-02-18 12:22:17 EST', 'akiezun'), ('FIXED', '2003-02-18 12:22:17 EST', 'akiezun'), ('2.1 RC1', '2003-02-18 12:25:28 EST', 'akiezun'), ('REOPENED', '2003-02-18 12:26:15 EST', 'akiezun'), ('---', '2003-02-18 12:26:15 EST', 'akiezun'), ('jdt-ui-inbox', '2003-02-18 12:26:26 EST', 'akiezun'), ('NEW', '2003-02-18 12:26:26 EST', 'akiezun'), ('FIXED', '2003-02-18 12:26:49 EST', 'akiezun'), ('RESOLVED', '2003-02-18 12:26:49 EST', 'akiezun')]</t>
  </si>
  <si>
    <t>2003-02-19 05:17:20 EST</t>
  </si>
  <si>
    <t>2003-02-19 04:52 EST</t>
  </si>
  <si>
    <t>2003-02-19 05:15:58 EST</t>
  </si>
  <si>
    <t>[('CREATED', '2003-02-19 04:52 EST'), ('jdt-ui-inbox', '2003-02-19 05:15:58 EST', 'akiezun'), ('UI', '2003-02-19 05:15:58 EST', 'akiezun'), ('JDT', '2003-02-19 05:15:58 EST', 'akiezun'), ('LATER', '2003-02-19 05:17:20 EST', 'dirk_baeumer'), ('Add convert "field to local variable" [refactoring]', '2003-02-19 05:17:20 EST', 'dirk_baeumer'), ('RESOLVED', '2003-02-19 05:17:20 EST', 'dirk_baeumer'), ('adam_kiezun', '2003-02-19 05:19:34 EST', 'akiezun'), ('WONTFIX', '2009-08-30 02:34:24 EDT', 'webmaster')]</t>
  </si>
  <si>
    <t>2003-04-25 09:56:50 EDT</t>
  </si>
  <si>
    <t>2003-04-25 09:57:13 EDT</t>
  </si>
  <si>
    <t>2003-02-20 03:35 EST</t>
  </si>
  <si>
    <t>2003-02-20 04:34:42 EST</t>
  </si>
  <si>
    <t>[('CREATED', '2003-02-20 03:35 EST'), ('RESOLVED', '2003-02-20 04:34:42 EST', 'dirk_baeumer'), ('LATER', '2003-02-20 04:34:42 EST', 'dirk_baeumer'), ('NLS refactoring with int keys instead of string values [refactoring]', '2003-02-20 04:34:42 EST', 'dirk_baeumer'), ('UNCONFIRMED', '2003-04-25 09:56:50 EDT', 'dirk_baeumer'), ('---', '2003-04-25 09:56:50 EDT', 'dirk_baeumer'), ('RESOLVED', '2003-04-25 09:57:13 EDT', 'dirk_baeumer'), ('WONTFIX', '2003-04-25 09:57:13 EDT', 'dirk_baeumer')]</t>
  </si>
  <si>
    <t>2003-02-20 16:26 EST</t>
  </si>
  <si>
    <t>2003-02-21 04:04:01 EST</t>
  </si>
  <si>
    <t>2019-11-22 02:04:45 EST</t>
  </si>
  <si>
    <t>[('CREATED', '2003-02-20 16:26 EST'), ('ASSIGNED', '2003-02-21 04:04:01 EST', 'dirk_baeumer'), ('Get progress monitor before rename prompt when copy/pasting file [ccp]', '2003-02-21 04:04:01 EST', 'dirk_baeumer'), ('[ccp] Get progress monitor before rename prompt when copy/pasting file', '2006-06-12 03:08:28 EDT', 'martinae'), ('P5', '2007-07-16 05:40:41 EDT', 'benno.baumgartner'), ('stalebug', '2019-11-22 02:04:45 EST', 'genie')]</t>
  </si>
  <si>
    <t>2003-02-28 09:04:16 EST</t>
  </si>
  <si>
    <t>2003-02-20 19:19 EST</t>
  </si>
  <si>
    <t>2003-02-21 02:48:05 EST</t>
  </si>
  <si>
    <t>[('CREATED', '2003-02-20 19:19 EST'), ('jdt-ui-inbox', '2003-02-21 02:48:05 EST', 'philippe_mulet'), ('UI', '2003-02-21 02:48:05 EST', 'philippe_mulet'), ('1', '2003-02-21 05:09:46 EST', 'dirk_baeumer'), ('extract method: extracted method should be private, not public [refactoring]', '2003-02-21 05:09:46 EST', 'dirk_baeumer'), ('NEW', '2003-02-21 05:09:46 EST', 'dirk_baeumer'), ('ASSIGNED', '2003-02-21 05:10:52 EST', 'dirk_baeumer'), ('dirk_baeumer', '2003-02-26 10:21:55 EST', 'dirk_baeumer'), ('NEW', '2003-02-26 10:21:55 EST', 'dirk_baeumer'), ('2.1 RC2', '2003-02-26 10:21:55 EST', 'dirk_baeumer'), ('P2', '2003-02-26 11:48:55 EST', 'dirk_baeumer'), ('RESOLVED', '2003-02-28 09:04:16 EST', 'dirk_baeumer'), ('FIXED', '2003-02-28 09:04:16 EST', 'dirk_baeumer')]</t>
  </si>
  <si>
    <t>2003-03-04 10:47:36 EST</t>
  </si>
  <si>
    <t>2003-03-10 17:33:13 EST</t>
  </si>
  <si>
    <t>2003-02-22 11:11 EST</t>
  </si>
  <si>
    <t>2003-02-23 11:44:09 EST</t>
  </si>
  <si>
    <t>[('CREATED', '2003-02-22 11:11 EST'), ('jdt-ui-inbox', '2003-02-23 11:44:09 EST', 'dj.houghton'), ('UI', '2003-02-23 11:44:09 EST', 'dj.houghton'), ('JDT', '2003-02-23 11:44:09 EST', 'dj.houghton'), ('2.1 RC2', '2003-02-26 09:28:42 EST', 'dirk_baeumer'), ('adam_kiezun', '2003-02-26 11:54:02 EST', 'dirk_baeumer'), ('P2', '2003-02-26 11:54:02 EST', 'dirk_baeumer'), ('adam_kiezun', '2003-03-04 10:35:30 EST', 'akiezun'), ('dirk_baeumer', '2003-03-04 10:35:30 EST', 'akiezun'), ('RESOLVED', '2003-03-04 10:47:36 EST', 'dirk_baeumer'), ('FIXED', '2003-03-04 10:47:36 EST', 'dirk_baeumer'), ('VERIFIED', '2003-03-10 17:33:13 EST', 'alex.blewitt')]</t>
  </si>
  <si>
    <t>2007-11-01 11:19:04 EDT</t>
  </si>
  <si>
    <t>2007-11-01 11:01:40 EDT</t>
  </si>
  <si>
    <t>2003-02-24 05:55 EST</t>
  </si>
  <si>
    <t>2003-02-24 06:01:57 EST</t>
  </si>
  <si>
    <t>[('CREATED', '2003-02-24 05:55 EST'), ('jdt-ui-inbox', '2003-02-24 06:01:57 EST', 'philippe_mulet'), ('UI', '2003-02-24 06:01:57 EST', 'philippe_mulet'), ('RESOLVED', '2003-02-24 08:19:14 EST', 'dirk_baeumer'), ('LATER', '2003-02-24 08:19:14 EST', 'dirk_baeumer'), ('Bad Reording of static fields (sort members) M5 [code manipulation]', '2003-04-02 09:18:58 EST', 'dirk_baeumer'), ('rfaust', '2003-06-03 11:08:57 EDT', 'rfaust'), ('verdy_p', '2007-11-01 10:40:52 EDT', 'verdy_p'), ('martin_aeschlimann', '2007-11-01 11:01:40 EDT', 'martinae'), ('REOPENED', '2007-11-01 11:01:40 EDT', 'martinae'), ('---', '2007-11-01 11:01:40 EDT', 'martinae'), ('RESOLVED', '2007-11-01 11:19:04 EDT', 'martinae'), ('WONTFIX', '2007-11-01 11:19:04 EDT', 'martinae'), ('[sort members] Bad Reording of static fields', '2007-11-01 11:19:04 EDT', 'martinae')]</t>
  </si>
  <si>
    <t>2003-03-04 07:31:05 EST</t>
  </si>
  <si>
    <t>2003-02-24 07:12 EST</t>
  </si>
  <si>
    <t>2003-02-24 08:22:23 EST</t>
  </si>
  <si>
    <t>[('CREATED', '2003-02-24 07:12 EST'), ('martin_aeschlimann', '2003-02-24 08:22:23 EST', 'dirk_baeumer'), ('2.1 RC2', '2003-02-24 08:22:23 EST', 'dirk_baeumer'), ('adam_kiezun', '2003-02-24 10:33:57 EST', 'martinae'), ('martin_aeschlimann', '2003-02-24 12:06:11 EST', 'akiezun'), ('P2', '2003-02-26 11:25:27 EST', 'dirk_baeumer'), ('ASSIGNED', '2003-03-03 09:26:43 EST', 'akiezun'), ('martin_aeschlimann', '2003-03-03 13:45:25 EST', 'akiezun'), ('NEW', '2003-03-03 13:45:25 EST', 'akiezun'), ('adam_kiezun', '2003-03-03 17:18:02 EST', 'martinae'), ('RESOLVED', '2003-03-04 07:31:05 EST', 'akiezun'), ('FIXED', '2003-03-04 07:31:05 EST', 'akiezun')]</t>
  </si>
  <si>
    <t>33668 (view as bug list)</t>
  </si>
  <si>
    <t>2003-03-03 18:03:25 EST</t>
  </si>
  <si>
    <t>2003-02-24 09:21 EST</t>
  </si>
  <si>
    <t>2003-02-24 12:47:00 EST</t>
  </si>
  <si>
    <t>[('CREATED', '2003-02-24 09:21 EST'), ('adam_kiezun', '2003-02-24 12:47:00 EST', 'dirk_baeumer'), ('2.1 RC2', '2003-02-24 12:47:00 EST', 'dirk_baeumer'), ('P2', '2003-02-26 11:25:46 EST', 'dirk_baeumer'), ('adam_kiezun', '2003-03-03 09:51:13 EST', 'akiezun'), ('martin_aeschlimann', '2003-03-03 09:51:13 EST', 'akiezun'), ('Michael_Valenta', '2003-03-03 11:29:45 EST', 'akiezun'), ('RESOLVED', '2003-03-03 18:03:25 EST', 'martinae'), ('FIXED', '2003-03-03 18:03:25 EST', 'martinae')]</t>
  </si>
  <si>
    <t>2003-02-27 16:46:43 EST</t>
  </si>
  <si>
    <t>2003-02-24 22:40 EST</t>
  </si>
  <si>
    <t>2003-02-25 04:35:40 EST</t>
  </si>
  <si>
    <t>[('CREATED', '2003-02-24 22:40 EST'), ('2.1 RC2', '2003-02-25 04:35:40 EST', 'dirk_baeumer'), ('martin_aeschlimann', '2003-02-26 11:58:40 EST', 'dirk_baeumer'), ('P2', '2003-02-26 11:58:40 EST', 'dirk_baeumer'), ('dirk_baeumer', '2003-02-27 16:46:43 EST', 'martinae'), ('RESOLVED', '2003-02-27 16:46:43 EST', 'martinae'), ('FIXED', '2003-02-27 16:46:43 EST', 'martinae')]</t>
  </si>
  <si>
    <t>2003-02-26 10:40:43 EST</t>
  </si>
  <si>
    <t>2009-08-30 02:37:20 EDT</t>
  </si>
  <si>
    <t>2003-02-25 04:21 EST</t>
  </si>
  <si>
    <t>[('CREATED', '2003-02-25 04:21 EST'), ('RESOLVED', '2003-02-26 10:40:43 EST', 'dirk_baeumer'), ('LATER', '2003-02-26 10:40:43 EST', 'dirk_baeumer'), ('Hierarchy View: looses content but keeps title when focused class is renamed [type hierarchy]', '2003-02-26 10:40:43 EST', 'dirk_baeumer'), ('WONTFIX', '2009-08-30 02:37:20 EDT', 'webmaster')]</t>
  </si>
  <si>
    <t>2003-03-04 12:02:00 EST</t>
  </si>
  <si>
    <t>2003-02-25 04:28 EST</t>
  </si>
  <si>
    <t>2003-02-26 10:41:08 EST</t>
  </si>
  <si>
    <t>[('CREATED', '2003-02-25 04:28 EST'), ('2.1 RC2', '2003-02-26 10:41:08 EST', 'dirk_baeumer'), ('adam_kiezun', '2003-02-26 11:58:58 EST', 'dirk_baeumer'), ('P2', '2003-02-26 11:58:58 EST', 'dirk_baeumer'), ('adam_kiezun', '2003-03-03 14:59:20 EST', 'akiezun'), ('dirk_baeumer', '2003-03-03 14:59:20 EST', 'akiezun'), ('adam_kiezun', '2003-03-03 15:28:08 EST', 'dirk_baeumer'), ('ASSIGNED', '2003-03-04 06:44:18 EST', 'akiezun'), ('FIXED', '2003-03-04 12:02:00 EST', 'akiezun'), ('RESOLVED', '2003-03-04 12:02:00 EST', 'akiezun')]</t>
  </si>
  <si>
    <t>2006-06-15 02:52:58 EDT</t>
  </si>
  <si>
    <t>2003-02-25 05:46 EST</t>
  </si>
  <si>
    <t>2003-02-26 11:04:40 EST</t>
  </si>
  <si>
    <t>[('CREATED', '2003-02-25 05:46 EST'), ('ASSIGNED', '2003-02-26 11:04:40 EST', 'dirk_baeumer'), ('Hierarchy View: looses expanded state when superclass of focused class is renamed [type hierarchy]', '2003-02-26 11:04:58 EST', 'dirk_baeumer'), ('martin_aeschlimann', '2004-08-18 06:39:07 EDT', 'dirk_baeumer'), ('RESOLVED', '2006-06-15 02:52:58 EDT', 'martinae'), ('WONTFIX', '2006-06-15 02:52:58 EDT', 'martinae')]</t>
  </si>
  <si>
    <t>RESOLVED  DUPLICATE  of bug 34926</t>
  </si>
  <si>
    <t>2003-05-14 05:26:50 EDT</t>
  </si>
  <si>
    <t>2003-03-03 14:21:53 EST</t>
  </si>
  <si>
    <t>2003-05-14 05:26:41 EDT</t>
  </si>
  <si>
    <t>2003-02-25 06:50 EST</t>
  </si>
  <si>
    <t>2003-02-26 11:21:09 EST</t>
  </si>
  <si>
    <t>[('CREATED', '2003-02-25 06:50 EST'), ('adam_kiezun', '2003-02-26 11:21:09 EST', 'dirk_baeumer'), ('major', '2003-02-26 11:21:09 EST', 'dirk_baeumer'), ('2.1 RC2', '2003-02-26 11:21:09 EST', 'dirk_baeumer'), ('P2', '2003-02-26 11:26:08 EST', 'dirk_baeumer'), ('RESOLVED', '2003-03-03 14:21:53 EST', 'akiezun'), ('WORKSFORME', '2003-03-03 14:21:53 EST', 'akiezun'), ('REOPENED', '2003-05-14 05:26:41 EDT', 'akiezun'), ('---', '2003-05-14 05:26:41 EDT', 'akiezun'), ('RESOLVED', '2003-05-14 05:26:50 EDT', 'akiezun'), ('DUPLICATE', '2003-05-14 05:26:50 EDT', 'akiezun')]</t>
  </si>
  <si>
    <t>2006-06-27 06:00:21 EDT</t>
  </si>
  <si>
    <t>2006-08-10 04:48:58 EDT</t>
  </si>
  <si>
    <t>2006-06-27 05:58:23 EDT</t>
  </si>
  <si>
    <t>2003-02-25 06:54 EST</t>
  </si>
  <si>
    <t>2003-03-03 21:46:11 EST</t>
  </si>
  <si>
    <t>[('CREATED', '2003-02-25 06:54 EST'), ('ASSIGNED', '2003-03-03 21:46:11 EST', 'n.a.edgar'), ("[Wizards] Wizard doesn't update progress label when operation not forked", '2003-03-03 21:46:11 EST', 'n.a.edgar'), ('RESOLVED', '2006-06-26 09:08:42 EDT', 'Tod_Creasey'), ('REMIND', '2006-06-26 09:08:42 EDT', 'Tod_Creasey'), ('tobias_widmer', '2006-06-27 03:56:17 EDT', 'dirk_baeumer'), ('3.3 M1', '2006-06-27 05:58:23 EDT', 'tobias_widmer'), (nan, '2006-06-27 05:58:23 EDT', 'tobias_widmer'), ('REOPENED', '2006-06-27 05:58:23 EDT', 'tobias_widmer'), ('---', '2006-06-27 05:58:23 EDT', 'tobias_widmer'), ('tobias_widmer', '2006-06-27 05:59:31 EDT', 'tobias_widmer'), ('NEW', '2006-06-27 05:59:31 EDT', 'tobias_widmer'), ('UI', '2006-06-27 05:59:31 EDT', 'tobias_widmer'), ('JDT', '2006-06-27 05:59:31 EDT', 'tobias_widmer'), ('[pull up] No progress monitoring when switching to method page [refactoring]', '2006-06-27 05:59:31 EDT', 'tobias_widmer'), ('RESOLVED', '2006-06-27 06:00:21 EDT', 'tobias_widmer'), ('FIXED', '2006-06-27 06:00:21 EDT', 'tobias_widmer'), ('VERIFIED', '2006-08-10 04:48:58 EDT', 'benno.baumgartner')]</t>
  </si>
  <si>
    <t>2003-02-26 12:26:04 EST</t>
  </si>
  <si>
    <t>2009-08-30 02:40:46 EDT</t>
  </si>
  <si>
    <t>2003-02-25 09:30 EST</t>
  </si>
  <si>
    <t>[('CREATED', '2003-02-25 09:30 EST'), ('RESOLVED', '2003-02-26 12:26:04 EST', 'dirk_baeumer'), ('LATER', '2003-02-26 12:26:04 EST', 'dirk_baeumer'), ('Refactoring preview clears read-only state [refactoring] [general issue]', '2003-02-26 12:26:04 EST', 'dirk_baeumer'), ('WONTFIX', '2009-08-30 02:40:46 EDT', 'webmaster')]</t>
  </si>
  <si>
    <t>2003-03-05 04:53:41 EST</t>
  </si>
  <si>
    <t>2003-02-25 09:41 EST</t>
  </si>
  <si>
    <t>2003-02-26 12:29:00 EST</t>
  </si>
  <si>
    <t>[('CREATED', '2003-02-25 09:41 EST'), ('dirk_baeumer', '2003-02-26 12:29:00 EST', 'dirk_baeumer'), ('2.1 RC2', '2003-02-26 12:29:00 EST', 'dirk_baeumer'), ('RESOLVED', '2003-03-05 04:53:41 EST', 'dirk_baeumer'), ('FIXED', '2003-03-05 04:53:41 EST', 'dirk_baeumer')]</t>
  </si>
  <si>
    <t>2003-03-03 13:28:05 EST</t>
  </si>
  <si>
    <t>2003-02-25 10:07 EST</t>
  </si>
  <si>
    <t>2003-02-26 12:34:41 EST</t>
  </si>
  <si>
    <t>[('CREATED', '2003-02-25 10:07 EST'), ('adam_kiezun', '2003-02-26 12:34:41 EST', 'dirk_baeumer'), ('2.1 RC2', '2003-02-26 12:34:41 EST', 'dirk_baeumer'), ('RESOLVED', '2003-03-03 13:28:05 EST', 'akiezun'), ('FIXED', '2003-03-03 13:28:05 EST', 'akiezun')]</t>
  </si>
  <si>
    <t>2003-03-04 07:30:23 EST</t>
  </si>
  <si>
    <t>2003-03-10 17:12:02 EST</t>
  </si>
  <si>
    <t>2003-02-25 11:04 EST</t>
  </si>
  <si>
    <t>2003-02-25 14:45:01 EST</t>
  </si>
  <si>
    <t>[('CREATED', '2003-02-25 11:04 EST'), ('jdt-ui-inbox', '2003-02-25 14:45:01 EST', 'Olivier_Thomann'), ('UI', '2003-02-25 14:45:01 EST', 'Olivier_Thomann'), ('2.1 RC2', '2003-02-26 12:58:26 EST', 'dirk_baeumer'), ('adam_kiezun', '2003-02-26 12:58:26 EST', 'dirk_baeumer'), ('RESOLVED', '2003-03-04 07:30:23 EST', 'akiezun'), ('FIXED', '2003-03-04 07:30:23 EST', 'akiezun'), ('VERIFIED', '2003-03-10 17:12:02 EST', 'alex.blewitt')]</t>
  </si>
  <si>
    <t>2007-06-21 04:26:20 EDT</t>
  </si>
  <si>
    <t>2007-06-21 04:26:06 EDT</t>
  </si>
  <si>
    <t>2003-02-25 11:13 EST</t>
  </si>
  <si>
    <t>2003-02-25 12:13:42 EST</t>
  </si>
  <si>
    <t>[('CREATED', '2003-02-25 11:13 EST'), ('jdt-ui-inbox', '2003-02-25 12:13:42 EST', 'akiezun'), ('UI', '2003-02-25 12:13:42 EST', 'akiezun'), ('RESOLVED', '2003-02-26 13:49:04 EST', 'dirk_baeumer'), ('LATER', '2003-02-26 13:49:04 EST', 'dirk_baeumer'), ('Refactor-&gt;Extract constant should work on instance fields too [refactoring]', '2003-02-26 13:49:20 EST', 'dirk_baeumer'), ('REOPENED', '2007-06-21 04:26:06 EDT', 'martinae'), ('---', '2007-06-21 04:26:06 EDT', 'martinae'), ('RESOLVED', '2007-06-21 04:26:20 EDT', 'martinae'), ('DUPLICATE', '2007-06-21 04:26:20 EDT', 'martinae')]</t>
  </si>
  <si>
    <t>2003-03-04 09:43:35 EST</t>
  </si>
  <si>
    <t>2003-02-25 11:47 EST</t>
  </si>
  <si>
    <t>2003-02-26 13:33:33 EST</t>
  </si>
  <si>
    <t>[('CREATED', '2003-02-25 11:47 EST'), ('adam_kiezun', '2003-02-26 13:33:33 EST', 'dirk_baeumer'), ('P2', '2003-02-26 13:33:33 EST', 'dirk_baeumer'), ('2.1 RC2', '2003-02-26 13:33:33 EST', 'dirk_baeumer'), ('RESOLVED', '2003-03-04 09:43:35 EST', 'akiezun'), ('FIXED', '2003-03-04 09:43:35 EST', 'akiezun')]</t>
  </si>
  <si>
    <t>2003-02-28 06:19:52 EST</t>
  </si>
  <si>
    <t>2003-02-25 12:02 EST</t>
  </si>
  <si>
    <t>2003-02-27 10:29:26 EST</t>
  </si>
  <si>
    <t>[('CREATED', '2003-02-25 12:02 EST'), ('dirk_baeumer', '2003-02-27 10:29:26 EST', 'dirk_baeumer'), ('P1', '2003-02-27 10:29:26 EST', 'dirk_baeumer'), ('2.1 RC2', '2003-02-27 10:29:26 EST', 'dirk_baeumer'), ('RESOLVED', '2003-02-28 06:19:52 EST', 'dirk_baeumer'), ('FIXED', '2003-02-28 06:19:52 EST', 'dirk_baeumer')]</t>
  </si>
  <si>
    <t>36175 39898 41076 (view as bug list)</t>
  </si>
  <si>
    <t>2003-07-21 08:33:30 EDT</t>
  </si>
  <si>
    <t>2003-08-27 06:36:19 EDT</t>
  </si>
  <si>
    <t>2003-02-25 12:08 EST</t>
  </si>
  <si>
    <t>2003-02-27 17:11:04 EST</t>
  </si>
  <si>
    <t>2020-04-30 08:05:11 EDT</t>
  </si>
  <si>
    <t>sarika.sinha</t>
  </si>
  <si>
    <t>[('CREATED', '2003-02-25 12:08 EST'), ('veronika_irvine', '2003-02-27 17:11:04 EST', 'veronika_irvine'), ('hang in clipboard get contents', '2003-02-27 17:11:56 EST', 'veronika_irvine'), ('P1', '2003-02-27 17:11:56 EST', 'veronika_irvine'), ('major', '2003-03-25 12:12:39 EST', 'snorthov'), ('P2', '2003-03-25 12:12:39 EST', 'snorthov'), ('bshingar', '2003-04-16 09:47:45 EDT', 'veronika_irvine'), ('brent', '2003-07-15 14:02:01 EDT', 'veronika_irvine'), ('jdt-ui-inbox', '2003-07-17 12:25:31 EDT', 'veronika_irvine'), ('UI', '2003-07-17 12:25:31 EDT', 'veronika_irvine'), ('JDT', '2003-07-17 12:25:31 EDT', 'veronika_irvine'), ('veronika_irvine', '2003-07-17 12:46:26 EDT', 'dirk_baeumer'), ('adam_kiezun', '2003-07-17 12:46:26 EDT', 'dirk_baeumer'), ('hang in clipboard get contents [reorg] [ccp] [dnd]', '2003-07-17 12:46:26 EDT', 'dirk_baeumer'), ('3.0 M3', '2003-07-17 12:46:26 EDT', 'dirk_baeumer'), ('bill', '2003-07-17 14:11:42 EDT', 'veronika_irvine'), ('RESOLVED', '2003-07-21 08:33:30 EDT', 'akiezun'), ('FIXED', '2003-07-21 08:33:30 EDT', 'akiezun'), ('mtaylor', '2003-07-25 11:51:51 EDT', 'veronika_irvine'), ('jrehman', '2003-08-05 11:09:53 EDT', 'veronika_irvine'), ('VERIFIED', '2003-08-27 06:36:19 EDT', 'daniel_megert'), ('https://bugs.eclipse.org/bugs/show_bug.cgi?id=562608', '2020-04-30 08:05:11 EDT', 'sarika.sinha')]</t>
  </si>
  <si>
    <t>2003-02-28 09:18:25 EST</t>
  </si>
  <si>
    <t>2003-02-25 12:11 EST</t>
  </si>
  <si>
    <t>2003-02-27 05:47:08 EST</t>
  </si>
  <si>
    <t>[('CREATED', '2003-02-25 12:11 EST'), ('dirk_baeumer', '2003-02-27 05:47:08 EST', 'erich_gamma'), ('major', '2003-02-27 05:47:08 EST', 'erich_gamma'), ('P2', '2003-02-27 05:47:08 EST', 'erich_gamma'), ('2.1 RC2', '2003-02-27 08:12:56 EST', 'dirk_baeumer'), ('RESOLVED', '2003-02-28 09:18:25 EST', 'dirk_baeumer'), ('FIXED', '2003-02-28 09:18:25 EST', 'dirk_baeumer')]</t>
  </si>
  <si>
    <t>2003-03-04 13:13:24 EST</t>
  </si>
  <si>
    <t>2003-02-25 12:32 EST</t>
  </si>
  <si>
    <t>2003-02-26 13:52:53 EST</t>
  </si>
  <si>
    <t>[('CREATED', '2003-02-25 12:32 EST'), ('adam_kiezun', '2003-02-26 13:52:53 EST', 'dirk_baeumer'), ('P2', '2003-02-26 13:52:53 EST', 'dirk_baeumer'), ('2.1 RC2', '2003-02-26 13:52:53 EST', 'dirk_baeumer'), ('adam_kiezun', '2003-03-04 08:39:38 EST', 'akiezun'), ('jdt-core-inbox', '2003-03-04 08:39:38 EST', 'akiezun'), ('Core', '2003-03-04 08:39:38 EST', 'akiezun'), ('jdt-ui-inbox', '2003-03-04 10:05:38 EST', 'philippe_mulet'), ('UI', '2003-03-04 10:05:38 EST', 'philippe_mulet'), ('adam_kiezun', '2003-03-04 12:13:26 EST', 'dirk_baeumer'), ('RESOLVED', '2003-03-04 13:13:24 EST', 'akiezun'), ('FIXED', '2003-03-04 13:13:24 EST', 'akiezun')]</t>
  </si>
  <si>
    <t>2003-03-05 10:32:49 EST</t>
  </si>
  <si>
    <t>2003-02-26 05:34 EST</t>
  </si>
  <si>
    <t>2003-02-26 14:41:24 EST</t>
  </si>
  <si>
    <t>[('CREATED', '2003-02-26 05:34 EST'), ('dirk_baeumer', '2003-02-26 14:41:24 EST', 'dirk_baeumer'), ('P2', '2003-02-26 14:41:24 EST', 'dirk_baeumer'), ('2.1 RC2', '2003-02-26 14:41:24 EST', 'dirk_baeumer'), ('RESOLVED', '2003-03-05 10:32:49 EST', 'dirk_baeumer'), ('FIXED', '2003-03-05 10:32:49 EST', 'dirk_baeumer')]</t>
  </si>
  <si>
    <t>2003-03-06 04:18:04 EST</t>
  </si>
  <si>
    <t>2003-02-26 05:56 EST</t>
  </si>
  <si>
    <t>2003-02-26 14:42:14 EST</t>
  </si>
  <si>
    <t>[('CREATED', '2003-02-26 05:56 EST'), ('dirk_baeumer', '2003-02-26 14:42:14 EST', 'dirk_baeumer'), ('2.1 RC2', '2003-02-26 14:42:14 EST', 'dirk_baeumer'), ('RESOLVED', '2003-03-06 04:18:04 EST', 'dirk_baeumer'), ('FIXED', '2003-03-06 04:18:04 EST', 'dirk_baeumer')]</t>
  </si>
  <si>
    <t>46765 355568 (view as bug list)</t>
  </si>
  <si>
    <t>2003-02-26 06:01 EST</t>
  </si>
  <si>
    <t>2003-02-26 06:09:01 EST</t>
  </si>
  <si>
    <t>2011-10-25 02:14:46 EDT</t>
  </si>
  <si>
    <t>[('CREATED', '2003-02-26 06:01 EST'), ('jdt-ui-inbox', '2003-02-26 06:09:01 EST', 'philippe_mulet'), ('UI', '2003-02-26 06:09:01 EST', 'philippe_mulet'), ('ASSIGNED', '2003-02-26 14:46:06 EST', 'dirk_baeumer'), ('Adam_Kiezun', '2003-02-26 14:46:06 EST', 'dirk_baeumer'), ('mike', '2003-02-27 16:52:41 EST', 'mike'), ('Refactor rename of class to duplicate name can result in invalid source. [refactoring]', '2003-04-01 11:37:47 EST', 'dirk_baeumer'), ('markus_keller', '2006-06-12 03:11:47 EDT', 'martinae'), ('NEW', '2006-06-12 03:11:47 EDT', 'martinae'), ('[rename] Refactor rename of class to duplicate name can result in invalid source. [refactoring]', '2006-06-12 03:11:47 EDT', 'martinae'), ('enhancement', '2006-06-14 13:25:52 EDT', 'markus.kell.r'), ('ASSIGNED', '2006-06-14 13:25:52 EDT', 'markus.kell.r'), ('[rename] Refactor rename of class to duplicate name can result in invalid source', '2006-06-14 13:25:52 EDT', 'markus.kell.r'), ('philippe_mulet', '2006-06-14 13:29:54 EDT', 'markus.kell.r'), ('reprogrammer', '2011-10-25 02:14:46 EDT', 'daniel_megert')]</t>
  </si>
  <si>
    <t>2003-03-03 15:48:03 EST</t>
  </si>
  <si>
    <t>2003-02-26 07:50 EST</t>
  </si>
  <si>
    <t>2003-02-27 04:35:21 EST</t>
  </si>
  <si>
    <t>[('CREATED', '2003-02-26 07:50 EST'), ('daniel_megert', '2003-02-27 04:35:21 EST', 'dirk_baeumer'), ('P2', '2003-02-27 04:35:21 EST', 'dirk_baeumer'), ('2.1 RC2', '2003-02-27 04:35:21 EST', 'dirk_baeumer'), ('Search-&gt;References/Dec/Imp/Read/Write enabled when editing java file outside source folders, in non-java projects and from cvs repository.', '2003-02-27 09:12:32 EST', 'daniel_megert'), ('dirk_baeumer', '2003-02-27 09:12:32 EST', 'daniel_megert'), ('RESOLVED', '2003-03-03 15:48:03 EST', 'dirk_baeumer'), ('FIXED', '2003-03-03 15:48:03 EST', 'dirk_baeumer')]</t>
  </si>
  <si>
    <t>2003-03-05 09:07:21 EST</t>
  </si>
  <si>
    <t>2009-08-30 02:41:48 EDT</t>
  </si>
  <si>
    <t>2003-02-26 07:56 EST</t>
  </si>
  <si>
    <t>2003-02-26 08:37:23 EST</t>
  </si>
  <si>
    <t>[('CREATED', '2003-02-26 07:56 EST'), ('jdt-ui-inbox', '2003-02-26 08:37:23 EST', 'kai-uwe_maetzel'), ('UI', '2003-02-26 08:37:23 EST', 'kai-uwe_maetzel'), ('dirk_baeumer', '2003-02-27 05:11:18 EST', 'dirk_baeumer'), ('P2', '2003-02-27 05:11:18 EST', 'dirk_baeumer'), ('2.1 RC2', '2003-02-27 05:11:18 EST', 'dirk_baeumer'), ('jdt-ui-inbox', '2003-03-05 09:06:59 EST', 'dirk_baeumer'), ('Out of memory corrupting workspace while refactoring [refactoring] [general issue]', '2003-03-05 09:06:59 EST', 'dirk_baeumer'), ('---', '2003-03-05 09:06:59 EST', 'dirk_baeumer'), ('RESOLVED', '2003-03-05 09:07:21 EST', 'dirk_baeumer'), ('LATER', '2003-03-05 09:07:21 EST', 'dirk_baeumer'), ('WONTFIX', '2009-08-30 02:41:48 EDT', 'webmaster')]</t>
  </si>
  <si>
    <t>2003-03-03 13:38:28 EST</t>
  </si>
  <si>
    <t>2003-02-26 08:14 EST</t>
  </si>
  <si>
    <t>2003-02-27 11:16:35 EST</t>
  </si>
  <si>
    <t>[('CREATED', '2003-02-26 08:14 EST'), ('adam_kiezun', '2003-02-27 11:16:35 EST', 'dirk_baeumer'), ('2.1 RC2', '2003-02-27 11:16:35 EST', 'dirk_baeumer'), ('RESOLVED', '2003-03-03 13:38:28 EST', 'akiezun'), ('FIXED', '2003-03-03 13:38:28 EST', 'akiezun')]</t>
  </si>
  <si>
    <t>2003-02-27 04:50:17 EST</t>
  </si>
  <si>
    <t>2009-08-30 02:39:15 EDT</t>
  </si>
  <si>
    <t>2003-02-26 08:32 EST</t>
  </si>
  <si>
    <t>2003-02-27 02:15:13 EST</t>
  </si>
  <si>
    <t>[('CREATED', '2003-02-26 08:32 EST'), ('enhancement', '2003-02-27 02:15:13 EST', 'daniel_megert'), ('RESOLVED', '2003-02-27 04:50:17 EST', 'dirk_baeumer'), ('LATER', '2003-02-27 04:50:17 EST', 'dirk_baeumer'), ('Pull Up supports statics while Push Down does not [refactoring]', '2003-02-27 04:50:17 EST', 'dirk_baeumer'), ('WONTFIX', '2009-08-30 02:39:15 EDT', 'webmaster')]</t>
  </si>
  <si>
    <t>2003-03-03 12:38:16 EST</t>
  </si>
  <si>
    <t>2003-02-26 09:15 EST</t>
  </si>
  <si>
    <t>2003-02-27 04:33:23 EST</t>
  </si>
  <si>
    <t>[('CREATED', '2003-02-26 09:15 EST'), ('adam_kiezun', '2003-02-27 04:33:23 EST', 'erich_gamma'), ('P2', '2003-02-27 04:33:23 EST', 'erich_gamma'), ('2.1 RC2', '2003-02-27 04:33:23 EST', 'erich_gamma'), ('RESOLVED', '2003-03-03 12:38:16 EST', 'akiezun'), ('FIXED', '2003-03-03 12:38:16 EST', 'akiezun')]</t>
  </si>
  <si>
    <t>2003-03-03 06:27:51 EST</t>
  </si>
  <si>
    <t>2003-02-26 09:54 EST</t>
  </si>
  <si>
    <t>2003-02-26 10:00:23 EST</t>
  </si>
  <si>
    <t>[('CREATED', '2003-02-26 09:54 EST'), ('critical', '2003-02-26 10:00:23 EST', 'daniel_megert'), ('adam_kiezun', '2003-02-27 04:23:03 EST', 'erich_gamma'), ('P1', '2003-02-27 04:23:03 EST', 'erich_gamma'), ('2.1 RC2', '2003-02-27 04:23:03 EST', 'erich_gamma'), ('RESOLVED', '2003-03-03 06:27:51 EST', 'akiezun'), ('FIXED', '2003-03-03 06:27:51 EST', 'akiezun')]</t>
  </si>
  <si>
    <t>2003-03-03 14:41:14 EST</t>
  </si>
  <si>
    <t>2003-02-26 12:32 EST</t>
  </si>
  <si>
    <t>2003-02-27 04:11:43 EST</t>
  </si>
  <si>
    <t>[('CREATED', '2003-02-26 12:32 EST'), ('adam_kiezun', '2003-02-27 04:11:43 EST', 'erich_gamma'), ('P2', '2003-02-27 04:11:43 EST', 'erich_gamma'), ('2.1 RC2', '2003-02-27 04:11:43 EST', 'erich_gamma'), ('adam_kiezun', '2003-03-03 13:50:23 EST', 'akiezun'), ('jdt-ui-inbox', '2003-03-03 13:50:23 EST', 'akiezun'), ('adam_kiezun', '2003-03-03 14:17:15 EST', 'dirk_baeumer'), ('RESOLVED', '2003-03-03 14:41:14 EST', 'akiezun'), ('FIXED', '2003-03-03 14:41:14 EST', 'akiezun')]</t>
  </si>
  <si>
    <t>2003-03-03 12:01:45 EST</t>
  </si>
  <si>
    <t>2003-02-26 16:20 EST</t>
  </si>
  <si>
    <t>2003-02-27 03:54:23 EST</t>
  </si>
  <si>
    <t>[('CREATED', '2003-02-26 16:20 EST'), ('adam_kiezun', '2003-02-27 03:54:23 EST', 'erich_gamma'), ('major', '2003-02-27 03:54:23 EST', 'erich_gamma'), ('P2', '2003-02-27 03:54:23 EST', 'erich_gamma'), ('2.1 RC2', '2003-02-27 03:54:23 EST', 'erich_gamma'), ('RESOLVED', '2003-03-03 12:01:45 EST', 'akiezun'), ('FIXED', '2003-03-03 12:01:45 EST', 'akiezun')]</t>
  </si>
  <si>
    <t>2003-02-28 08:37:12 EST</t>
  </si>
  <si>
    <t>2003-02-26 16:44 EST</t>
  </si>
  <si>
    <t>2003-02-27 03:41:00 EST</t>
  </si>
  <si>
    <t>[('CREATED', '2003-02-26 16:44 EST'), ('P1', '2003-02-27 03:41:00 EST', 'erich_gamma'), ('adam_kiezun', '2003-02-27 03:41:00 EST', 'erich_gamma'), ('critical', '2003-02-27 03:41:00 EST', 'erich_gamma'), ('dirk_baeumer', '2003-02-27 06:41:28 EST', 'dirk_baeumer'), ('2.1 RC2', '2003-02-27 06:41:28 EST', 'dirk_baeumer'), ('RESOLVED', '2003-02-28 08:37:12 EST', 'dirk_baeumer'), ('FIXED', '2003-02-28 08:37:12 EST', 'dirk_baeumer')]</t>
  </si>
  <si>
    <t>2003-03-03 11:54:19 EST</t>
  </si>
  <si>
    <t>2003-03-10 17:46:54 EST</t>
  </si>
  <si>
    <t>2003-02-26 20:01 EST</t>
  </si>
  <si>
    <t>2003-02-27 03:30:19 EST</t>
  </si>
  <si>
    <t>[('CREATED', '2003-02-26 20:01 EST'), ('adam_kiezun', '2003-02-27 03:30:19 EST', 'erich_gamma'), ('P2', '2003-02-27 03:30:19 EST', 'erich_gamma'), ('2.1 RC2', '2003-02-27 03:30:19 EST', 'erich_gamma'), ('FIXED', '2003-03-03 11:54:19 EST', 'akiezun'), ('RESOLVED', '2003-03-03 11:54:19 EST', 'akiezun'), ('VERIFIED', '2003-03-10 17:46:54 EST', 'alex.blewitt')]</t>
  </si>
  <si>
    <t>2003-03-04 06:00:25 EST</t>
  </si>
  <si>
    <t>2003-02-27 04:47 EST</t>
  </si>
  <si>
    <t>2003-02-27 08:05:25 EST</t>
  </si>
  <si>
    <t>[('CREATED', '2003-02-27 04:47 EST'), ('adam_kiezun', '2003-02-27 08:05:25 EST', 'dirk_baeumer'), ('P1', '2003-02-27 08:05:25 EST', 'dirk_baeumer'), ('2.1 RC2', '2003-02-27 08:05:25 EST', 'dirk_baeumer'), ('doms', '2003-03-03 06:48:28 EST', 'akiezun'), ('ASSIGNED', '2003-03-03 06:48:28 EST', 'akiezun'), ('WORKSFORME', '2003-03-04 06:00:25 EST', 'akiezun'), ('RESOLVED', '2003-03-04 06:00:25 EST', 'akiezun')]</t>
  </si>
  <si>
    <t>2003-03-05 13:08:08 EST</t>
  </si>
  <si>
    <t>2003-02-27 06:18 EST</t>
  </si>
  <si>
    <t>2003-02-27 06:18:41 EST</t>
  </si>
  <si>
    <t>[('CREATED', '2003-02-27 06:18 EST'), ('P2', '2003-02-27 06:18:41 EST', 'dirk_baeumer'), ('2.1 RC2', '2003-02-27 06:18:41 EST', 'dirk_baeumer'), ('RESOLVED', '2003-03-05 13:08:08 EST', 'dirk_baeumer'), ('FIXED', '2003-03-05 13:08:08 EST', 'dirk_baeumer')]</t>
  </si>
  <si>
    <t>2003-03-03 12:05:19 EST</t>
  </si>
  <si>
    <t>2003-02-27 09:51 EST</t>
  </si>
  <si>
    <t>2003-02-28 03:01:27 EST</t>
  </si>
  <si>
    <t>[('CREATED', '2003-02-27 09:51 EST'), ('adam_kiezun', '2003-02-28 03:01:27 EST', 'dirk_baeumer'), ('P2', '2003-02-28 03:01:27 EST', 'dirk_baeumer'), ('2.1 RC2', '2003-02-28 03:01:27 EST', 'dirk_baeumer'), ('RESOLVED', '2003-03-03 12:05:19 EST', 'akiezun'), ('WORKSFORME', '2003-03-03 12:05:19 EST', 'akiezun')]</t>
  </si>
  <si>
    <t>2003-03-05 10:49:16 EST</t>
  </si>
  <si>
    <t>2003-02-27 12:07 EST</t>
  </si>
  <si>
    <t>2003-02-27 12:35:36 EST</t>
  </si>
  <si>
    <t>[('CREATED', '2003-02-27 12:07 EST'), ('dirk_baeumer', '2003-02-27 12:35:36 EST', 'dirk_baeumer'), ('2.1 RC2', '2003-02-27 12:35:36 EST', 'dirk_baeumer'), ('RESOLVED', '2003-03-05 10:49:16 EST', 'dirk_baeumer'), ('FIXED', '2003-03-05 10:49:16 EST', 'dirk_baeumer')]</t>
  </si>
  <si>
    <t>2003-03-04 14:36:40 EST</t>
  </si>
  <si>
    <t>2003-02-27 13:58 EST</t>
  </si>
  <si>
    <t>2003-02-27 14:07:54 EST</t>
  </si>
  <si>
    <t>[('CREATED', '2003-02-27 13:58 EST'), ('adam_kiezun', '2003-02-27 14:07:54 EST', 'dirk_baeumer'), ('P2', '2003-02-27 14:07:54 EST', 'dirk_baeumer'), ('2.1 RC2', '2003-02-27 14:07:54 EST', 'dirk_baeumer'), ('major', '2003-03-03 04:44:15 EST', 'kenny'), ('ASSIGNED', '2003-03-04 14:11:36 EST', 'akiezun'), ('RESOLVED', '2003-03-04 14:36:40 EST', 'akiezun'), ('FIXED', '2003-03-04 14:36:40 EST', 'akiezun')]</t>
  </si>
  <si>
    <t>2003-02-28 06:27:44 EST</t>
  </si>
  <si>
    <t>2003-02-28 03:37 EST</t>
  </si>
  <si>
    <t>[('CREATED', '2003-02-28 03:37 EST'), ('RESOLVED', '2003-02-28 06:27:44 EST', 'dirk_baeumer'), ('WONTFIX', '2003-02-28 06:27:44 EST', 'dirk_baeumer')]</t>
  </si>
  <si>
    <t>2003-03-03 12:26:03 EST</t>
  </si>
  <si>
    <t>2009-08-30 02:39:02 EDT</t>
  </si>
  <si>
    <t>2003-03-02 10:21 EST</t>
  </si>
  <si>
    <t>2003-03-03 04:58:06 EST</t>
  </si>
  <si>
    <t>[('CREATED', '2003-03-02 10:21 EST'), ('UI', '2003-03-03 04:58:06 EST', 'philippe_mulet'), ('jdt-ui-inbox', '2003-03-03 12:15:35 EST', 'Olivier_Thomann'), ('Add minimize access rights refactoring [refactoring]', '2003-03-03 12:25:39 EST', 'dirk_baeumer'), ('RESOLVED', '2003-03-03 12:26:03 EST', 'dirk_baeumer'), ('LATER', '2003-03-03 12:26:03 EST', 'dirk_baeumer'), ('helpwanted', '2003-04-25 10:00:13 EDT', 'dirk_baeumer'), ('P4', '2003-04-25 10:00:13 EDT', 'dirk_baeumer'), ('WONTFIX', '2009-08-30 02:39:02 EDT', 'webmaster')]</t>
  </si>
  <si>
    <t>2003-03-05 11:24:17 EST</t>
  </si>
  <si>
    <t>2003-03-02 16:43 EST</t>
  </si>
  <si>
    <t>2003-03-02 16:44:04 EST</t>
  </si>
  <si>
    <t>[('CREATED', '2003-03-02 16:43 EST'), ('dirk_baeumer', '2003-03-02 16:44:04 EST', 'erich_gamma'), ('2.1 RC2', '2003-03-02 16:44:04 EST', 'erich_gamma'), ('RESOLVED', '2003-03-05 11:24:17 EST', 'dirk_baeumer'), ('FIXED', '2003-03-05 11:24:17 EST', 'dirk_baeumer')]</t>
  </si>
  <si>
    <t>2003-03-06 13:27:01 EST</t>
  </si>
  <si>
    <t>2009-08-30 02:22:16 EDT</t>
  </si>
  <si>
    <t>2003-03-03 09:46 EST</t>
  </si>
  <si>
    <t>2003-03-03 09:52:41 EST</t>
  </si>
  <si>
    <t>[('CREATED', '2003-03-03 09:46 EST'), ('adam_kiezun', '2003-03-03 09:52:41 EST', 'dirk_baeumer'), ('RESOLVED', '2003-03-06 13:27:01 EST', 'dirk_baeumer'), ('LATER', '2003-03-06 13:27:01 EST', 'dirk_baeumer'), ('New Method: CellEditor#focusLost [refactoring]', '2003-03-06 13:27:01 EST', 'dirk_baeumer'), ('WONTFIX', '2009-08-30 02:22:16 EDT', 'denis.roy')]</t>
  </si>
  <si>
    <t>RESOLVED  DUPLICATE  of bug 32654</t>
  </si>
  <si>
    <t>2003-03-03 11:29:45 EST</t>
  </si>
  <si>
    <t>2003-03-03 10:35 EST</t>
  </si>
  <si>
    <t>2003-03-03 10:49:59 EST</t>
  </si>
  <si>
    <t>[('CREATED', '2003-03-03 10:35 EST'), ('adam_kiezun', '2003-03-03 10:49:59 EST', 'dirk_baeumer'), ('P2', '2003-03-03 10:49:59 EST', 'dirk_baeumer'), ('2.1 RC2', '2003-03-03 10:49:59 EST', 'dirk_baeumer'), ('DUPLICATE', '2003-03-03 11:29:45 EST', 'akiezun'), ('RESOLVED', '2003-03-03 11:29:45 EST', 'akiezun')]</t>
  </si>
  <si>
    <t>49063 72017 79358 (view as bug list)</t>
  </si>
  <si>
    <t>2008-12-16 14:08:44 EST</t>
  </si>
  <si>
    <t>2009-01-27 05:43:29 EST</t>
  </si>
  <si>
    <t>2004-09-15 12:04:41 EDT</t>
  </si>
  <si>
    <t>2003-03-04 06:27 EST</t>
  </si>
  <si>
    <t>2003-03-04 06:37:59 EST</t>
  </si>
  <si>
    <t>[('CREATED', '2003-03-04 06:27 EST'), ('ASSIGNED', '2003-03-04 06:37:59 EST', 'dirk_baeumer'), ('refactoring dialog lost function - going back from Preview [refactoring]', '2003-04-01 11:38:06 EST', 'dirk_baeumer'), ('ggregory', '2003-12-17 16:23:54 EST', 'dirk_baeumer'), ('markus_keller', '2004-03-15 12:10:03 EST', 'markus.kell.r'), ('RESOLVED', '2004-05-21 12:08:06 EDT', 'dirk_baeumer'), ('LATER', '2004-05-21 12:08:06 EDT', 'dirk_baeumer'), ('REOPENED', '2004-09-15 12:04:41 EDT', 'dirk_baeumer'), ('---', '2004-09-15 12:04:41 EDT', 'dirk_baeumer'), ('bsh_666', '2004-09-15 12:05:03 EDT', 'dirk_baeumer'), ('dirk_baeumer', '2004-11-24 06:59:33 EST', 'markus.kell.r'), ('NEW', '2004-11-24 06:59:33 EST', 'markus.kell.r'), ('P2', '2004-11-24 06:59:33 EST', 'markus.kell.r'), ('3.1', '2004-11-24 06:59:33 EST', 'markus.kell.r'), ('P3', '2005-04-27 12:25:19 EDT', 'dirk_baeumer'), ('---', '2005-04-27 12:25:19 EDT', 'dirk_baeumer'), ('daniel.megert', '2005-10-04 06:41:37 EDT', 'daniel_megert'), ('jdt-ui-inbox', '2006-06-02 05:51:47 EDT', 'martinae'), ('[refactoring] dialog lost function - going back from Preview [refactoring]', '2006-06-02 05:51:47 EDT', 'martinae'), ('kscheglov', '2008-10-16 04:37:27 EDT', 'Konstantin.Scheglov'), ('ASSIGNED', '2008-10-17 03:25:59 EDT', 'daniel_megert'), ('All', '2008-10-17 03:25:59 EDT', 'daniel_megert'), ('All', '2008-10-17 03:25:59 EDT', 'daniel_megert'), ('3.5 M4', '2008-10-30 10:19:10 EDT', 'daniel_megert'), ('3.5 M5', '2008-12-09 11:58:40 EST', 'daniel_megert'), ('markus_keller', '2008-12-16 14:08:13 EST', 'markus.kell.r'), ('NEW', '2008-12-16 14:08:13 EST', 'markus.kell.r'), ('[refactoring] dialog lost function - going back from Preview', '2008-12-16 14:08:13 EST', 'markus.kell.r'), ('RESOLVED', '2008-12-16 14:08:44 EST', 'markus.kell.r'), ('FIXED', '2008-12-16 14:08:44 EST', 'markus.kell.r'), ('VERIFIED', '2009-01-27 05:43:29 EST', 'daniel_megert')]</t>
  </si>
  <si>
    <t>2003-03-04 09:21:47 EST</t>
  </si>
  <si>
    <t>2003-03-04 08:25 EST</t>
  </si>
  <si>
    <t>[('CREATED', '2003-03-04 08:25 EST'), ('RESOLVED', '2003-03-04 09:21:47 EST', 'dirk_baeumer'), ('WONTFIX', '2003-03-04 09:21:47 EST', 'dirk_baeumer')]</t>
  </si>
  <si>
    <t>2003-03-04 11:58:59 EST</t>
  </si>
  <si>
    <t>2009-08-30 02:17:08 EDT</t>
  </si>
  <si>
    <t>2003-03-04 11:26 EST</t>
  </si>
  <si>
    <t>[('CREATED', '2003-03-04 11:26 EST'), ('RESOLVED', '2003-03-04 11:58:59 EST', 'dirk_baeumer'), ('LATER', '2003-03-04 11:58:59 EST', 'dirk_baeumer'), ('move static should display a list of moved members (and allow changing it) [refactoring]', '2003-03-04 11:58:59 EST', 'dirk_baeumer'), ('WONTFIX', '2009-08-30 02:17:08 EDT', 'denis.roy')]</t>
  </si>
  <si>
    <t>2003-03-04 12:25:33 EST</t>
  </si>
  <si>
    <t>2009-08-30 02:23:52 EDT</t>
  </si>
  <si>
    <t>2003-03-04 12:23 EST</t>
  </si>
  <si>
    <t>[('CREATED', '2003-03-04 12:23 EST'), ('enhancement', '2003-03-04 12:25:33 EST', 'dirk_baeumer'), ('RESOLVED', '2003-03-04 12:25:33 EST', 'dirk_baeumer'), ('LATER', '2003-03-04 12:25:33 EST', 'dirk_baeumer'), ("Refactor submenu displays actions that don't apply to context [refactoring]", '2003-03-04 12:25:33 EST', 'dirk_baeumer'), ('WONTFIX', '2009-08-30 02:23:52 EDT', 'denis.roy')]</t>
  </si>
  <si>
    <t>37210 (view as bug list)</t>
  </si>
  <si>
    <t>2003-03-04 13:16:23 EST</t>
  </si>
  <si>
    <t>2009-08-30 02:21:52 EDT</t>
  </si>
  <si>
    <t>2003-03-04 13:14 EST</t>
  </si>
  <si>
    <t>[('CREATED', '2003-03-04 13:14 EST'), ('RESOLVED', '2003-03-04 13:16:23 EST', 'dirk_baeumer'), ('LATER', '2003-03-04 13:16:23 EST', 'dirk_baeumer'), ('convert temp to field - fooled by extra dimensions [refactoring]', '2003-03-04 13:16:23 EST', 'dirk_baeumer'), ('bob.news', '2003-05-05 06:41:40 EDT', 'dirk_baeumer'), ('WONTFIX', '2009-08-30 02:21:52 EDT', 'denis.roy')]</t>
  </si>
  <si>
    <t>2003-03-04 13:58:20 EST</t>
  </si>
  <si>
    <t>2009-08-30 02:13:50 EDT</t>
  </si>
  <si>
    <t>2003-03-04 13:41 EST</t>
  </si>
  <si>
    <t>[('CREATED', '2003-03-04 13:41 EST'), ('RESOLVED', '2003-03-04 13:58:20 EST', 'dirk_baeumer'), ('LATER', '2003-03-04 13:58:20 EST', 'dirk_baeumer'), ('Option to reorganize imports after refactoring [refactoring]', '2003-03-04 13:58:20 EST', 'dirk_baeumer'), ('WONTFIX', '2009-08-30 02:13:50 EDT', 'denis.roy')]</t>
  </si>
  <si>
    <t>35152 (view as bug list)</t>
  </si>
  <si>
    <t>2003-03-04 14:35:01 EST</t>
  </si>
  <si>
    <t>2009-08-30 02:24:03 EDT</t>
  </si>
  <si>
    <t>2003-03-04 14:34 EST</t>
  </si>
  <si>
    <t>[('CREATED', '2003-03-04 14:34 EST'), ('RESOLVED', '2003-03-04 14:35:01 EST', 'akiezun'), ('LATER', '2003-03-04 14:35:01 EST', 'akiezun'), ('overloading in refactoring should be handled better', '2003-03-04 14:35:01 EST', 'akiezun'), ('overloading in refactoring should be handled better [refactoring]', '2003-03-04 15:08:24 EST', 'dirk_baeumer'), ('boris', '2003-03-17 12:10:33 EST', 'akiezun'), ('WONTFIX', '2009-08-30 02:24:03 EDT', 'denis.roy')]</t>
  </si>
  <si>
    <t>2003-03-05 09:46:49 EST</t>
  </si>
  <si>
    <t>2003-03-05 09:03 EST</t>
  </si>
  <si>
    <t>2003-03-05 09:07:26 EST</t>
  </si>
  <si>
    <t>[('CREATED', '2003-03-05 09:03 EST'), ('major', '2003-03-05 09:07:26 EST', 'akiezun'), ('2.1 RC2', '2003-03-05 09:45:34 EST', 'dirk_baeumer'), ('dirk_baeumer', '2003-03-05 09:45:34 EST', 'dirk_baeumer'), ('RESOLVED', '2003-03-05 09:46:49 EST', 'dirk_baeumer'), ('FIXED', '2003-03-05 09:46:49 EST', 'dirk_baeumer')]</t>
  </si>
  <si>
    <t>238861 (view as bug list)</t>
  </si>
  <si>
    <t>2003-03-05 10:31:46 EST</t>
  </si>
  <si>
    <t>2009-08-30 02:14:31 EDT</t>
  </si>
  <si>
    <t>2003-03-05 10:21 EST</t>
  </si>
  <si>
    <t>[('CREATED', '2003-03-05 10:21 EST'), ('RESOLVED', '2003-03-05 10:31:46 EST', 'dirk_baeumer'), ('LATER', '2003-03-05 10:31:46 EST', 'dirk_baeumer'), ('"Move" refactoring can leave code in non-compiling state [Refactoring]', '2003-03-05 10:31:46 EST', 'dirk_baeumer'), ('BrianMiller', '2008-07-08 04:01:30 EDT', 'daniel_megert'), ('WONTFIX', '2009-08-30 02:14:31 EDT', 'denis.roy')]</t>
  </si>
  <si>
    <t>2003-03-06 03:34:07 EST</t>
  </si>
  <si>
    <t>2009-08-30 02:14:39 EDT</t>
  </si>
  <si>
    <t>2003-03-05 14:37 EST</t>
  </si>
  <si>
    <t>2003-03-05 15:35:13 EST</t>
  </si>
  <si>
    <t>[('CREATED', '2003-03-05 14:37 EST'), ('jdt-ui-inbox', '2003-03-05 15:35:13 EST', 'Olivier_Thomann'), ('UI', '2003-03-05 15:35:13 EST', 'Olivier_Thomann'), ('LATER', '2003-03-06 03:34:07 EST', 'dirk_baeumer'), ('RESOLVED', '2003-03-06 03:34:07 EST', 'dirk_baeumer'), ('WONTFIX', '2009-08-30 02:14:39 EDT', 'denis.roy')]</t>
  </si>
  <si>
    <t>RESOLVED  DUPLICATE  of bug 33722</t>
  </si>
  <si>
    <t>2003-03-06 11:11:14 EST</t>
  </si>
  <si>
    <t>2003-03-06 09:11 EST</t>
  </si>
  <si>
    <t>2003-03-06 09:25:03 EST</t>
  </si>
  <si>
    <t>[('CREATED', '2003-03-06 09:11 EST'), ('Error Message While Creating a new Java Project', '2003-03-06 09:25:03 EST', 'adamb'), ('jdt-ui-inbox', '2003-03-06 09:52:54 EST', 'philippe_mulet'), ('UI', '2003-03-06 09:52:54 EST', 'philippe_mulet'), ('2.1 RC2', '2003-03-06 10:14:29 EST', 'dirk_baeumer'), ('martin_aeschlimann', '2003-03-06 10:14:29 EST', 'dirk_baeumer'), ('RESOLVED', '2003-03-06 11:11:14 EST', 'martinae'), ('DUPLICATE', '2003-03-06 11:11:14 EST', 'martinae')]</t>
  </si>
  <si>
    <t>29629 (view as bug list)</t>
  </si>
  <si>
    <t>2003-03-13 11:59:13 EST</t>
  </si>
  <si>
    <t>2003-03-20 11:47:36 EST</t>
  </si>
  <si>
    <t>2003-03-07 06:21 EST</t>
  </si>
  <si>
    <t>2003-03-11 04:13:25 EST</t>
  </si>
  <si>
    <t>[('CREATED', '2003-03-07 06:21 EST'), ('2.1 RC3', '2003-03-11 04:13:25 EST', 'erich_gamma'), ('adam_kiezun', '2003-03-12 14:15:21 EST', 'erich_gamma'), ('ASSIGNED', '2003-03-12 14:21:55 EST', 'akiezun'), ('Move to/from default package should inform user about potential errors [refactoring]', '2003-03-12 14:21:55 EST', 'akiezun'), ('dirk_baeumer', '2003-03-12 14:26:05 EST', 'akiezun'), ('RESOLVED', '2003-03-13 11:59:13 EST', 'akiezun'), ('FIXED', '2003-03-13 11:59:13 EST', 'akiezun'), ('VERIFIED', '2003-03-20 11:47:36 EST', 'daniel_megert')]</t>
  </si>
  <si>
    <t>2004-08-13 11:16:45 EDT</t>
  </si>
  <si>
    <t>2004-08-13 11:16:22 EDT</t>
  </si>
  <si>
    <t>2003-03-07 06:25 EST</t>
  </si>
  <si>
    <t>2003-03-07 09:59:03 EST</t>
  </si>
  <si>
    <t>[('CREATED', '2003-03-07 06:25 EST'), ('Extract Method does not apply code generation templates [refactoring]', '2003-03-07 09:59:03 EST', 'dirk_baeumer'), ('RESOLVED', '2003-03-07 09:59:03 EST', 'dirk_baeumer'), ('LATER', '2003-03-07 09:59:03 EST', 'dirk_baeumer'), ('REOPENED', '2004-08-13 11:16:22 EDT', 'dirk_baeumer'), ('---', '2004-08-13 11:16:22 EDT', 'dirk_baeumer'), ('RESOLVED', '2004-08-13 11:16:45 EDT', 'dirk_baeumer'), ('FIXED', '2004-08-13 11:16:45 EDT', 'dirk_baeumer')]</t>
  </si>
  <si>
    <t>2003-03-13 12:06:54 EST</t>
  </si>
  <si>
    <t>2003-03-20 11:52:46 EST</t>
  </si>
  <si>
    <t>2003-03-07 06:33 EST</t>
  </si>
  <si>
    <t>2003-03-07 09:56:36 EST</t>
  </si>
  <si>
    <t>[('CREATED', '2003-03-07 06:33 EST'), ('martin_aeschlimann', '2003-03-07 09:56:36 EST', 'dirk_baeumer'), ('martin_aeschlimann', '2003-03-08 18:29:15 EST', 'erich_gamma'), ('2.1 RC3', '2003-03-08 18:29:15 EST', 'erich_gamma'), ('erich_gamma', '2003-03-13 12:06:54 EST', 'martinae'), ('RESOLVED', '2003-03-13 12:06:54 EST', 'martinae'), ('FIXED', '2003-03-13 12:06:54 EST', 'martinae'), ('VERIFIED', '2003-03-20 11:52:46 EST', 'daniel_megert')]</t>
  </si>
  <si>
    <t>2003-04-25 10:56:13 EDT</t>
  </si>
  <si>
    <t>2003-04-25 10:55:53 EDT</t>
  </si>
  <si>
    <t>2003-03-07 12:30 EST</t>
  </si>
  <si>
    <t>2003-03-25 09:32:38 EST</t>
  </si>
  <si>
    <t>[('CREATED', '2003-03-07 12:30 EST'), ('jdt-ui-inbox', '2003-03-25 09:32:38 EST', 'dirk_baeumer'), ('UI', '2003-03-25 09:32:38 EST', 'dirk_baeumer'), ('Convert Local Variable to Field removes //$NON-NLS-1$ at EOL [refactoring]', '2003-03-25 09:33:03 EST', 'dirk_baeumer'), ('RESOLVED', '2003-03-25 09:33:03 EST', 'dirk_baeumer'), ('LATER', '2003-03-25 09:33:03 EST', 'dirk_baeumer'), ('adam_kiezun', '2003-04-25 10:13:58 EDT', 'dirk_baeumer'), ('REOPENED', '2003-04-25 10:55:53 EDT', 'dirk_baeumer'), ('---', '2003-04-25 10:55:53 EDT', 'dirk_baeumer'), ('RESOLVED', '2003-04-25 10:56:13 EDT', 'dirk_baeumer'), ('DUPLICATE', '2003-04-25 10:56:13 EDT', 'dirk_baeumer')]</t>
  </si>
  <si>
    <t>2003-03-12 05:45:09 EST</t>
  </si>
  <si>
    <t>2003-03-07 16:31 EST</t>
  </si>
  <si>
    <t>2003-03-08 19:14:04 EST</t>
  </si>
  <si>
    <t>2006-06-19 09:41:47 EDT</t>
  </si>
  <si>
    <t>[('CREATED', '2003-03-07 16:31 EST'), ('adam_kiezun', '2003-03-08 19:14:04 EST', 'erich_gamma'), ('2.1 RC3', '2003-03-08 19:14:04 EST', 'erich_gamma'), ('RESOLVED', '2003-03-12 05:45:09 EST', 'akiezun'), ('WORKSFORME', '2003-03-12 05:45:09 EST', 'akiezun'), ('---', '2003-03-12 14:41:49 EST', 'erich_gamma'), (nan, '2006-06-19 09:41:47 EDT', 'rolarenfan')]</t>
  </si>
  <si>
    <t>2003-03-11 05:01:35 EST</t>
  </si>
  <si>
    <t>2003-03-08 22:33 EST</t>
  </si>
  <si>
    <t>2003-03-08 22:36:33 EST</t>
  </si>
  <si>
    <t>[('CREATED', '2003-03-08 22:33 EST'), ('major', '2003-03-08 22:36:33 EST', 'bkotch'), ('RESOLVED', '2003-03-11 05:01:35 EST', 'erich_gamma'), ('WORKSFORME', '2003-03-11 05:01:35 EST', 'erich_gamma')]</t>
  </si>
  <si>
    <t>38170 (view as bug list)</t>
  </si>
  <si>
    <t>2003-07-21 07:09:04 EDT</t>
  </si>
  <si>
    <t>2003-03-09 14:01 EST</t>
  </si>
  <si>
    <t>2003-03-09 15:16:41 EST</t>
  </si>
  <si>
    <t>[('CREATED', '2003-03-09 14:01 EST'), ('jdt-ui-inbox', '2003-03-09 15:16:41 EST', 'philippe_mulet'), ('UI', '2003-03-09 15:16:41 EST', 'philippe_mulet'), ('readme', '2003-03-11 05:26:28 EST', 'erich_gamma'), ('2.1 RC3', '2003-03-11 05:26:28 EST', 'erich_gamma'), ('---', '2003-03-12 06:49:56 EST', 'kai-uwe_maetzel'), ('dirk_baeumer', '2003-03-14 05:45:07 EST', 'akiezun'), ('adam_kiezun', '2003-03-14 05:45:18 EST', 'akiezun'), (nan, '2003-03-25 15:01:34 EST', 'dirk_baeumer'), ('adam_kiezun', '2003-05-06 09:57:52 EDT', 'akiezun'), ('ASSIGNED', '2003-05-14 13:08:12 EDT', 'akiezun'), ('P2', '2003-05-14 13:08:12 EDT', 'akiezun'), ('rdgardner', '2003-05-28 05:33:55 EDT', 'akiezun'), ('Cannot refactor method sig from String to String[] [refactoring]', '2003-05-28 06:52:50 EDT', 'dirk_baeumer'), ('3.0 M3', '2003-06-06 12:34:24 EDT', 'akiezun'), ('RESOLVED', '2003-07-21 07:09:04 EDT', 'akiezun'), ('FIXED', '2003-07-21 07:09:04 EDT', 'akiezun')]</t>
  </si>
  <si>
    <t>2003-03-25 04:41:48 EST</t>
  </si>
  <si>
    <t>2003-03-10 02:02 EST</t>
  </si>
  <si>
    <t>2003-03-11 05:27:48 EST</t>
  </si>
  <si>
    <t>[('CREATED', '2003-03-10 02:02 EST'), ('martin_aeschlimann', '2003-03-11 05:27:48 EST', 'erich_gamma'), ('andre_weinand', '2003-03-23 07:30:49 EST', 'dirk_baeumer'), ('RESOLVED', '2003-03-25 04:41:48 EST', 'dirk_baeumer'), ('WORKSFORME', '2003-03-25 04:41:48 EST', 'dirk_baeumer')]</t>
  </si>
  <si>
    <t>2003-04-25 10:18:03 EDT</t>
  </si>
  <si>
    <t>2003-04-25 10:17:34 EDT</t>
  </si>
  <si>
    <t>2003-03-10 09:03 EST</t>
  </si>
  <si>
    <t>2003-03-23 08:07:52 EST</t>
  </si>
  <si>
    <t>[('CREATED', '2003-03-10 09:03 EST'), ('RESOLVED', '2003-03-23 08:07:52 EST', 'dirk_baeumer'), ('LATER', '2003-03-23 08:07:52 EST', 'dirk_baeumer'), ('surround with introduces syntax errors [refactoring]', '2003-03-23 08:07:52 EST', 'dirk_baeumer'), ('REOPENED', '2003-04-25 10:17:34 EDT', 'dirk_baeumer'), ('---', '2003-04-25 10:17:34 EDT', 'dirk_baeumer'), ('RESOLVED', '2003-04-25 10:18:03 EDT', 'dirk_baeumer'), ('FIXED', '2003-04-25 10:18:03 EDT', 'dirk_baeumer')]</t>
  </si>
  <si>
    <t>RESOLVED  DUPLICATE  of bug 377318</t>
  </si>
  <si>
    <t>2003-03-23 08:08:31 EST</t>
  </si>
  <si>
    <t>2009-08-30 02:13:22 EDT</t>
  </si>
  <si>
    <t>2012-08-03 11:37:19 EDT</t>
  </si>
  <si>
    <t>2003-03-10 09:13 EST</t>
  </si>
  <si>
    <t>[('CREATED', '2003-03-10 09:13 EST'), ('RESOLVED', '2003-03-23 08:08:31 EST', 'dirk_baeumer'), ('LATER', '2003-03-23 08:08:31 EST', 'dirk_baeumer'), ("'self encapsulate' on interface fields creates non-empty methods thus leading to compile errors [refactoring]", '2003-03-23 08:08:31 EST', 'dirk_baeumer'), ('WONTFIX', '2009-08-30 02:13:22 EDT', 'denis.roy'), ('markus_keller', '2012-08-03 11:37:19 EDT', 'markus.kell.r'), ('DUPLICATE', '2012-08-03 11:37:19 EDT', 'markus.kell.r')]</t>
  </si>
  <si>
    <t>2003-04-28 08:08:44 EDT</t>
  </si>
  <si>
    <t>2003-04-28 07:59:29 EDT</t>
  </si>
  <si>
    <t>2003-03-10 09:30 EST</t>
  </si>
  <si>
    <t>2003-03-23 08:17:07 EST</t>
  </si>
  <si>
    <t>[('CREATED', '2003-03-10 09:30 EST'), ('daniel_megert', '2003-03-23 08:17:07 EST', 'dirk_baeumer'), ('RESOLVED', '2003-03-23 18:12:09 EST', 'dirk_baeumer'), ('LATER', '2003-03-23 18:12:09 EST', 'dirk_baeumer'), ('Refactoring lost source folder property on Java Project [refactoring]', '2003-03-23 18:12:09 EST', 'dirk_baeumer'), ('REOPENED', '2003-04-28 07:59:29 EDT', 'daniel_megert'), ('---', '2003-04-28 07:59:29 EDT', 'daniel_megert'), ('daniel_megert', '2003-04-28 07:59:46 EDT', 'daniel_megert'), ('NEW', '2003-04-28 07:59:46 EDT', 'daniel_megert'), (nan, '2003-04-28 08:00:04 EDT', 'daniel_megert'), ('ASSIGNED', '2003-04-28 08:00:04 EDT', 'daniel_megert'), ('RESOLVED', '2003-04-28 08:08:44 EDT', 'daniel_megert'), ('FIXED', '2003-04-28 08:08:44 EDT', 'daniel_megert')]</t>
  </si>
  <si>
    <t>2003-03-23 08:20:51 EST</t>
  </si>
  <si>
    <t>2009-08-30 02:19:02 EDT</t>
  </si>
  <si>
    <t>2003-03-10 13:25 EST</t>
  </si>
  <si>
    <t>2003-03-10 14:08:18 EST</t>
  </si>
  <si>
    <t>[('CREATED', '2003-03-10 13:25 EST'), ('jdt-ui-inbox', '2003-03-10 14:08:18 EST', 'Olivier_Thomann'), ('UI', '2003-03-10 14:08:18 EST', 'Olivier_Thomann'), ('adam_kiezun', '2003-03-14 05:36:53 EST', 'akiezun'), ('normal', '2003-03-14 05:36:53 EST', 'akiezun'), ('RESOLVED', '2003-03-23 08:20:51 EST', 'dirk_baeumer'), ('LATER', '2003-03-23 08:20:51 EST', 'dirk_baeumer'), ('Move Refactoring improvement. [refactoring]', '2003-03-23 08:20:51 EST', 'dirk_baeumer'), ('WONTFIX', '2009-08-30 02:19:02 EDT', 'denis.roy')]</t>
  </si>
  <si>
    <t>2003-03-11 06:28:03 EST</t>
  </si>
  <si>
    <t>2003-03-10 14:51 EST</t>
  </si>
  <si>
    <t>[('CREATED', '2003-03-10 14:51 EST'), ('WONTFIX', '2003-03-11 06:28:03 EST', 'erich_gamma'), ('dirk_baeumer', '2003-03-11 06:28:03 EST', 'erich_gamma'), ('RESOLVED', '2003-03-11 06:28:03 EST', 'erich_gamma')]</t>
  </si>
  <si>
    <t>2003-03-23 10:17:28 EST</t>
  </si>
  <si>
    <t>2009-08-30 02:42:02 EDT</t>
  </si>
  <si>
    <t>2003-03-10 17:39 EST</t>
  </si>
  <si>
    <t>2003-03-11 09:28:57 EST</t>
  </si>
  <si>
    <t>[('CREATED', '2003-03-10 17:39 EST'), ('adam_kiezun', '2003-03-11 09:28:57 EST', 'erich_gamma'), ('RESOLVED', '2003-03-23 10:17:28 EST', 'dirk_baeumer'), ('LATER', '2003-03-23 10:17:28 EST', 'dirk_baeumer'), ('Rename of folder: warning style is incorrect [ccp] [refactoring]', '2003-03-23 10:17:28 EST', 'dirk_baeumer'), ('WONTFIX', '2009-08-30 02:42:02 EDT', 'webmaster')]</t>
  </si>
  <si>
    <t>2003-03-23 10:25:13 EST</t>
  </si>
  <si>
    <t>2009-08-30 02:13:26 EDT</t>
  </si>
  <si>
    <t>2003-03-10 18:36 EST</t>
  </si>
  <si>
    <t>2003-03-10 20:29:34 EST</t>
  </si>
  <si>
    <t>[('CREATED', '2003-03-10 18:36 EST'), ('jdt-ui-inbox', '2003-03-10 20:29:34 EST', 'Olivier_Thomann'), ('UI', '2003-03-10 20:29:34 EST', 'Olivier_Thomann'), ('enhancement', '2003-03-23 10:25:13 EST', 'dirk_baeumer'), ('RESOLVED', '2003-03-23 10:25:13 EST', 'dirk_baeumer'), ('LATER', '2003-03-23 10:25:13 EST', 'dirk_baeumer'), ('Refactoring does not work on labeled branch statements [refactoring]', '2003-03-23 10:25:13 EST', 'dirk_baeumer'), ('WONTFIX', '2009-08-30 02:13:26 EDT', 'denis.roy')]</t>
  </si>
  <si>
    <t>49588 (view as bug list)</t>
  </si>
  <si>
    <t>31456</t>
  </si>
  <si>
    <t>2020-02-06 16:34:38 EST</t>
  </si>
  <si>
    <t>2003-03-11 04:17 EST</t>
  </si>
  <si>
    <t>2003-03-11 04:17:35 EST</t>
  </si>
  <si>
    <t>[('CREATED', '2003-03-11 04:17 EST'), ('readme', '2003-03-11 04:17:35 EST', 'daniel_megert'), ('adam_kiezun', '2003-05-05 13:10:33 EDT', 'dirk_baeumer'), ('Refactoring: Copy, Paste, Move of linked resources not possible from Java views [ccp]', '2003-05-05 13:10:33 EDT', 'dirk_baeumer'), ('3.0 M3', '2003-08-05 06:08:05 EDT', 'dirk_baeumer'), ('P2', '2003-08-05 09:16:02 EDT', 'dirk_baeumer'), ('31456', '2003-08-11 08:20:44 EDT', 'akiezun'), ('adam_kiezun', '2003-08-11 08:21:22 EDT', 'akiezun'), ('jdt-ui-inbox', '2003-08-11 08:21:22 EDT', 'akiezun'), ('3.0', '2003-08-26 05:31:51 EDT', 'dirk_baeumer'), ('freese', '2004-05-06 17:55:53 EDT', 'dirk_baeumer'), ('---', '2004-05-07 08:56:36 EDT', 'dirk_baeumer'), ('P3', '2004-05-12 05:40:56 EDT', 'dirk_baeumer'), ('r.bhaskar', '2005-12-12 17:51:50 EST', 'r.bhaskar'), ('ASSIGNED', '2006-06-23 09:08:20 EDT', 'martinae'), ('[ccp] Copy, Paste, Move of linked resources not possible from Java views', '2006-06-23 09:08:20 EDT', 'martinae'), ('CLOSED', '2020-02-06 16:34:38 EST', 'genie'), ('WONTFIX', '2020-02-06 16:34:38 EST', 'genie'), ('stalebug', '2020-02-06 16:34:38 EST', 'genie')]</t>
  </si>
  <si>
    <t>2003-04-09 08:58:27 EDT</t>
  </si>
  <si>
    <t>2003-04-09 05:40:46 EDT</t>
  </si>
  <si>
    <t>2003-03-11 08:19 EST</t>
  </si>
  <si>
    <t>2003-03-12 05:54:42 EST</t>
  </si>
  <si>
    <t>[('CREATED', '2003-03-11 08:19 EST'), ('adam_kiezun', '2003-03-12 05:54:42 EST', 'erich_gamma'), ('adam_kiezun', '2003-03-14 05:13:07 EST', 'akiezun'), ('erich_gamma', '2003-03-14 05:30:19 EST', 'akiezun'), ('ASSIGNED', '2003-03-14 14:15:14 EST', 'akiezun'), ('RESOLVED', '2003-03-17 11:58:40 EST', 'akiezun'), ('LATER', '2003-03-17 11:58:40 EST', 'akiezun'), ('REOPENED', '2003-04-09 05:40:46 EDT', 'akiezun'), ('---', '2003-04-09 05:40:46 EDT', 'akiezun'), ('RESOLVED', '2003-04-09 08:58:27 EDT', 'akiezun'), ('FIXED', '2003-04-09 08:58:27 EDT', 'akiezun')]</t>
  </si>
  <si>
    <t>2003-03-14 05:14:28 EST</t>
  </si>
  <si>
    <t>2009-08-30 02:21:13 EDT</t>
  </si>
  <si>
    <t>2003-03-11 10:35 EST</t>
  </si>
  <si>
    <t>2003-03-11 10:46:14 EST</t>
  </si>
  <si>
    <t>[('CREATED', '2003-03-11 10:35 EST'), ('jdt-ui-inbox', '2003-03-11 10:46:14 EST', 'jerome_lanneluc'), ('UI', '2003-03-11 10:46:14 EST', 'jerome_lanneluc'), ('adam_kiezun', '2003-03-14 05:14:28 EST', 'akiezun'), ('RESOLVED', '2003-03-14 05:14:28 EST', 'akiezun'), ('LATER', '2003-03-14 05:14:28 EST', 'akiezun'), ('Add automatic removal of push down to subclasses for classes where it is not required [refactoring]', '2003-04-02 09:49:30 EST', 'dirk_baeumer'), ('WONTFIX', '2009-08-30 02:21:13 EDT', 'denis.roy')]</t>
  </si>
  <si>
    <t>2003-04-17 07:45:17 EDT</t>
  </si>
  <si>
    <t>2003-03-11 15:36 EST</t>
  </si>
  <si>
    <t>2003-03-12 13:01:32 EST</t>
  </si>
  <si>
    <t>[('CREATED', '2003-03-11 15:36 EST'), ('adam_kiezun', '2003-03-12 13:01:32 EST', 'erich_gamma'), ('RESOLVED', '2003-04-17 07:45:17 EDT', 'akiezun'), ('WORKSFORME', '2003-04-17 07:45:17 EDT', 'akiezun')]</t>
  </si>
  <si>
    <t>2003-03-18 10:40:22 EST</t>
  </si>
  <si>
    <t>2003-03-11 16:55 EST</t>
  </si>
  <si>
    <t>2003-03-12 12:52:05 EST</t>
  </si>
  <si>
    <t>[('CREATED', '2003-03-11 16:55 EST'), ('daniel_megert', '2003-03-12 12:52:05 EST', 'erich_gamma'), ('P2', '2003-03-12 12:52:05 EST', 'erich_gamma'), ('adam_kiezun', '2003-03-13 12:38:54 EST', 'daniel_megert'), ('dirk_baeumer', '2003-03-13 13:10:17 EST', 'akiezun'), ('daniel_megert', '2003-03-13 13:10:17 EST', 'akiezun'), ('RESOLVED', '2003-03-18 10:40:22 EST', 'daniel_megert'), ('WORKSFORME', '2003-03-18 10:40:22 EST', 'daniel_megert')]</t>
  </si>
  <si>
    <t>2003-03-12 13:04:35 EST</t>
  </si>
  <si>
    <t>2003-03-11 17:43 EST</t>
  </si>
  <si>
    <t>2003-03-11 17:59:58 EST</t>
  </si>
  <si>
    <t>2003-03-13 15:38:09 EST</t>
  </si>
  <si>
    <t>[('CREATED', '2003-03-11 17:43 EST'), ('jdt-ui-inbox', '2003-03-11 17:59:58 EST', 'philippe_mulet'), ('UI', '2003-03-11 17:59:58 EST', 'philippe_mulet'), ('daniel_megert', '2003-03-12 12:50:19 EST', 'erich_gamma'), ('RESOLVED', '2003-03-12 13:04:35 EST', 'daniel_megert'), ('WORKSFORME', '2003-03-12 13:04:35 EST', 'daniel_megert'), ('CLOSED', '2003-03-13 15:38:09 EST', 'eclipse')]</t>
  </si>
  <si>
    <t>2003-03-12 11:59:55 EST</t>
  </si>
  <si>
    <t>2009-08-30 02:21:47 EDT</t>
  </si>
  <si>
    <t>2003-03-12 05:45 EST</t>
  </si>
  <si>
    <t>[('CREATED', '2003-03-12 05:45 EST'), ('dirk_baeumer', '2003-03-12 11:59:55 EST', 'erich_gamma'), ('RESOLVED', '2003-03-12 11:59:55 EST', 'erich_gamma'), ('LATER', '2003-03-12 11:59:55 EST', 'erich_gamma'), ('Refactoring: Inline ignores final parameters [refactoring]', '2003-04-02 10:01:27 EST', 'dirk_baeumer'), ('WONTFIX', '2009-08-30 02:21:47 EDT', 'denis.roy')]</t>
  </si>
  <si>
    <t>2003-04-09 06:07:29 EDT</t>
  </si>
  <si>
    <t>2003-03-17 18:45:28 EST</t>
  </si>
  <si>
    <t>2003-03-12 12:20 EST</t>
  </si>
  <si>
    <t>2003-03-12 14:23:26 EST</t>
  </si>
  <si>
    <t>[('CREATED', '2003-03-12 12:20 EST'), ('adam_kiezun', '2003-03-12 14:23:26 EST', 'erich_gamma'), ('major', '2003-03-12 14:23:26 EST', 'erich_gamma'), ('P2', '2003-03-12 14:23:26 EST', 'erich_gamma'), ('2.1 RC3', '2003-03-12 14:23:26 EST', 'erich_gamma'), ('ASSIGNED', '2003-03-13 05:20:52 EST', 'akiezun'), ('RESOLVED', '2003-03-17 08:10:19 EST', 'akiezun'), ('WORKSFORME', '2003-03-17 08:10:19 EST', 'akiezun'), ('REOPENED', '2003-03-17 18:45:28 EST', 'lynne_kues'), ('---', '2003-03-17 18:45:28 EST', 'lynne_kues'), ('---', '2003-03-18 09:56:33 EST', 'erich_gamma'), ('RESOLVED', '2003-04-09 06:07:29 EDT', 'akiezun'), ('WORKSFORME', '2003-04-09 06:07:29 EDT', 'akiezun')]</t>
  </si>
  <si>
    <t>RESOLVED  DUPLICATE  of bug 37197</t>
  </si>
  <si>
    <t>37637 (view as bug list)</t>
  </si>
  <si>
    <t>2003-06-03 05:45:44 EDT</t>
  </si>
  <si>
    <t>2003-05-29 08:43:20 EDT</t>
  </si>
  <si>
    <t>2003-03-12 14:50 EST</t>
  </si>
  <si>
    <t>2003-03-12 14:56:37 EST</t>
  </si>
  <si>
    <t>[('CREATED', '2003-03-12 14:50 EST'), ('jdt-ui-inbox', '2003-03-12 14:56:37 EST', 'Olivier_Thomann'), ('UI', '2003-03-12 14:56:37 EST', 'Olivier_Thomann'), ('JAR packager creates absolute jar path [jar creation]', '2003-03-23 10:45:34 EST', 'dirk_baeumer'), ('RESOLVED', '2003-03-23 10:45:34 EST', 'dirk_baeumer'), ('LATER', '2003-03-23 10:45:34 EST', 'dirk_baeumer'), ('N.Metchev', '2003-05-16 05:17:51 EDT', 'dirk_baeumer'), ('REOPENED', '2003-05-29 08:43:20 EDT', 'eclipse'), ('---', '2003-05-29 08:43:20 EDT', 'eclipse'), ('daniel_megert', '2003-06-03 05:15:58 EDT', 'dirk_baeumer'), ('NEW', '2003-06-03 05:15:58 EDT', 'dirk_baeumer'), ('dirk_baeumer', '2003-06-03 05:16:11 EDT', 'dirk_baeumer'), ('RESOLVED', '2003-06-03 05:45:44 EDT', 'daniel_megert'), ('DUPLICATE', '2003-06-03 05:45:44 EDT', 'daniel_megert')]</t>
  </si>
  <si>
    <t>RESOLVED  DUPLICATE  of bug 37846</t>
  </si>
  <si>
    <t>2003-05-21 08:45:36 EDT</t>
  </si>
  <si>
    <t>2003-03-18 11:51:06 EST</t>
  </si>
  <si>
    <t>2003-05-21 08:45:24 EDT</t>
  </si>
  <si>
    <t>2003-03-12 22:42 EST</t>
  </si>
  <si>
    <t>2003-03-14 05:02:25 EST</t>
  </si>
  <si>
    <t>[('CREATED', '2003-03-12 22:42 EST'), ('adam_kiezun', '2003-03-14 05:02:25 EST', 'akiezun'), ('RESOLVED', '2003-03-18 11:51:06 EST', 'erich_gamma'), ('WORKSFORME', '2003-03-18 11:51:06 EST', 'erich_gamma'), ('hcs33', '2003-05-13 11:10:58 EDT', 'hcs333'), ('REOPENED', '2003-05-21 08:45:24 EDT', 'dirk_baeumer'), ('---', '2003-05-21 08:45:24 EDT', 'dirk_baeumer'), ('RESOLVED', '2003-05-21 08:45:36 EDT', 'dirk_baeumer'), ('DUPLICATE', '2003-05-21 08:45:36 EDT', 'dirk_baeumer')]</t>
  </si>
  <si>
    <t>2003-03-14 05:00:57 EST</t>
  </si>
  <si>
    <t>2009-08-30 02:40:52 EDT</t>
  </si>
  <si>
    <t>2003-03-12 22:44 EST</t>
  </si>
  <si>
    <t>[('CREATED', '2003-03-12 22:44 EST'), ('adam_kiezun', '2003-03-14 05:00:57 EST', 'akiezun'), ('RESOLVED', '2003-03-14 05:00:57 EST', 'akiezun'), ('LATER', '2003-03-14 05:00:57 EST', 'akiezun'), ('Refactor: Move nested class [refactoring]', '2003-04-02 10:04:04 EST', 'dirk_baeumer'), ('WONTFIX', '2009-08-30 02:40:52 EDT', 'webmaster')]</t>
  </si>
  <si>
    <t>2003-03-13 11:36:19 EST</t>
  </si>
  <si>
    <t>2003-03-13 06:49 EST</t>
  </si>
  <si>
    <t>2003-03-13 09:46:38 EST</t>
  </si>
  <si>
    <t>[('CREATED', '2003-03-13 06:49 EST'), ('daniel_megert', '2003-03-13 09:46:38 EST', 'erich_gamma'), ('RESOLVED', '2003-03-13 11:36:19 EST', 'daniel_megert'), ('WORKSFORME', '2003-03-13 11:36:19 EST', 'daniel_megert')]</t>
  </si>
  <si>
    <t>32933 (view as bug list)</t>
  </si>
  <si>
    <t>2003-05-14 05:48:24 EDT</t>
  </si>
  <si>
    <t>2003-06-03 10:09:52 EDT</t>
  </si>
  <si>
    <t>2003-05-13 13:57:32 EDT</t>
  </si>
  <si>
    <t>2003-03-13 12:11 EST</t>
  </si>
  <si>
    <t>2003-03-13 13:19:42 EST</t>
  </si>
  <si>
    <t>[('CREATED', '2003-03-13 12:11 EST'), ('adam_kiezun', '2003-03-13 13:19:42 EST', 'akiezun'), (nan, '2003-05-05 13:11:49 EDT', 'dirk_baeumer'), ('adam_kiezun', '2003-05-05 13:11:49 EDT', 'dirk_baeumer'), ('Exception in pull-up refactoring [refactoring]', '2003-05-05 13:11:49 EDT', 'dirk_baeumer'), ('RESOLVED', '2003-05-06 10:36:27 EDT', 'akiezun'), ('FIXED', '2003-05-06 10:36:27 EDT', 'akiezun'), ('REOPENED', '2003-05-13 13:57:32 EDT', 'dirk_baeumer'), ('---', '2003-05-13 13:57:32 EDT', 'dirk_baeumer'), ('2.1.1', '2003-05-13 13:58:03 EDT', 'dirk_baeumer'), ('dirk_baeumer', '2003-05-14 05:26:50 EDT', 'akiezun'), ('RESOLVED', '2003-05-14 05:48:24 EDT', 'akiezun'), ('FIXED', '2003-05-14 05:48:24 EDT', 'akiezun'), ('VERIFIED', '2003-06-03 10:09:52 EDT', 'akiezun')]</t>
  </si>
  <si>
    <t>2003-03-18 11:52:04 EST</t>
  </si>
  <si>
    <t>2003-03-13 12:37 EST</t>
  </si>
  <si>
    <t>2003-03-13 13:17:22 EST</t>
  </si>
  <si>
    <t>[('CREATED', '2003-03-13 12:37 EST'), ('adam_kiezun', '2003-03-13 13:17:22 EST', 'akiezun'), ('Extract Interface does not update all references', '2003-03-14 05:06:42 EST', 'akiezun'), ('erich_gamma', '2003-03-14 13:11:08 EST', 'akiezun'), ('2.1 RC3', '2003-03-17 12:03:08 EST', 'akiezun'), ('adam_kiezun', '2003-03-17 12:03:08 EST', 'akiezun'), ('kai-uwe_maetzel', '2003-03-17 14:26:09 EST', 'akiezun'), ('ASSIGNED', '2003-03-17 14:26:09 EST', 'akiezun'), ('RESOLVED', '2003-03-18 11:52:04 EST', 'akiezun'), ('FIXED', '2003-03-18 11:52:04 EST', 'akiezun')]</t>
  </si>
  <si>
    <t>2005-05-26 17:59:52 EDT</t>
  </si>
  <si>
    <t>2005-05-26 12:37:47 EDT</t>
  </si>
  <si>
    <t>2005-05-26 16:24:56 EDT</t>
  </si>
  <si>
    <t>2003-03-13 13:57 EST</t>
  </si>
  <si>
    <t>2003-03-23 16:29:07 EST</t>
  </si>
  <si>
    <t>[('CREATED', '2003-03-13 13:57 EST'), ('RESOLVED', '2003-03-23 16:29:07 EST', 'dirk_baeumer'), ('WONTFIX', '2003-03-23 16:29:07 EST', 'dirk_baeumer'), ('REOPENED', '2003-03-24 12:04:27 EST', 'knut_radloff'), ('---', '2003-03-24 12:04:27 EST', 'knut_radloff'), ('adam_kiezun', '2003-05-08 06:08:35 EDT', 'dirk_baeumer'), ('NEW', '2003-05-08 06:08:35 EDT', 'dirk_baeumer'), ('Rename refactoring on file with syntax errors is inconsistent [refactoring]', '2003-05-08 06:08:35 EDT', 'dirk_baeumer'), ('hauser', '2004-07-31 09:56:39 EDT', 'hauser'), ('jdt-ui-inbox', '2005-05-26 12:20:40 EDT', 'akiezun'), ('RESOLVED', '2005-05-26 12:37:47 EDT', 'dirk_baeumer'), ('WONTFIX', '2005-05-26 12:37:47 EDT', 'dirk_baeumer'), ('REOPENED', '2005-05-26 16:24:56 EDT', 'knut_radloff'), ('---', '2005-05-26 16:24:56 EDT', 'knut_radloff'), ('RESOLVED', '2005-05-26 17:59:52 EDT', 'dirk_baeumer'), ('WORKSFORME', '2005-05-26 17:59:52 EDT', 'dirk_baeumer')]</t>
  </si>
  <si>
    <t>2003-03-14 05:11:09 EST</t>
  </si>
  <si>
    <t>2003-03-13 15:24 EST</t>
  </si>
  <si>
    <t>[('CREATED', '2003-03-13 15:24 EST'), ('INVALID', '2003-03-14 05:11:09 EST', 'akiezun'), ('adam_kiezun', '2003-03-14 05:11:09 EST', 'akiezun'), ('RESOLVED', '2003-03-14 05:11:09 EST', 'akiezun')]</t>
  </si>
  <si>
    <t>2003-05-27 10:50:47 EDT</t>
  </si>
  <si>
    <t>2003-05-27 09:30:40 EDT</t>
  </si>
  <si>
    <t>2003-03-14 01:12 EST</t>
  </si>
  <si>
    <t>2003-03-17 03:14:25 EST</t>
  </si>
  <si>
    <t>[('CREATED', '2003-03-14 01:12 EST'), ('RESOLVED', '2003-03-17 03:14:25 EST', 'dirk_baeumer'), ('LATER', '2003-03-17 03:14:25 EST', 'dirk_baeumer'), ('REOPENED', '2003-05-27 09:30:40 EDT', 'dirk_baeumer'), ('---', '2003-05-27 09:30:40 EDT', 'dirk_baeumer'), ('dirk_baeumer', '2003-05-27 09:31:01 EDT', 'dirk_baeumer'), ('NEW', '2003-05-27 09:31:01 EDT', 'dirk_baeumer'), ('3.0', '2003-05-27 09:31:01 EDT', 'dirk_baeumer'), ('RESOLVED', '2003-05-27 10:50:47 EDT', 'dirk_baeumer'), ('FIXED', '2003-05-27 10:50:47 EDT', 'dirk_baeumer')]</t>
  </si>
  <si>
    <t>2004-10-29 04:09:05 EDT</t>
  </si>
  <si>
    <t>2004-11-05 07:22:40 EST</t>
  </si>
  <si>
    <t>2004-10-29 04:08:20 EDT</t>
  </si>
  <si>
    <t>2003-03-14 03:25 EST</t>
  </si>
  <si>
    <t>2003-03-14 04:58:38 EST</t>
  </si>
  <si>
    <t>christof_marti</t>
  </si>
  <si>
    <t>[('CREATED', '2003-03-14 03:25 EST'), ('RESOLVED', '2003-03-14 04:58:38 EST', 'akiezun'), ('LATER', '2003-03-14 04:58:38 EST', 'akiezun'), ('---', '2003-04-25 12:22:18 EDT', 'akiezun'), ('REOPENED', '2003-04-25 12:22:18 EDT', 'akiezun'), ('Move instance method refactoring: target type selection issue[refactoring]', '2003-04-25 13:17:12 EDT', 'akiezun'), ('dirk_baeumer', '2003-05-19 10:30:39 EDT', 'erich_gamma'), ('adam_kiezun', '2003-07-14 13:09:48 EDT', 'akiezun'), ('markus_keller', '2003-07-14 13:09:48 EDT', 'akiezun'), ('NEW', '2003-07-14 13:09:48 EDT', 'akiezun'), ('3.0', '2003-07-14 13:09:48 EDT', 'akiezun'), ('christof_marti', '2004-03-24 07:12:02 EST', 'christof_marti'), ('ASSIGNED', '2004-05-13 08:45:26 EDT', 'markus.kell.r'), ('---', '2004-05-13 08:45:26 EDT', 'markus.kell.r'), ('eclipse', '2004-06-30 10:41:04 EDT', 'markus.kell.r'), ('P2', '2004-06-30 10:41:04 EDT', 'markus.kell.r'), ('3.1', '2004-06-30 10:41:04 EDT', 'markus.kell.r'), ('RESOLVED', '2004-10-26 06:23:02 EDT', 'tobias_widmer'), ('FIXED', '2004-10-26 06:23:02 EDT', 'tobias_widmer'), ('---', '2004-10-29 04:08:20 EDT', 'markus.kell.r'), ('3.1 M3', '2004-10-29 04:08:20 EDT', 'markus.kell.r'), ('REOPENED', '2004-10-29 04:08:20 EDT', 'markus.kell.r'), ('markus_keller', '2004-10-29 04:08:41 EDT', 'markus.kell.r'), ('tobias_widmer', '2004-10-29 04:08:41 EDT', 'markus.kell.r'), ('NEW', '2004-10-29 04:08:41 EDT', 'markus.kell.r'), ('RESOLVED', '2004-10-29 04:09:05 EDT', 'markus.kell.r'), ('FIXED', '2004-10-29 04:09:05 EDT', 'markus.kell.r'), ('VERIFIED', '2004-11-05 07:22:40 EST', 'christof_marti')]</t>
  </si>
  <si>
    <t>2003-05-08 06:09:14 EDT</t>
  </si>
  <si>
    <t>2003-03-14 11:02 EST</t>
  </si>
  <si>
    <t>[('CREATED', '2003-03-14 11:02 EST'), ('RESOLVED', '2003-05-08 06:09:14 EDT', 'dirk_baeumer'), ('WORKSFORME', '2003-05-08 06:09:14 EDT', 'dirk_baeumer')]</t>
  </si>
  <si>
    <t>2003-03-18 09:55:01 EST</t>
  </si>
  <si>
    <t>2003-03-20 12:00:46 EST</t>
  </si>
  <si>
    <t>2003-03-14 14:27 EST</t>
  </si>
  <si>
    <t>2003-03-14 14:38:17 EST</t>
  </si>
  <si>
    <t>[('CREATED', '2003-03-14 14:27 EST'), ('jdt-ui-inbox', '2003-03-14 14:38:17 EST', 'Olivier_Thomann'), ('UI', '2003-03-14 14:38:17 EST', 'Olivier_Thomann'), ('dirk_baeumer', '2003-03-17 04:01:42 EST', 'erich_gamma'), ('major', '2003-03-17 04:01:42 EST', 'erich_gamma'), ('P2', '2003-03-17 04:01:42 EST', 'erich_gamma'), ('kai-uwe_maetzel', '2003-03-17 19:57:21 EST', 'erich_gamma'), ('2.1 RC3', '2003-03-18 05:36:40 EST', 'dirk_baeumer'), ('RESOLVED', '2003-03-18 09:55:01 EST', 'erich_gamma'), ('FIXED', '2003-03-18 09:55:01 EST', 'erich_gamma'), ('VERIFIED', '2003-03-20 12:00:46 EST', 'andre_weinand')]</t>
  </si>
  <si>
    <t>RESOLVED  DUPLICATE  of bug 28021</t>
  </si>
  <si>
    <t>2003-03-17 05:29:30 EST</t>
  </si>
  <si>
    <t>2003-03-15 21:37 EST</t>
  </si>
  <si>
    <t>[('CREATED', '2003-03-15 21:37 EST'), ('RESOLVED', '2003-03-17 05:29:30 EST', 'akiezun'), ('DUPLICATE', '2003-03-17 05:29:30 EST', 'akiezun')]</t>
  </si>
  <si>
    <t>2003-03-24 05:42:09 EST</t>
  </si>
  <si>
    <t>2003-03-16 10:55 EST</t>
  </si>
  <si>
    <t>[('CREATED', '2003-03-16 10:55 EST'), ('RESOLVED', '2003-03-24 05:42:09 EST', 'dirk_baeumer'), ('WORKSFORME', '2003-03-24 05:42:09 EST', 'dirk_baeumer')]</t>
  </si>
  <si>
    <t>2003-03-17 09:02:54 EST</t>
  </si>
  <si>
    <t>2003-03-20 12:16:20 EST</t>
  </si>
  <si>
    <t>2003-03-17 04:53 EST</t>
  </si>
  <si>
    <t>2003-03-17 04:53:35 EST</t>
  </si>
  <si>
    <t>[('CREATED', '2003-03-17 04:53 EST'), ('2.1 RC3', '2003-03-17 04:53:35 EST', 'daniel_megert'), ('RESOLVED', '2003-03-17 09:02:54 EST', 'akiezun'), ('FIXED', '2003-03-17 09:02:54 EST', 'akiezun'), ('VERIFIED', '2003-03-20 12:16:20 EST', 'andre_weinand')]</t>
  </si>
  <si>
    <t>RESOLVED  DUPLICATE  of bug 34691</t>
  </si>
  <si>
    <t>2003-03-17 09:42:48 EST</t>
  </si>
  <si>
    <t>2003-03-17 09:17 EST</t>
  </si>
  <si>
    <t>[('CREATED', '2003-03-17 09:17 EST'), ('RESOLVED', '2003-03-17 09:42:48 EST', 'akiezun'), ('DUPLICATE', '2003-03-17 09:42:48 EST', 'akiezun')]</t>
  </si>
  <si>
    <t>RESOLVED  DUPLICATE  of bug 33797</t>
  </si>
  <si>
    <t>2003-03-17 12:10:33 EST</t>
  </si>
  <si>
    <t>2003-03-17 12:08 EST</t>
  </si>
  <si>
    <t>[('CREATED', '2003-03-17 12:08 EST'), ('adam_kiezun', '2003-03-17 12:10:33 EST', 'akiezun'), ('RESOLVED', '2003-03-17 12:10:33 EST', 'akiezun'), ('DUPLICATE', '2003-03-17 12:10:33 EST', 'akiezun')]</t>
  </si>
  <si>
    <t>2003-03-18 03:43:30 EST</t>
  </si>
  <si>
    <t>2009-08-30 02:41:57 EDT</t>
  </si>
  <si>
    <t>2003-03-17 17:44 EST</t>
  </si>
  <si>
    <t>[('CREATED', '2003-03-17 17:44 EST'), ('RESOLVED', '2003-03-18 03:43:30 EST', 'dirk_baeumer'), ('LATER', '2003-03-18 03:43:30 EST', 'dirk_baeumer'), ('Extract Interface incorrectly handles public static final fields [refactoring]', '2003-03-18 03:43:30 EST', 'dirk_baeumer'), ('WONTFIX', '2009-08-30 02:41:57 EDT', 'webmaster')]</t>
  </si>
  <si>
    <t>2003-05-27 10:51:25 EDT</t>
  </si>
  <si>
    <t>2003-03-18 06:00 EST</t>
  </si>
  <si>
    <t>2003-03-18 06:01:55 EST</t>
  </si>
  <si>
    <t>[('CREATED', '2003-03-18 06:00 EST'), ('dirk_baeumer', '2003-03-18 06:01:55 EST', 'dirk_baeumer'), ('Unneeded local when passing field to method to be inlined [refactoring]', '2003-03-18 06:01:55 EST', 'dirk_baeumer'), ('RESOLVED', '2003-05-27 10:51:25 EDT', 'dirk_baeumer'), ('FIXED', '2003-05-27 10:51:25 EDT', 'dirk_baeumer')]</t>
  </si>
  <si>
    <t>2003-04-24 12:39:49 EDT</t>
  </si>
  <si>
    <t>2003-04-24 12:39:40 EDT</t>
  </si>
  <si>
    <t>2003-03-18 08:09 EST</t>
  </si>
  <si>
    <t>2003-03-18 08:18:46 EST</t>
  </si>
  <si>
    <t>[('CREATED', '2003-03-18 08:09 EST'), ('jdt-ui-inbox', '2003-03-18 08:18:46 EST', 'philippe_mulet'), ('UI', '2003-03-18 08:18:46 EST', 'philippe_mulet'), ('Refactoring: extract method leaves unused variables [refactoring]', '2003-03-18 08:41:21 EST', 'dirk_baeumer'), ('RESOLVED', '2003-03-18 08:41:21 EST', 'dirk_baeumer'), ('LATER', '2003-03-18 08:41:21 EST', 'dirk_baeumer'), ('REOPENED', '2003-04-24 12:39:40 EDT', 'dirk_baeumer'), ('---', '2003-04-24 12:39:40 EDT', 'dirk_baeumer'), ('RESOLVED', '2003-04-24 12:39:49 EDT', 'dirk_baeumer'), ('DUPLICATE', '2003-04-24 12:39:49 EDT', 'dirk_baeumer')]</t>
  </si>
  <si>
    <t>2003-05-07 05:16:36 EDT</t>
  </si>
  <si>
    <t>2003-06-03 10:14:44 EDT</t>
  </si>
  <si>
    <t>2003-03-20 11:46 EST</t>
  </si>
  <si>
    <t>2003-03-20 12:56:23 EST</t>
  </si>
  <si>
    <t>2003-12-14 21:43:07 EST</t>
  </si>
  <si>
    <t>[('CREATED', '2003-03-20 11:46 EST'), ('adam_kiezun', '2003-03-20 12:56:23 EST', 'akiezun'), ('(possibly regression) Moving to default package adds ".*" import', '2003-03-20 12:56:23 EST', 'akiezun'), ('adam_kiezun', '2003-04-08 04:59:15 EDT', 'akiezun'), ('2.1.1', '2003-04-15 09:56:16 EDT', 'dirk_baeumer'), ('(possibly regression) Moving to default package adds ".*" import[ccp]', '2003-04-25 13:17:30 EDT', 'akiezun'), ('ASSIGNED', '2003-04-25 13:29:41 EDT', 'akiezun'), ('P2', '2003-04-25 13:29:41 EDT', 'akiezun'), ('RESOLVED', '2003-05-07 05:16:36 EDT', 'akiezun'), ('FIXED', '2003-05-07 05:16:36 EDT', 'akiezun'), ('VERIFIED', '2003-06-03 10:14:44 EDT', 'akiezun'), ('sdavids', '2003-12-14 21:43:07 EST', 'sdavids')]</t>
  </si>
  <si>
    <t>2003-05-06 05:11:40 EDT</t>
  </si>
  <si>
    <t>2003-03-21 00:49 EST</t>
  </si>
  <si>
    <t>2003-03-21 05:04:55 EST</t>
  </si>
  <si>
    <t>[('CREATED', '2003-03-21 00:49 EST'), ('adam_kiezun', '2003-03-21 05:04:55 EST', 'dirk_baeumer'), ('ASSIGNED', '2003-05-05 13:14:57 EDT', 'dirk_baeumer'), ('Refactor Convert nested type... fails, loses data [refactoring]', '2003-05-05 13:15:10 EDT', 'dirk_baeumer'), ('WORKSFORME', '2003-05-06 05:11:40 EDT', 'akiezun'), ('RESOLVED', '2003-05-06 05:11:40 EDT', 'akiezun')]</t>
  </si>
  <si>
    <t>2003-08-18 03:17:54 EDT</t>
  </si>
  <si>
    <t>2003-04-09 05:39:46 EDT</t>
  </si>
  <si>
    <t>2003-03-21 06:34 EST</t>
  </si>
  <si>
    <t>2003-03-21 06:55:44 EST</t>
  </si>
  <si>
    <t>[('CREATED', '2003-03-21 06:34 EST'), ('adam_kiezun', '2003-03-21 06:55:44 EST', 'akiezun'), ('RESOLVED', '2003-03-21 06:56:02 EST', 'akiezun'), ('LATER', '2003-03-21 06:56:02 EST', 'akiezun'), ('REOPENED', '2003-04-09 05:39:46 EDT', 'akiezun'), ('---', '2003-04-09 05:39:46 EDT', 'akiezun'), ('super in anonymous prevents move[refactoring]', '2003-04-25 13:17:37 EDT', 'akiezun'), ('adam_kiezun', '2003-07-14 13:10:32 EDT', 'akiezun'), ('markus_keller', '2003-07-14 13:10:32 EDT', 'akiezun'), ('NEW', '2003-07-14 13:10:32 EDT', 'akiezun'), ('3.0', '2003-07-14 13:10:32 EDT', 'akiezun'), ('1', '2003-08-13 14:27:22 EDT', 'markus.kell.r'), ('1', '2003-08-13 14:27:47 EDT', 'markus.kell.r'), ('RESOLVED', '2003-08-18 03:17:54 EDT', 'markus.kell.r'), ('FIXED', '2003-08-18 03:17:54 EDT', 'markus.kell.r'), ('3.0 M3', '2003-08-18 03:17:54 EDT', 'markus.kell.r')]</t>
  </si>
  <si>
    <t>2003-03-24 13:41:03 EST</t>
  </si>
  <si>
    <t>2003-03-21 11:47 EST</t>
  </si>
  <si>
    <t>2003-03-23 17:32:09 EST</t>
  </si>
  <si>
    <t>[('CREATED', '2003-03-21 11:47 EST'), ('Dirk_Baeumer', '2003-03-23 17:32:09 EST', 'dirk_baeumer'), ('RESOLVED', '2003-03-24 13:41:03 EST', 'dirk_baeumer'), ('FIXED', '2003-03-24 13:41:03 EST', 'dirk_baeumer'), ('2.1 RC4', '2003-03-24 13:41:03 EST', 'dirk_baeumer')]</t>
  </si>
  <si>
    <t>2003-03-25 05:07:28 EST</t>
  </si>
  <si>
    <t>2003-03-21 16:36 EST</t>
  </si>
  <si>
    <t>2003-03-23 17:50:45 EST</t>
  </si>
  <si>
    <t>2003-03-25 05:52:09 EST</t>
  </si>
  <si>
    <t>[('CREATED', '2003-03-21 16:36 EST'), ('adam_kiezun', '2003-03-23 17:50:45 EST', 'dirk_baeumer'), ('erich_gamma', '2003-03-24 20:50:24 EST', 'erich_gamma'), ('P2', '2003-03-24 20:50:24 EST', 'erich_gamma'), ('RESOLVED', '2003-03-25 05:07:28 EST', 'akiezun'), ('FIXED', '2003-03-25 05:07:28 EST', 'akiezun'), ('Scalability of refactoring (avoid OOMs during change execution).', '2003-03-25 05:52:09 EST', 'dirk_baeumer')]</t>
  </si>
  <si>
    <t>2003-04-16 09:53:51 EDT</t>
  </si>
  <si>
    <t>2003-06-03 07:07:17 EDT</t>
  </si>
  <si>
    <t>2003-03-24 04:25 EST</t>
  </si>
  <si>
    <t>2003-04-15 09:57:39 EDT</t>
  </si>
  <si>
    <t>[('CREATED', '2003-03-24 04:25 EST'), ('dirk_baeumer', '2003-04-15 09:57:39 EDT', 'dirk_baeumer'), ('2.1.1', '2003-04-15 09:57:39 EDT', 'dirk_baeumer'), ('RESOLVED', '2003-04-16 09:53:51 EDT', 'dirk_baeumer'), ('FIXED', '2003-04-16 09:53:51 EDT', 'dirk_baeumer'), ('VERIFIED', '2003-06-03 07:07:17 EDT', 'dirk_baeumer')]</t>
  </si>
  <si>
    <t>2003-05-05 10:44:55 EDT</t>
  </si>
  <si>
    <t>2003-03-24 06:03 EST</t>
  </si>
  <si>
    <t>2003-03-24 06:10:09 EST</t>
  </si>
  <si>
    <t>[('CREATED', '2003-03-24 06:03 EST'), ('jdt-ui-inbox', '2003-03-24 06:10:09 EST', 'philippe_mulet'), ('UI', '2003-03-24 06:10:09 EST', 'philippe_mulet'), ('adam_kiezun', '2003-03-24 06:21:28 EST', 'dirk_baeumer'), ('Method pull up wrongly indents javadoc comment [refactoring]', '2003-03-24 06:21:28 EST', 'dirk_baeumer'), ('adam_kiezun', '2003-04-11 10:25:36 EDT', 'akiezun'), ('RESOLVED', '2003-05-05 10:44:55 EDT', 'akiezun'), ('FIXED', '2003-05-05 10:44:55 EDT', 'akiezun')]</t>
  </si>
  <si>
    <t>36126 (view as bug list)</t>
  </si>
  <si>
    <t>2003-05-05 10:48:11 EDT</t>
  </si>
  <si>
    <t>2003-03-25 05:55 EST</t>
  </si>
  <si>
    <t>2003-03-25 05:55:56 EST</t>
  </si>
  <si>
    <t>[('CREATED', '2003-03-25 05:55 EST'), ('adam_kiezun', '2003-03-25 05:55:56 EST', 'dirk_baeumer'), ('Refactorings and memory consumption[refactoring]', '2003-04-25 13:17:57 EDT', 'akiezun'), ('ASSIGNED', '2003-04-25 13:30:09 EDT', 'akiezun'), ('P2', '2003-04-25 13:30:09 EDT', 'akiezun'), ('RESOLVED', '2003-05-05 10:48:11 EDT', 'akiezun'), ('FIXED', '2003-05-05 10:48:11 EDT', 'akiezun')]</t>
  </si>
  <si>
    <t>2003-04-25 10:30:28 EDT</t>
  </si>
  <si>
    <t>2003-04-25 10:30:10 EDT</t>
  </si>
  <si>
    <t>2003-03-25 11:43 EST</t>
  </si>
  <si>
    <t>2003-03-25 15:06:31 EST</t>
  </si>
  <si>
    <t>[('CREATED', '2003-03-25 11:43 EST'), ('RESOLVED', '2003-03-25 15:06:31 EST', 'dirk_baeumer'), ('LATER', '2003-03-25 15:06:31 EST', 'dirk_baeumer'), ('Wrong capitalization of "Expand Selection to" [refactoring]', '2003-03-25 15:06:31 EST', 'dirk_baeumer'), ('---', '2003-04-25 10:30:10 EDT', 'dirk_baeumer'), ('REOPENED', '2003-04-25 10:30:10 EDT', 'dirk_baeumer'), ('RESOLVED', '2003-04-25 10:30:28 EDT', 'dirk_baeumer'), ('FIXED', '2003-04-25 10:30:28 EDT', 'dirk_baeumer')]</t>
  </si>
  <si>
    <t>2003-03-26 11:02:35 EST</t>
  </si>
  <si>
    <t>2009-08-30 02:20:25 EDT</t>
  </si>
  <si>
    <t>2003-03-26 10:27 EST</t>
  </si>
  <si>
    <t>2003-03-26 10:30:22 EST</t>
  </si>
  <si>
    <t>[('CREATED', '2003-03-26 10:27 EST'), ('jdt-ui-inbox', '2003-03-26 10:30:22 EST', 'dlwhiteman'), ('JDT', '2003-03-26 10:30:22 EST', 'dlwhiteman'), ('RESOLVED', '2003-03-26 11:02:35 EST', 'dirk_baeumer'), ('LATER', '2003-03-26 11:02:35 EST', 'dirk_baeumer'), ('Cut should be supported for moving classes between packages [ccp]', '2003-03-26 11:02:35 EST', 'dirk_baeumer'), ('WONTFIX', '2009-08-30 02:20:25 EDT', 'denis.roy')]</t>
  </si>
  <si>
    <t>2003-03-26 11:06:33 EST</t>
  </si>
  <si>
    <t>2003-03-26 10:39 EST</t>
  </si>
  <si>
    <t>[('CREATED', '2003-03-26 10:39 EST'), ('RESOLVED', '2003-03-26 11:06:33 EST', 'dirk_baeumer'), ('WORKSFORME', '2003-03-26 11:06:33 EST', 'dirk_baeumer')]</t>
  </si>
  <si>
    <t>37769 (view as bug list)</t>
  </si>
  <si>
    <t>2003-12-16 08:58:00 EST</t>
  </si>
  <si>
    <t>2003-12-17 06:55:18 EST</t>
  </si>
  <si>
    <t>2003-03-27 02:55 EST</t>
  </si>
  <si>
    <t>2003-03-27 09:00:27 EST</t>
  </si>
  <si>
    <t>2009-05-04 04:19:42 EDT</t>
  </si>
  <si>
    <t>[('CREATED', '2003-03-27 02:55 EST'), ('readme', '2003-03-27 09:00:27 EST', 'dirk_baeumer'), ('RC3b default auto-generated catch block still not right [refactoring]', '2003-05-08 06:25:05 EDT', 'dirk_baeumer'), ('dirk_baeumer', '2003-05-08 06:25:05 EDT', 'dirk_baeumer'), ('P2', '2003-05-08 06:25:05 EDT', 'dirk_baeumer'), ('vlcakm', '2003-05-16 10:54:20 EDT', 'martin.vlk'), ('paulh', '2003-05-22 14:55:53 EDT', 'paulh'), ('3.0 M6', '2003-12-16 08:38:39 EST', 'dirk_baeumer'), ('RESOLVED', '2003-12-16 08:58:00 EST', 'dirk_baeumer'), ('FIXED', '2003-12-16 08:58:00 EST', 'dirk_baeumer'), ('VERIFIED', '2003-12-17 06:55:18 EST', 'eclipse'), ('daniel_megert', '2009-05-04 04:19:42 EDT', 'daniel_megert'), (nan, '2009-05-04 04:19:42 EDT', 'daniel_megert')]</t>
  </si>
  <si>
    <t>2003-10-24 11:17:30 EDT</t>
  </si>
  <si>
    <t>2003-11-19 09:09:04 EST</t>
  </si>
  <si>
    <t>2003-10-08 06:18:46 EDT</t>
  </si>
  <si>
    <t>2003-03-27 04:14 EST</t>
  </si>
  <si>
    <t>2003-03-27 05:13:22 EST</t>
  </si>
  <si>
    <t>[('CREATED', '2003-03-27 04:14 EST'), ('adam_kiezun', '2003-03-27 05:13:22 EST', 'akiezun'), ('adam_kiezun', '2003-04-02 05:08:59 EST', 'akiezun'), ('Move refactoring causes exception [refactoring]', '2003-04-02 05:48:16 EST', 'dirk_baeumer'), ('ASSIGNED', '2003-04-25 13:30:29 EDT', 'akiezun'), ('P2', '2003-04-25 13:30:29 EDT', 'akiezun'), ('NEW', '2003-07-14 13:11:02 EDT', 'akiezun'), ('3.0', '2003-07-14 13:11:02 EDT', 'akiezun'), ('markus_keller', '2003-07-14 13:11:02 EDT', 'akiezun'), ('1', '2003-08-13 07:10:30 EDT', 'markus.kell.r'), ('dirk_baeumer', '2003-08-13 08:34:54 EDT', 'akiezun'), ('1', '2003-08-18 06:29:55 EDT', 'markus.kell.r'), ('RESOLVED', '2003-09-01 10:53:16 EDT', 'dirk_baeumer'), ('FIXED', '2003-09-01 10:53:16 EDT', 'dirk_baeumer'), ('3.0 M4', '2003-10-07 09:28:15 EDT', 'markus.kell.r'), ('REOPENED', '2003-10-08 06:18:46 EDT', 'daniel_megert'), ('---', '2003-10-08 06:18:46 EDT', 'daniel_megert'), ('3.0 M5', '2003-10-08 07:16:23 EDT', 'markus.kell.r'), ('RESOLVED', '2003-10-24 11:17:30 EDT', 'markus.kell.r'), ('FIXED', '2003-10-24 11:17:30 EDT', 'markus.kell.r'), ('VERIFIED', '2003-11-19 09:09:04 EST', 'dirk_baeumer')]</t>
  </si>
  <si>
    <t>2004-01-06 09:10:40 EST</t>
  </si>
  <si>
    <t>2004-01-01 16:52:26 EST</t>
  </si>
  <si>
    <t>2003-03-27 11:24 EST</t>
  </si>
  <si>
    <t>2003-03-27 12:18:57 EST</t>
  </si>
  <si>
    <t>[('CREATED', '2003-03-27 11:24 EST'), ('RESOLVED', '2003-03-27 12:18:57 EST', 'dirk_baeumer'), ('LATER', '2003-03-27 12:18:57 EST', 'dirk_baeumer'), ('JUnit View wasting a lot of screen space [JUnit]', '2003-03-27 12:18:57 EST', 'dirk_baeumer'), ('REOPENED', '2003-06-06 23:40:47 EDT', 'ekuleshov'), ('---', '2003-06-06 23:40:47 EDT', 'ekuleshov'), ('erich_gamma', '2003-06-10 04:28:12 EDT', 'dirk_baeumer'), ('NEW', '2003-06-10 04:28:12 EDT', 'dirk_baeumer'), ('P2', '2003-07-22 11:06:08 EDT', 'ekuleshov'), ('3.0', '2003-07-22 11:06:08 EDT', 'ekuleshov'), ('RESOLVED', '2003-12-30 18:36:29 EST', 'erich_gamma'), ('FIXED', '2003-12-30 18:36:29 EST', 'erich_gamma'), ('normal', '2004-01-01 16:52:26 EST', 'ekuleshov'), ('REOPENED', '2004-01-01 16:52:26 EST', 'ekuleshov'), ('---', '2004-01-01 16:52:26 EST', 'ekuleshov'), ('RESOLVED', '2004-01-06 09:10:40 EST', 'erich_gamma'), ('FIXED', '2004-01-06 09:10:40 EST', 'erich_gamma')]</t>
  </si>
  <si>
    <t>RESOLVED  DUPLICATE  of bug 27740</t>
  </si>
  <si>
    <t>8149 24073 28243 (view as bug list)</t>
  </si>
  <si>
    <t>2006-03-22 05:11:22 EST</t>
  </si>
  <si>
    <t>2003-03-27 17:21 EST</t>
  </si>
  <si>
    <t>2003-03-28 05:09:44 EST</t>
  </si>
  <si>
    <t>[('CREATED', '2003-03-27 17:21 EST'), ('adam_kiezun', '2003-03-28 05:09:44 EST', 'akiezun'), ('chm', '2003-04-09 05:44:07 EDT', 'akiezun'), ('dirk_baeumer', '2003-04-09 05:48:53 EDT', 'akiezun'), ('martin_aeschlimann', '2003-04-09 05:56:23 EDT', 'akiezun'), ('ExtractLocalVariable ignores type guards and side-effects[refactoring]', '2003-04-25 13:18:09 EDT', 'akiezun'), ('bob.news', '2003-05-22 07:04:21 EDT', 'shortcutter'), ('RESOLVED', '2006-03-22 05:11:22 EST', 'markus.kell.r'), ('DUPLICATE', '2006-03-22 05:11:22 EST', 'markus.kell.r')]</t>
  </si>
  <si>
    <t>RESOLVED  DUPLICATE  of bug 30826</t>
  </si>
  <si>
    <t>2004-09-14 12:18:52 EDT</t>
  </si>
  <si>
    <t>2004-09-14 12:18:37 EDT</t>
  </si>
  <si>
    <t>2003-03-28 10:00 EST</t>
  </si>
  <si>
    <t>2003-03-28 10:45:44 EST</t>
  </si>
  <si>
    <t>[('CREATED', '2003-03-28 10:00 EST'), ('jdt-ui-inbox', '2003-03-28 10:45:44 EST', 'akiezun'), ('JDT', '2003-03-28 10:45:44 EST', 'akiezun'), ('RESOLVED', '2003-03-28 10:47:00 EST', 'akiezun'), ('LATER', '2003-03-28 10:47:00 EST', 'akiezun'), ('adam_kiezun', '2003-03-28 10:47:00 EST', 'akiezun'), ('enhancement', '2003-03-28 10:47:00 EST', 'akiezun'), ('Pull-up does not work for interface methods or inner interfaces [refactoring]', '2003-04-02 10:15:41 EST', 'dirk_baeumer'), ('REOPENED', '2004-09-14 12:18:37 EDT', 'dirk_baeumer'), ('---', '2004-09-14 12:18:37 EDT', 'dirk_baeumer'), ('RESOLVED', '2004-09-14 12:18:52 EDT', 'dirk_baeumer'), ('DUPLICATE', '2004-09-14 12:18:52 EDT', 'dirk_baeumer')]</t>
  </si>
  <si>
    <t>2003-03-31 03:48:30 EST</t>
  </si>
  <si>
    <t>2009-08-30 02:23:43 EDT</t>
  </si>
  <si>
    <t>2003-03-28 17:31 EST</t>
  </si>
  <si>
    <t>[('CREATED', '2003-03-28 17:31 EST'), ('RESOLVED', '2003-03-31 03:48:30 EST', 'dirk_baeumer'), ('LATER', '2003-03-31 03:48:30 EST', 'dirk_baeumer'), ('Inconsistent "Preview..." button on Move Java class dialog. [refactoring]', '2003-03-31 03:48:30 EST', 'dirk_baeumer'), ('WONTFIX', '2009-08-30 02:23:43 EDT', 'denis.roy')]</t>
  </si>
  <si>
    <t>2007-07-19 12:27:24 EDT</t>
  </si>
  <si>
    <t>2007-07-19 12:26:54 EDT</t>
  </si>
  <si>
    <t>2003-03-30 17:01 EST</t>
  </si>
  <si>
    <t>2003-03-31 04:16:45 EST</t>
  </si>
  <si>
    <t>[('CREATED', '2003-03-30 17:01 EST'), ('RESOLVED', '2003-03-31 04:16:45 EST', 'dirk_baeumer'), ('LATER', '2003-03-31 04:16:45 EST', 'dirk_baeumer'), ('Renaming a project "removes" it from all working sets [refactoring] [ccp]', '2003-03-31 04:16:45 EST', 'dirk_baeumer'), ('---', '2007-07-19 12:26:54 EDT', 'benno.baumgartner'), ('REOPENED', '2007-07-19 12:26:54 EDT', 'benno.baumgartner'), ('RESOLVED', '2007-07-19 12:27:24 EDT', 'benno.baumgartner'), ('WORKSFORME', '2007-07-19 12:27:24 EDT', 'benno.baumgartner')]</t>
  </si>
  <si>
    <t>2003-03-31 04:20:27 EST</t>
  </si>
  <si>
    <t>2009-08-30 02:38:20 EDT</t>
  </si>
  <si>
    <t>2003-03-30 17:07 EST</t>
  </si>
  <si>
    <t>[('CREATED', '2003-03-30 17:07 EST'), ('RESOLVED', '2003-03-31 04:20:27 EST', 'dirk_baeumer'), ('LATER', '2003-03-31 04:20:27 EST', 'dirk_baeumer'), ("Renaming a project doesn't update required project dependencies [refactoring] [ccp] [general issue]", '2003-03-31 04:20:27 EST', 'dirk_baeumer'), ('WONTFIX', '2009-08-30 02:38:20 EDT', 'webmaster')]</t>
  </si>
  <si>
    <t>2004-12-22 05:30:07 EST</t>
  </si>
  <si>
    <t>2003-03-31 08:26 EST</t>
  </si>
  <si>
    <t>2003-03-31 08:45:12 EST</t>
  </si>
  <si>
    <t>[('CREATED', '2003-03-31 08:26 EST'), ('jdt-ui-inbox', '2003-03-31 08:45:12 EST', 'philippe_mulet'), ('UI', '2003-03-31 08:45:12 EST', 'philippe_mulet'), ("Refactoring doesn't handle resource changes [refactoring]", '2003-04-01 11:33:45 EST', 'dirk_baeumer'), ('dirk_baeumer', '2003-05-08 06:27:49 EDT', 'dirk_baeumer'), ('RESOLVED', '2004-12-22 05:30:07 EST', 'dirk_baeumer'), ('FIXED', '2004-12-22 05:30:07 EST', 'dirk_baeumer'), ('3.1 M5', '2004-12-22 05:30:07 EST', 'dirk_baeumer')]</t>
  </si>
  <si>
    <t>2003-07-31 12:35:27 EDT</t>
  </si>
  <si>
    <t>2003-04-01 05:10 EST</t>
  </si>
  <si>
    <t>2003-04-01 07:44:20 EST</t>
  </si>
  <si>
    <t>[('CREATED', '2003-04-01 05:10 EST'), ('dirk_baeumer', '2003-04-01 07:44:20 EST', 'dirk_baeumer'), ('inline method: handles casts incorrectly (missing brackets) [refactoring]', '2003-04-01 07:44:20 EST', 'dirk_baeumer'), ('dstalnov', '2003-07-16 09:25:29 EDT', 'dstalnov'), ('3.0 M3', '2003-07-17 13:32:40 EDT', 'dirk_baeumer'), ('RESOLVED', '2003-07-31 12:35:27 EDT', 'dirk_baeumer'), ('FIXED', '2003-07-31 12:35:27 EDT', 'dirk_baeumer')]</t>
  </si>
  <si>
    <t>RESOLVED  DUPLICATE  of bug 22771</t>
  </si>
  <si>
    <t>80785 (view as bug list)</t>
  </si>
  <si>
    <t>2003-04-01 12:20:22 EST</t>
  </si>
  <si>
    <t>2007-09-25 04:33:22 EDT</t>
  </si>
  <si>
    <t>2003-04-01 11:54 EST</t>
  </si>
  <si>
    <t>2003-04-01 12:01:13 EST</t>
  </si>
  <si>
    <t>[('CREATED', '2003-04-01 11:54 EST'), ('jdt-ui-inbox', '2003-04-01 12:01:13 EST', 'Olivier_Thomann'), ('UI', '2003-04-01 12:01:13 EST', 'Olivier_Thomann'), ('RESOLVED', '2003-04-01 12:20:22 EST', 'dirk_baeumer'), ('LATER', '2003-04-01 12:20:22 EST', 'dirk_baeumer'), ('Convert to interface/abstract class refactoring [refactoring]', '2003-04-01 12:20:22 EST', 'dirk_baeumer'), ('ggregory', '2004-12-13 03:54:42 EST', 'dirk_baeumer'), ('benno_baumgartner', '2007-09-25 04:33:22 EDT', 'benno.baumgartner'), ('DUPLICATE', '2007-09-25 04:33:22 EDT', 'benno.baumgartner')]</t>
  </si>
  <si>
    <t>2003-04-08 08:40:10 EDT</t>
  </si>
  <si>
    <t>2003-04-02 10:54 EST</t>
  </si>
  <si>
    <t>2003-04-02 11:09:30 EST</t>
  </si>
  <si>
    <t>[('CREATED', '2003-04-02 10:54 EST'), ('adam_kiezun', '2003-04-02 11:09:30 EST', 'dirk_baeumer'), ('[refactor] extract local variable causing exception [refactoring]', '2003-04-02 11:09:30 EST', 'dirk_baeumer'), ('ASSIGNED', '2003-04-08 08:22:30 EDT', 'akiezun'), ('extract local variable causing exception [refactoring]', '2003-04-08 08:22:30 EDT', 'akiezun'), ('RESOLVED', '2003-04-08 08:40:10 EDT', 'akiezun'), ('FIXED', '2003-04-08 08:40:10 EDT', 'akiezun'), ('2.2', '2003-04-08 08:40:10 EDT', 'akiezun')]</t>
  </si>
  <si>
    <t>2003-04-04 04:11:39 EST</t>
  </si>
  <si>
    <t>2003-04-03 12:20 EST</t>
  </si>
  <si>
    <t>2003-04-03 13:03:04 EST</t>
  </si>
  <si>
    <t>[('CREATED', '2003-04-03 12:20 EST'), ('jdt-ui-inbox', '2003-04-03 13:03:04 EST', 'hudsonr'), ('UI', '2003-04-03 13:03:04 EST', 'hudsonr'), ('JDT', '2003-04-03 13:03:04 EST', 'hudsonr'), ('Unable to use or subclass RefactorActionGroup', '2003-04-03 13:03:04 EST', 'hudsonr'), ('RESOLVED', '2003-04-04 04:11:39 EST', 'dirk_baeumer'), ('LATER', '2003-04-04 04:11:39 EST', 'dirk_baeumer'), ('Unable to use or subclass RefactorActionGroup [refactoring]', '2003-04-04 04:11:39 EST', 'dirk_baeumer'), ('WONTFIX', '2009-08-30 02:35:05 EDT', 'webmaster')]</t>
  </si>
  <si>
    <t>2003-04-04 04:13:24 EST</t>
  </si>
  <si>
    <t>2009-08-30 02:14:52 EDT</t>
  </si>
  <si>
    <t>2003-04-03 14:19 EST</t>
  </si>
  <si>
    <t>[('CREATED', '2003-04-03 14:19 EST'), ('RESOLVED', '2003-04-04 04:13:24 EST', 'dirk_baeumer'), ('helpwanted', '2003-04-04 04:13:24 EST', 'dirk_baeumer'), ('LATER', '2003-04-04 04:13:24 EST', 'dirk_baeumer'), ('Convert local to field: Initialize in TestCase.setUp() [refactoring] [JUnit]', '2003-04-04 04:13:24 EST', 'dirk_baeumer'), ('P4', '2003-04-25 10:40:58 EDT', 'dirk_baeumer'), ('WONTFIX', '2009-08-30 02:14:52 EDT', 'denis.roy')]</t>
  </si>
  <si>
    <t>NEW</t>
  </si>
  <si>
    <t>51966 (view as bug list)</t>
  </si>
  <si>
    <t>2003-04-04 04:33:27 EST</t>
  </si>
  <si>
    <t>2003-05-21 03:29:41 EDT</t>
  </si>
  <si>
    <t>2003-04-03 20:26 EST</t>
  </si>
  <si>
    <t>2003-04-04 02:11:01 EST</t>
  </si>
  <si>
    <t>2009-02-04 08:31:47 EST</t>
  </si>
  <si>
    <t>[('CREATED', '2003-04-03 20:26 EST'), ('jdt-ui-inbox', '2003-04-04 02:11:01 EST', 'philippe_mulet'), ('UI', '2003-04-04 02:11:01 EST', 'philippe_mulet'), ('RESOLVED', '2003-04-04 04:33:27 EST', 'dirk_baeumer'), ('LATER', '2003-04-04 04:33:27 EST', 'dirk_baeumer'), ('Cannot inline method with multiple returns [refactoring]', '2003-04-04 04:33:27 EST', 'dirk_baeumer'), ('tammo.freese', '2003-04-04 10:04:45 EST', 'freese'), ('REOPENED', '2003-05-21 03:29:41 EDT', 'dirk_baeumer'), ('---', '2003-05-21 03:29:41 EDT', 'dirk_baeumer'), ('dirk_baeumer', '2003-05-21 03:30:07 EDT', 'dirk_baeumer'), ('NEW', '2003-05-21 03:30:07 EDT', 'dirk_baeumer'), ('3.0', '2003-05-21 03:30:07 EDT', 'dirk_baeumer'), ('dstalnov', '2003-08-04 05:23:12 EDT', 'dirk_baeumer'), ('1', '2003-11-19 17:05:32 EST', 'dstalnov'), ('1', '2003-11-19 17:05:32 EST', 'dstalnov'), ('1', '2003-11-19 17:05:32 EST', 'dstalnov'), ('1', '2003-12-04 18:22:44 EST', 'dstalnov'), ('1', '2004-01-04 18:32:06 EST', 'dstalnov'), ('1', '2004-02-16 02:31:17 EST', 'dstalnov'), ('thorsten.van.ellen', '2004-02-16 05:56:52 EST', 'dirk_baeumer'), ('markus_keller', '2004-03-02 06:58:07 EST', 'markus.kell.r'), ('1', '2004-03-21 18:05:56 EST', 'dstalnov'), ('---', '2004-06-25 11:31:02 EDT', 'dirk_baeumer'), ('maxime_daniel', '2006-02-01 09:44:33 EST', 'maxime_daniel'), ('markus_keller', '2006-06-02 05:39:20 EDT', 'martinae'), ('[inline] Cannot inline method with multiple returns [refactoring]', '2006-06-02 05:39:20 EDT', 'martinae'), ('christof_marti', '2008-10-02 06:58:10 EDT', 'christof_marti'), ('1', '2009-02-04 08:31:00 EST', 'daniel_megert'), ('1', '2009-02-04 08:31:05 EST', 'daniel_megert'), ('1', '2009-02-04 08:31:47 EST', 'daniel_megert')]</t>
  </si>
  <si>
    <t>RESOLVED  DUPLICATE  of bug 35634</t>
  </si>
  <si>
    <t>2003-04-08 08:53:59 EDT</t>
  </si>
  <si>
    <t>2003-04-07 08:55 EDT</t>
  </si>
  <si>
    <t>2003-04-07 08:56:07 EDT</t>
  </si>
  <si>
    <t>[('CREATED', '2003-04-07 08:55 EDT'), ('adam_kiezun', '2003-04-07 08:56:07 EDT', 'dirk_baeumer'), ('RESOLVED', '2003-04-08 08:53:59 EDT', 'akiezun'), ('DUPLICATE', '2003-04-08 08:53:59 EDT', 'akiezun')]</t>
  </si>
  <si>
    <t>RESOLVED  DUPLICATE  of bug 23026</t>
  </si>
  <si>
    <t>2003-04-09 05:50:17 EDT</t>
  </si>
  <si>
    <t>2003-04-08 03:22 EDT</t>
  </si>
  <si>
    <t>2003-04-08 04:56:37 EDT</t>
  </si>
  <si>
    <t>[('CREATED', '2003-04-08 03:22 EDT'), ('ASSIGNED', '2003-04-08 04:56:37 EDT', 'dirk_baeumer'), ('[refactor] replace constructor with factory method [refactoring]', '2003-04-08 04:56:37 EDT', 'dirk_baeumer'), ('RESOLVED', '2003-04-09 05:50:17 EDT', 'akiezun'), ('DUPLICATE', '2003-04-09 05:50:17 EDT', 'akiezun')]</t>
  </si>
  <si>
    <t>2005-01-17 06:50:18 EST</t>
  </si>
  <si>
    <t>2003-04-08 05:59 EDT</t>
  </si>
  <si>
    <t>2003-05-08 06:33:04 EDT</t>
  </si>
  <si>
    <t>[('CREATED', '2003-04-08 05:59 EDT'), ('adam_kiezun', '2003-05-08 06:33:04 EDT', 'dirk_baeumer'), ('P4', '2003-05-08 06:34:51 EDT', 'akiezun'), ('RESOLVED', '2005-01-17 06:50:18 EST', 'tobias_widmer'), ('FIXED', '2005-01-17 06:50:18 EST', 'tobias_widmer')]</t>
  </si>
  <si>
    <t>2003-05-08 06:34:20 EDT</t>
  </si>
  <si>
    <t>2009-08-30 02:43:12 EDT</t>
  </si>
  <si>
    <t>2003-04-08 06:31 EDT</t>
  </si>
  <si>
    <t>[('CREATED', '2003-04-08 06:31 EDT'), ('RESOLVED', '2003-05-08 06:34:20 EDT', 'dirk_baeumer'), ('LATER', '2003-05-08 06:34:20 EDT', 'dirk_baeumer'), ('WONTFIX', '2009-08-30 02:43:12 EDT', 'webmaster')]</t>
  </si>
  <si>
    <t>54124 (view as bug list)</t>
  </si>
  <si>
    <t>2005-04-26 11:22:31 EDT</t>
  </si>
  <si>
    <t>2004-02-11 05:08:39 EST</t>
  </si>
  <si>
    <t>2004-02-11 10:25:06 EST</t>
  </si>
  <si>
    <t>2003-04-08 08:36 EDT</t>
  </si>
  <si>
    <t>2003-04-08 09:01:38 EDT</t>
  </si>
  <si>
    <t>[('CREATED', '2003-04-08 08:36 EDT'), ('jdt-ui-inbox', '2003-04-08 09:01:38 EDT', 'philippe_mulet'), ('UI', '2003-04-08 09:01:38 EDT', 'philippe_mulet'), ('RESOLVED', '2003-04-08 10:54:05 EDT', 'dirk_baeumer'), ('LATER', '2003-04-08 10:54:05 EDT', 'dirk_baeumer'), ('Sort order members for static initialisers should be after field definitions [code manipulation]', '2003-04-08 10:54:05 EDT', 'dirk_baeumer'), ('rfaust', '2003-06-03 09:30:17 EDT', 'rfaust'), ('---', '2003-06-19 06:41:13 EDT', 'alex.blewitt'), ('major', '2003-06-19 06:41:13 EDT', 'alex.blewitt'), ('REOPENED', '2003-06-19 06:41:13 EDT', 'alex.blewitt'), ('ASSIGNED', '2003-06-19 12:29:25 EDT', 'dirk_baeumer'), ('pollockd', '2003-11-12 10:33:15 EST', 'douglas.pollock'), ('silvio_boehler', '2003-12-08 05:09:27 EST', 'martinae'), ('NEW', '2003-12-08 05:09:27 EST', 'martinae'), ('martin_aeschlimann', '2004-01-05 05:44:57 EST', 'silvio_boehler'), ('martin_aeschlimann', '2004-01-05 08:11:28 EST', 'silvio_boehler'), ('RESOLVED', '2004-01-26 09:32:34 EST', 'martinae'), ('FIXED', '2004-01-26 09:32:34 EST', 'martinae'), ('3.0 M7', '2004-01-26 09:32:34 EST', 'martinae'), ('VERIFIED', '2004-02-11 05:08:39 EST', 'eclipse'), ('REOPENED', '2004-02-11 10:25:06 EST', 'eclipse'), ('---', '2004-02-11 10:25:06 EST', 'eclipse'), ('---', '2004-02-12 13:53:24 EST', 'martinae'), ('Tim_Ellison', '2004-03-09 04:50:22 EST', 't.p.ellison'), ('FIXED', '2005-04-26 11:22:31 EDT', 'martinae'), ('3.1 M7', '2005-04-26 11:22:31 EDT', 'martinae'), ('RESOLVED', '2005-04-26 11:22:31 EDT', 'martinae')]</t>
  </si>
  <si>
    <t>40590 52421 (view as bug list)</t>
  </si>
  <si>
    <t>2007-05-09 05:03:34 EDT</t>
  </si>
  <si>
    <t>2003-04-08 09:07 EDT</t>
  </si>
  <si>
    <t>2003-04-08 10:55:09 EDT</t>
  </si>
  <si>
    <t>[('CREATED', '2003-04-08 09:07 EDT'), ('dirk_baeumer', '2003-04-08 10:55:09 EDT', 'dirk_baeumer'), ('mlq.eclipse', '2003-07-22 10:23:44 EDT', 'akiezun'), ('mn', '2005-05-04 05:35:33 EDT', 'mn'), ('jdt-ui-inbox', '2006-06-02 05:35:08 EDT', 'martinae'), ('[encapsulate field] should reuse existing accessors [refactoring]', '2006-06-02 05:35:08 EDT', 'martinae'), ('ggregory', '2006-06-02 05:35:59 EDT', 'martinae'), ('karsten_becker', '2007-05-09 05:03:13 EDT', 'martinae'), ('RESOLVED', '2007-05-09 05:03:34 EDT', 'martinae'), ('FIXED', '2007-05-09 05:03:34 EDT', 'martinae'), ('3.3 M7', '2007-05-09 05:03:34 EDT', 'martinae')]</t>
  </si>
  <si>
    <t>2004-08-18 06:41:38 EDT</t>
  </si>
  <si>
    <t>2003-04-09 08:13 EDT</t>
  </si>
  <si>
    <t>2003-05-08 06:34:59 EDT</t>
  </si>
  <si>
    <t>[('CREATED', '2003-04-09 08:13 EDT'), ('ASSIGNED', '2003-05-08 06:34:59 EDT', 'dirk_baeumer'), ('usability', '2003-05-08 06:34:59 EDT', 'dirk_baeumer'), ('Better marketing of encapsulate field [code manipulation] [refactoring]', '2003-05-08 06:34:59 EDT', 'dirk_baeumer'), ('preuss', '2003-06-23 05:19:12 EDT', 'preuss'), ('RESOLVED', '2004-08-18 06:41:38 EDT', 'dirk_baeumer'), ('WONTFIX', '2004-08-18 06:41:38 EDT', 'dirk_baeumer')]</t>
  </si>
  <si>
    <t>2003-04-30 17:40:48 EDT</t>
  </si>
  <si>
    <t>2003-04-10 08:21 EDT</t>
  </si>
  <si>
    <t>2003-04-10 09:57:42 EDT</t>
  </si>
  <si>
    <t>2003-05-03 05:38:10 EDT</t>
  </si>
  <si>
    <t>lsong</t>
  </si>
  <si>
    <t>[('CREATED', '2003-04-10 08:21 EDT'), ('jdt-ui-inbox', '2003-04-10 09:57:42 EDT', 'akiezun'), ('UI', '2003-04-10 09:57:42 EDT', 'akiezun'), ('martin_aeschlimann', '2003-04-10 10:17:28 EDT', 'dirk_baeumer'), ('martin_aeschlimann', '2003-04-10 10:20:07 EDT', 'martinae'), ('RESOLVED', '2003-04-30 17:40:48 EDT', 'martinae'), ('FIXED', '2003-04-30 17:40:48 EDT', 'martinae'), ('CLOSED', '2003-05-03 05:38:10 EDT', 'lsong')]</t>
  </si>
  <si>
    <t>48240 163960 (view as bug list)</t>
  </si>
  <si>
    <t>2007-11-15 09:52:32 EST</t>
  </si>
  <si>
    <t>2006-11-10 06:13:35 EST</t>
  </si>
  <si>
    <t>2003-04-10 10:19 EDT</t>
  </si>
  <si>
    <t>2003-04-10 10:23:33 EDT</t>
  </si>
  <si>
    <t>2009-06-16 12:39:53 EDT</t>
  </si>
  <si>
    <t>[('CREATED', '2003-04-10 10:19 EDT'), ('dirk_baeumer', '2003-04-10 10:23:33 EDT', 'dirk_baeumer'), ('feature request - convert to StringBuffer [refactoring]', '2003-04-10 10:23:33 EDT', 'dirk_baeumer'), ('jdt-ui-inbox', '2004-12-22 05:37:54 EST', 'dirk_baeumer'), ('feature request - convert to StringBuffer [quick assist]', '2004-12-22 05:37:54 EST', 'dirk_baeumer'), ('RESOLVED', '2004-12-22 05:38:21 EST', 'dirk_baeumer'), ('P4', '2004-12-22 05:38:21 EST', 'dirk_baeumer'), ('LATER', '2004-12-22 05:38:21 EST', 'dirk_baeumer'), ('alex.soto', '2006-11-10 06:12:46 EST', 'martinae'), ('REOPENED', '2006-11-10 06:13:35 EST', 'martinae'), ('---', '2006-11-10 06:13:35 EST', 'martinae'), ('NEW', '2006-11-10 06:14:34 EST', 'martinae'), ('[quick assist] convert to StringBuffer', '2006-11-10 06:14:34 EST', 'martinae'), ('benno_baumgartner', '2006-11-10 06:14:34 EST', 'martinae'), ('Joerg.Thoennes', '2006-11-10 06:14:46 EST', 'martinae'), ('xmlizer', '2007-10-11 04:05:51 EDT', 'martinae'), ('martin_aeschlimann', '2007-10-11 04:06:08 EDT', 'martinae'), ('helpwanted', '2007-10-11 04:06:08 EDT', 'martinae'), ('review?', '2007-10-26 19:34:47 EDT', 'b.muskalla'), ('b.muskalla', '2007-10-26 19:35:24 EDT', 'b.muskalla'), (nan, '2007-10-31 22:59:13 EDT', 'b.muskalla'), ('1', '2007-10-31 22:59:13 EDT', 'b.muskalla'), ('1', '2007-11-03 11:31:06 EDT', 'b.muskalla'), ('review?', '2007-11-03 11:31:06 EDT', 'b.muskalla'), ('martin_aeschlimann', '2007-11-08 06:18:03 EST', 'martinae'), (nan, '2007-11-13 18:44:45 EST', 'b.muskalla'), ('1', '2007-11-13 18:44:45 EST', 'b.muskalla'), ('review?', '2007-11-13 18:44:45 EST', 'b.muskalla'), ('RESOLVED', '2007-11-15 09:52:32 EST', 'martinae'), ('contributed', '2007-11-15 09:52:32 EST', 'martinae'), ('FIXED', '2007-11-15 09:52:32 EST', 'martinae'), ('3.4 M4', '2007-11-15 09:52:32 EST', 'martinae'), ('mike.haller', '2007-11-16 18:04:09 EST', 'mike.haller'), ('eclipse', '2007-12-15 18:52:54 EST', 'eclipse'), ('digulla', '2007-12-18 04:58:25 EST', 'digulla'), (nan, '2009-06-16 12:39:53 EDT', 'markus.kell.r')]</t>
  </si>
  <si>
    <t>2004-12-22 05:59:38 EST</t>
  </si>
  <si>
    <t>2003-04-10 13:26 EDT</t>
  </si>
  <si>
    <t>2003-04-11 04:32:47 EDT</t>
  </si>
  <si>
    <t>[('CREATED', '2003-04-10 13:26 EDT'), ('dirk_baeumer', '2003-04-11 04:32:47 EDT', 'dirk_baeumer'), ('Surround w/ try/catch generates unique identifier for exception when it is not needed [refactoring]', '2003-04-11 04:32:47 EDT', 'dirk_baeumer'), ('RESOLVED', '2004-12-22 05:59:38 EST', 'dirk_baeumer'), ('FIXED', '2004-12-22 05:59:38 EST', 'dirk_baeumer'), ('3.1 M5', '2004-12-22 05:59:38 EST', 'dirk_baeumer')]</t>
  </si>
  <si>
    <t>2004-08-18 06:43:21 EDT</t>
  </si>
  <si>
    <t>2003-04-12 13:52 EDT</t>
  </si>
  <si>
    <t>2003-04-12 15:45:21 EDT</t>
  </si>
  <si>
    <t>[('CREATED', '2003-04-12 13:52 EDT'), ('jdt-ui-inbox', '2003-04-12 15:45:21 EDT', 'akiezun'), ('UI', '2003-04-12 15:45:21 EDT', 'akiezun'), ('new return type in modify signature must be fully qualified [refactoring]', '2003-04-12 15:45:21 EDT', 'akiezun'), ('ASSIGNED', '2003-04-14 04:31:01 EDT', 'dirk_baeumer'), ('RESOLVED', '2004-08-18 06:43:21 EDT', 'dirk_baeumer'), ('FIXED', '2004-08-18 06:43:21 EDT', 'dirk_baeumer')]</t>
  </si>
  <si>
    <t>2003-04-17 07:44:27 EDT</t>
  </si>
  <si>
    <t>2003-04-14 10:57 EDT</t>
  </si>
  <si>
    <t>2003-04-14 11:50:32 EDT</t>
  </si>
  <si>
    <t>[('CREATED', '2003-04-14 10:57 EDT'), ('adam_kiezun', '2003-04-14 11:50:32 EDT', 'dirk_baeumer'), ("Move refactoring doesn't allow subfolder destination [ccp]", '2003-04-14 11:50:32 EDT', 'dirk_baeumer'), ('RESOLVED', '2003-04-17 07:44:27 EDT', 'akiezun'), ('WORKSFORME', '2003-04-17 07:44:27 EDT', 'akiezun')]</t>
  </si>
  <si>
    <t>2004-05-18 06:11:27 EDT</t>
  </si>
  <si>
    <t>2003-04-14 15:33 EDT</t>
  </si>
  <si>
    <t>2003-04-15 03:10:46 EDT</t>
  </si>
  <si>
    <t>[('CREATED', '2003-04-14 15:33 EDT'), ('jdt-ui-inbox', '2003-04-15 03:10:46 EDT', 'philippe_mulet'), ('UI', '2003-04-15 03:10:46 EDT', 'philippe_mulet'), ('dirk_baeumer', '2003-04-15 09:16:29 EDT', 'dirk_baeumer'), ('WORKSFORME', '2004-05-18 06:11:27 EDT', 'dirk_baeumer'), ('RESOLVED', '2004-05-18 06:11:27 EDT', 'dirk_baeumer')]</t>
  </si>
  <si>
    <t>2003-04-17 05:02:15 EDT</t>
  </si>
  <si>
    <t>2003-04-15 08:38 EDT</t>
  </si>
  <si>
    <t>2003-04-15 08:51:24 EDT</t>
  </si>
  <si>
    <t>[('CREATED', '2003-04-15 08:38 EDT'), ('P2', '2003-04-15 08:51:24 EDT', 'akiezun'), ('adam_kiezun', '2003-04-15 08:53:02 EDT', 'akiezun'), ('eclipse', '2003-04-15 09:42:38 EDT', 'eclipse'), ('RESOLVED', '2003-04-17 05:02:15 EDT', 'akiezun'), ('FIXED', '2003-04-17 05:02:15 EDT', 'akiezun')]</t>
  </si>
  <si>
    <t>2003-05-05 09:04:36 EDT</t>
  </si>
  <si>
    <t>2003-04-15 09:51 EDT</t>
  </si>
  <si>
    <t>2003-04-15 09:52:02 EDT</t>
  </si>
  <si>
    <t>[('CREATED', '2003-04-15 09:51 EDT'), ('adam_kiezun', '2003-04-15 09:52:02 EDT', 'dirk_baeumer'), ('RESOLVED', '2003-05-05 09:04:36 EDT', 'akiezun'), ('FIXED', '2003-05-05 09:04:36 EDT', 'akiezun')]</t>
  </si>
  <si>
    <t>RESOLVED  DUPLICATE  of bug 14946</t>
  </si>
  <si>
    <t>2003-04-16 10:07:27 EDT</t>
  </si>
  <si>
    <t>2003-04-16 09:46 EDT</t>
  </si>
  <si>
    <t>2003-04-16 10:05:25 EDT</t>
  </si>
  <si>
    <t>[('CREATED', '2003-04-16 09:46 EDT'), ('adam_kiezun', '2003-04-16 10:05:25 EDT', 'dirk_baeumer'), ('Pull up refactoring changes field visibility [refactoring]', '2003-04-16 10:05:25 EDT', 'dirk_baeumer'), ('RESOLVED', '2003-04-16 10:07:27 EDT', 'akiezun'), ('DUPLICATE', '2003-04-16 10:07:27 EDT', 'akiezun')]</t>
  </si>
  <si>
    <t>2003-05-27 10:52:02 EDT</t>
  </si>
  <si>
    <t>2003-04-16 09:55 EDT</t>
  </si>
  <si>
    <t>2003-04-16 09:55:27 EDT</t>
  </si>
  <si>
    <t>[('CREATED', '2003-04-16 09:55 EDT'), ('dirk_baeumer', '2003-04-16 09:55:27 EDT', 'dirk_baeumer'), ('FIXED', '2003-05-27 10:52:02 EDT', 'dirk_baeumer'), ('RESOLVED', '2003-05-27 10:52:02 EDT', 'dirk_baeumer')]</t>
  </si>
  <si>
    <t>2004-02-13 13:08:03 EST</t>
  </si>
  <si>
    <t>2003-04-16 10:33 EDT</t>
  </si>
  <si>
    <t>2003-04-16 11:00:42 EDT</t>
  </si>
  <si>
    <t>[('CREATED', '2003-04-16 10:33 EDT'), ('dirk_baeumer', '2003-04-16 11:00:42 EDT', 'dirk_baeumer'), ('Refactoring inline throws [refactoring]', '2003-04-16 11:00:42 EDT', 'dirk_baeumer'), ('fpahl', '2004-02-12 08:53:15 EST', 'fpahl'), ('FIXED', '2004-02-13 13:08:03 EST', 'dirk_baeumer'), ('3.0 M8', '2004-02-13 13:08:03 EST', 'dirk_baeumer'), ('RESOLVED', '2004-02-13 13:08:03 EST', 'dirk_baeumer')]</t>
  </si>
  <si>
    <t>2003-05-09 08:44:22 EDT</t>
  </si>
  <si>
    <t>2003-04-16 12:18 EDT</t>
  </si>
  <si>
    <t>2003-04-17 07:37:29 EDT</t>
  </si>
  <si>
    <t>[('CREATED', '2003-04-16 12:18 EDT'), ('P2', '2003-04-17 07:37:29 EDT', 'akiezun'), ('RESOLVED', '2003-05-09 08:44:22 EDT', 'akiezun'), ('FIXED', '2003-05-09 08:44:22 EDT', 'akiezun')]</t>
  </si>
  <si>
    <t>RESOLVED  DUPLICATE  of bug 27726</t>
  </si>
  <si>
    <t>2003-04-22 03:02:29 EDT</t>
  </si>
  <si>
    <t>2003-04-17 06:48 EDT</t>
  </si>
  <si>
    <t>2003-04-17 07:34:09 EDT</t>
  </si>
  <si>
    <t>[('CREATED', '2003-04-17 06:48 EDT'), ('jdt-ui-inbox', '2003-04-17 07:34:09 EDT', 'akiezun'), ('UI', '2003-04-17 07:34:09 EDT', 'akiezun'), ('Refactor&gt;Rename... (for a method) improvement [refactoring]', '2003-04-17 07:34:09 EDT', 'akiezun'), ('RESOLVED', '2003-04-22 03:02:29 EDT', 'dirk_baeumer'), ('DUPLICATE', '2003-04-22 03:02:29 EDT', 'dirk_baeumer')]</t>
  </si>
  <si>
    <t>2003-04-25 10:34:41 EDT</t>
  </si>
  <si>
    <t>2003-04-17 09:03 EDT</t>
  </si>
  <si>
    <t>2003-04-22 04:19:32 EDT</t>
  </si>
  <si>
    <t>[('CREATED', '2003-04-17 09:03 EDT'), ('adam_kiezun', '2003-04-22 04:19:32 EDT', 'rfaust'), ('martin_aeschlimann', '2003-04-22 09:33:39 EDT', 'erich_gamma'), ('rfaust', '2003-04-24 16:21:08 EDT', 'erich_gamma'), ('RESOLVED', '2003-04-25 10:34:41 EDT', 'martinae'), ('FIXED', '2003-04-25 10:34:41 EDT', 'martinae')]</t>
  </si>
  <si>
    <t>RESOLVED  DUPLICATE  of bug 37207</t>
  </si>
  <si>
    <t>2003-05-05 06:36:14 EDT</t>
  </si>
  <si>
    <t>2003-05-05 06:35:51 EDT</t>
  </si>
  <si>
    <t>2003-04-22 11:02 EDT</t>
  </si>
  <si>
    <t>2003-04-22 11:25:14 EDT</t>
  </si>
  <si>
    <t>[('CREATED', '2003-04-22 11:02 EDT'), ('jdt-ui-inbox', '2003-04-22 11:25:14 EDT', 'Olivier_Thomann'), ('UI', '2003-04-22 11:25:14 EDT', 'Olivier_Thomann'), ('RESOLVED', '2003-04-22 11:45:40 EDT', 'dirk_baeumer'), ('LATER', '2003-04-22 11:45:40 EDT', 'dirk_baeumer'), ("refactor / extract interface uses 'abstract' in method in interface (unneccessary) [refactoring]", '2003-04-22 11:45:40 EDT', 'dirk_baeumer'), ('P4', '2003-04-25 10:42:02 EDT', 'dirk_baeumer'), ('REOPENED', '2003-05-05 06:35:51 EDT', 'dirk_baeumer'), ('---', '2003-05-05 06:35:51 EDT', 'dirk_baeumer'), ('RESOLVED', '2003-05-05 06:36:14 EDT', 'dirk_baeumer'), ('DUPLICATE', '2003-05-05 06:36:14 EDT', 'dirk_baeumer')]</t>
  </si>
  <si>
    <t>2003-04-24 04:59:22 EDT</t>
  </si>
  <si>
    <t>2003-04-23 08:26 EDT</t>
  </si>
  <si>
    <t>2003-04-23 08:33:45 EDT</t>
  </si>
  <si>
    <t>[('CREATED', '2003-04-23 08:26 EDT'), ('jdt-ui-inbox', '2003-04-23 08:33:45 EDT', 'Olivier_Thomann'), ('UI', '2003-04-23 08:33:45 EDT', 'Olivier_Thomann'), ('daniel_megert', '2003-04-23 09:38:40 EDT', 'dirk_baeumer'), ('JAR Packager tries to access resources that are not checked [X] [jarcreation]', '2003-04-23 09:39:05 EDT', 'dirk_baeumer'), ('daniel_megert', '2003-04-24 04:57:35 EDT', 'daniel_megert'), ('RESOLVED', '2003-04-24 04:59:22 EDT', 'daniel_megert'), ('WORKSFORME', '2003-04-24 04:59:22 EDT', 'daniel_megert')]</t>
  </si>
  <si>
    <t>2003-05-05 11:58:37 EDT</t>
  </si>
  <si>
    <t>2003-04-24 06:28 EDT</t>
  </si>
  <si>
    <t>2003-04-24 08:47:31 EDT</t>
  </si>
  <si>
    <t>[('CREATED', '2003-04-24 06:28 EDT'), ('adam_kiezun', '2003-04-24 08:47:31 EDT', 'dirk_baeumer'), ('Refactor: move static method "corrects" code, but fails to update imports in target [refactoring]', '2003-04-24 08:47:31 EDT', 'dirk_baeumer'), ('adam_kiezun', '2003-04-24 12:30:49 EDT', 'akiezun'), ('RESOLVED', '2003-05-05 11:58:37 EDT', 'akiezun'), ('FIXED', '2003-05-05 11:58:37 EDT', 'akiezun')]</t>
  </si>
  <si>
    <t>22110 34112 (view as bug list)</t>
  </si>
  <si>
    <t>2004-08-18 06:44:39 EDT</t>
  </si>
  <si>
    <t>2003-04-25 10:54 EDT</t>
  </si>
  <si>
    <t>2003-04-25 10:55:00 EDT</t>
  </si>
  <si>
    <t>2020-09-03 17:09:45 EDT</t>
  </si>
  <si>
    <t>fabian.pfaff</t>
  </si>
  <si>
    <t>[('CREATED', '2003-04-25 10:54 EDT'), ('adam_kiezun', '2003-04-25 10:55:00 EDT', 'dirk_baeumer'), ('Refactoring should be more aware of comments [refactoring]', '2003-04-25 10:55:18 EDT', 'dirk_baeumer'), ('martin_aeschlimann', '2003-04-25 10:55:18 EDT', 'dirk_baeumer'), ('ASSIGNED', '2003-04-25 10:55:18 EDT', 'dirk_baeumer'), ('ingo.richter', '2003-04-25 10:56:13 EDT', 'dirk_baeumer'), ('chris_mclaren', '2003-04-25 11:02:56 EDT', 'akiezun'), (nan, '2004-04-18 11:46:26 EDT', 'csmclaren'), ('RESOLVED', '2004-08-18 06:44:39 EDT', 'dirk_baeumer'), ('FIXED', '2004-08-18 06:44:39 EDT', 'dirk_baeumer'), ('fabian.pfaff', '2020-09-03 17:09:45 EDT', 'fabian.pfaff')]</t>
  </si>
  <si>
    <t>RESOLVED  DUPLICATE  of bug 37937</t>
  </si>
  <si>
    <t>2003-05-21 14:19:37 EDT</t>
  </si>
  <si>
    <t>2003-04-25 17:41 EDT</t>
  </si>
  <si>
    <t>2003-04-25 17:42:03 EDT</t>
  </si>
  <si>
    <t>jeem</t>
  </si>
  <si>
    <t>[('CREATED', '2003-04-25 17:41 EDT'), ('P4', '2003-04-25 17:42:03 EDT', 'jeem'), ('3.0', '2003-04-25 17:42:03 EDT', 'jeem'), ('plan', '2003-04-25 17:44:35 EDT', 'jeem'), (nan, '2003-05-21 14:19:37 EDT', 'jeem'), ('DUPLICATE', '2003-05-21 14:19:37 EDT', 'jeem'), ('[plan item] Support Java references outside Java code', '2003-05-21 14:19:37 EDT', 'jeem'), ('---', '2003-05-21 14:19:37 EDT', 'jeem'), ('RESOLVED', '2003-05-21 14:19:37 EDT', 'jeem')]</t>
  </si>
  <si>
    <t>13530 45493 (view as bug list)</t>
  </si>
  <si>
    <t>2004-06-25 11:23:18 EDT</t>
  </si>
  <si>
    <t>2003-04-25 17:48 EDT</t>
  </si>
  <si>
    <t>2003-04-25 17:48:22 EDT</t>
  </si>
  <si>
    <t>[('CREATED', '2003-04-25 17:48 EDT'), ('plan', '2003-04-25 17:48:22 EDT', 'jeem'), ('P4', '2003-04-25 17:48:22 EDT', 'jeem'), ('3.0', '2003-04-25 17:48:22 EDT', 'jeem'), ('burner', '2003-05-22 22:05:33 EDT', 'burner'), ('m.a.r.k', '2003-05-24 04:38:34 EDT', 'm.a.r.k'), ('ASSIGNED', '2003-06-10 08:14:44 EDT', 'dirk_baeumer'), ('duongn', '2003-07-31 12:31:30 EDT', 'john.arthorne'), ('richkulp', '2003-07-31 14:34:56 EDT', 'richkulp'), ('crivet', '2003-07-31 14:37:15 EDT', 'crivet'), ('dan_rubel', '2003-08-07 08:23:08 EDT', 'danrubel'), ('nick_edgar', '2003-08-07 12:03:27 EDT', 'n.a.edgar'), ('taciano', '2003-08-18 10:20:41 EDT', 'taciano'), ('kraythe', '2003-10-24 07:58:17 EDT', 'dirk_baeumer'), ('RESOLVED', '2004-06-25 11:23:18 EDT', 'dirk_baeumer'), ('FIXED', '2004-06-25 11:23:18 EDT', 'dirk_baeumer')]</t>
  </si>
  <si>
    <t>2003-07-14 13:03:29 EDT</t>
  </si>
  <si>
    <t>2003-04-29 07:33 EDT</t>
  </si>
  <si>
    <t>2003-04-29 08:28:26 EDT</t>
  </si>
  <si>
    <t>[('CREATED', '2003-04-29 07:33 EDT'), ('dirk_baeumer', '2003-04-29 08:28:26 EDT', 'dirk_baeumer'), ('P2', '2003-04-29 08:28:26 EDT', 'dirk_baeumer'), ('3.0', '2003-04-29 08:28:26 EDT', 'dirk_baeumer'), ('RESOLVED', '2003-07-14 13:03:29 EDT', 'dirk_baeumer'), ('FIXED', '2003-07-14 13:03:29 EDT', 'dirk_baeumer'), ('3.0 M2', '2003-07-14 13:03:29 EDT', 'dirk_baeumer')]</t>
  </si>
  <si>
    <t>237955 (view as bug list)</t>
  </si>
  <si>
    <t>2003-05-08 06:53:49 EDT</t>
  </si>
  <si>
    <t>2009-08-30 02:35:52 EDT</t>
  </si>
  <si>
    <t>2003-04-29 11:22 EDT</t>
  </si>
  <si>
    <t>2003-04-29 11:50:53 EDT</t>
  </si>
  <si>
    <t>[('CREATED', '2003-04-29 11:22 EDT'), ('jdt-ui-inbox', '2003-04-29 11:50:53 EDT', 'akiezun'), ('UI', '2003-04-29 11:50:53 EDT', 'akiezun'), ('LATER', '2003-05-08 06:53:49 EDT', 'dirk_baeumer'), ('Refactoring packages and classes: rename/move [refactoring]', '2003-05-08 06:53:49 EDT', 'dirk_baeumer'), ('RESOLVED', '2003-05-08 06:53:49 EDT', 'dirk_baeumer'), ('alex-pub.eclipse', '2008-07-10 04:36:39 EDT', 'daniel_megert'), ('WONTFIX', '2009-08-30 02:35:52 EDT', 'webmaster')]</t>
  </si>
  <si>
    <t>2003-04-30 03:34:33 EDT</t>
  </si>
  <si>
    <t>2003-04-29 15:12 EDT</t>
  </si>
  <si>
    <t>[('CREATED', '2003-04-29 15:12 EDT'), ('RESOLVED', '2003-04-30 03:34:33 EDT', 'dirk_baeumer'), ('DUPLICATE', '2003-04-30 03:34:33 EDT', 'dirk_baeumer')]</t>
  </si>
  <si>
    <t>473926 (view as bug list)</t>
  </si>
  <si>
    <t>2003-04-30 03:38:52 EDT</t>
  </si>
  <si>
    <t>2003-04-29 15:17 EDT</t>
  </si>
  <si>
    <t>2015-08-05 04:42:29 EDT</t>
  </si>
  <si>
    <t>noopur_gupta</t>
  </si>
  <si>
    <t>[('CREATED', '2003-04-29 15:17 EDT'), ('RESOLVED', '2003-04-30 03:38:52 EDT', 'dirk_baeumer'), ('WONTFIX', '2003-04-30 03:38:52 EDT', 'dirk_baeumer'), ('Refactoring "change method signature" should fix implementors when return type changed [refactoring]', '2003-04-30 03:38:52 EDT', 'dirk_baeumer'), ('melmongiovi', '2015-08-05 04:42:29 EDT', 'noopur_gupta')]</t>
  </si>
  <si>
    <t>2003-05-16 11:15:51 EDT</t>
  </si>
  <si>
    <t>2003-04-30 09:11 EDT</t>
  </si>
  <si>
    <t>2003-04-30 09:24:51 EDT</t>
  </si>
  <si>
    <t>[('CREATED', '2003-04-30 09:11 EDT'), ('Platform-UI-Inbox', '2003-04-30 09:24:51 EDT', 'dj.houghton'), ('UI', '2003-04-30 09:24:51 EDT', 'dj.houghton'), ('[Wizards] jUnit testcase wizard fails', '2003-05-14 11:29:44 EDT', 'debbie_wilson'), ('Tod_Creasey', '2003-05-14 11:29:44 EDT', 'debbie_wilson'), ('jdt-ui-inbox', '2003-05-14 11:48:56 EDT', 'Tod_Creasey'), ('JDT', '2003-05-14 11:48:56 EDT', 'Tod_Creasey'), ('Tod_Creasey', '2003-05-14 11:49:08 EDT', 'Tod_Creasey'), ('RESOLVED', '2003-05-16 11:15:51 EDT', 'dirk_baeumer'), ('WORKSFORME', '2003-05-16 11:15:51 EDT', 'dirk_baeumer')]</t>
  </si>
  <si>
    <t>2004-05-26 12:27:06 EDT</t>
  </si>
  <si>
    <t>2003-04-30 13:06 EDT</t>
  </si>
  <si>
    <t>2003-04-30 13:24:06 EDT</t>
  </si>
  <si>
    <t>[('CREATED', '2003-04-30 13:06 EDT'), ('Move refactoring introduces unused import [refactoring]', '2003-04-30 13:24:06 EDT', 'akiezun'), ('ASSIGNED', '2003-05-02 05:04:59 EDT', 'dirk_baeumer'), ('FIXED', '2004-05-26 12:27:06 EDT', 'dirk_baeumer'), ('3.0', '2004-05-26 12:27:06 EDT', 'dirk_baeumer'), ('RESOLVED', '2004-05-26 12:27:06 EDT', 'dirk_baeumer')]</t>
  </si>
  <si>
    <t>2003-05-06 10:25:11 EDT</t>
  </si>
  <si>
    <t>2003-04-30 17:10 EDT</t>
  </si>
  <si>
    <t>2003-05-01 09:56:05 EDT</t>
  </si>
  <si>
    <t>cdemyanovich</t>
  </si>
  <si>
    <t>[('CREATED', '2003-04-30 17:10 EDT'), ('jdt-ui-inbox', '2003-05-01 09:56:05 EDT', 'Olivier_Thomann'), ('UI', '2003-05-01 09:56:05 EDT', 'Olivier_Thomann'), ('adam_kiezun', '2003-05-02 04:17:58 EDT', 'dirk_baeumer'), ('Rename refactoring does not alter all references to renamed class [refactoring]', '2003-05-02 04:17:58 EDT', 'dirk_baeumer'), ('adam_kiezun', '2003-05-06 05:02:02 EDT', 'akiezun'), ('RESOLVED', '2003-05-06 10:25:11 EDT', 'cdemyanovich'), ('INVALID', '2003-05-06 10:25:11 EDT', 'cdemyanovich')]</t>
  </si>
  <si>
    <t>2003-07-21 08:40:33 EDT</t>
  </si>
  <si>
    <t>2003-05-01 05:04 EDT</t>
  </si>
  <si>
    <t>2003-05-01 09:41:01 EDT</t>
  </si>
  <si>
    <t>[('CREATED', '2003-05-01 05:04 EDT'), ('jdt-ui-inbox', '2003-05-01 09:41:01 EDT', 'Olivier_Thomann'), ('UI', '2003-05-01 09:41:01 EDT', 'Olivier_Thomann'), ('adam_kiezun', '2003-05-01 14:40:45 EDT', 'akiezun'), ('adam_kiezun', '2003-05-02 04:11:18 EDT', 'dirk_baeumer'), ('"public abstract" in auto-generated interface methods [refactoring]', '2003-05-02 04:11:18 EDT', 'dirk_baeumer'), ('ASSIGNED', '2003-05-09 13:42:04 EDT', 'akiezun'), ('add checkbox for "public abstract" in Extract Interface [refactoring]', '2003-05-09 13:42:04 EDT', 'akiezun'), ('enhancement', '2003-05-09 13:42:04 EDT', 'akiezun'), ('3.0 M3', '2003-06-06 12:37:51 EDT', 'akiezun'), ('N.Metchev', '2003-07-08 05:25:54 EDT', 'nikolaymetchev'), ('t.wood', '2003-07-08 05:27:29 EDT', 't.wood'), ('RESOLVED', '2003-07-21 08:40:33 EDT', 'akiezun'), ('FIXED', '2003-07-21 08:40:33 EDT', 'akiezun')]</t>
  </si>
  <si>
    <t>44810 49113 56331 (view as bug list)</t>
  </si>
  <si>
    <t>2004-04-26 14:54:01 EDT</t>
  </si>
  <si>
    <t>2003-05-02 12:39 EDT</t>
  </si>
  <si>
    <t>2003-05-02 13:25:44 EDT</t>
  </si>
  <si>
    <t>2004-05-13 03:45:00 EDT</t>
  </si>
  <si>
    <t>[('CREATED', '2003-05-02 12:39 EDT'), ('jdt-ui-inbox', '2003-05-02 13:25:44 EDT', 'akiezun'), ('UI', '2003-05-02 13:25:44 EDT', 'akiezun'), ('adam_kiezun', '2003-05-02 13:27:01 EDT', 'akiezun'), ('drag and drop movement of a class addes package.* to imports [refactoring]', '2003-05-02 13:27:01 EDT', 'akiezun'), ('P4', '2003-05-05 12:01:57 EDT', 'akiezun'), ('3.0 M3', '2003-08-05 06:11:07 EDT', 'dirk_baeumer'), ('adam_kiezun', '2003-08-21 06:56:33 EDT', 'akiezun'), ('markus_keller', '2003-08-21 06:56:33 EDT', 'akiezun'), ('3.0', '2003-08-21 06:56:33 EDT', 'akiezun'), ('eric.rizzo', '2003-12-18 12:11:30 EST', 'dirk_baeumer'), ('jed.wesley-smith', '2004-02-23 23:37:15 EST', 'jed'), ('smcrae', '2004-03-26 09:41:28 EST', 'dirk_baeumer'), ('RESOLVED', '2004-04-26 14:54:01 EDT', 'markus.kell.r'), ('FIXED', '2004-04-26 14:54:01 EDT', 'markus.kell.r'), ('3.0 M9', '2004-04-26 14:54:01 EDT', 'markus.kell.r'), ('pikus', '2004-05-13 03:45:00 EDT', 'markus.kell.r')]</t>
  </si>
  <si>
    <t>2003-06-10 08:19:53 EDT</t>
  </si>
  <si>
    <t>2003-05-04 18:30 EDT</t>
  </si>
  <si>
    <t>2003-05-05 04:22:22 EDT</t>
  </si>
  <si>
    <t>[('CREATED', '2003-05-04 18:30 EDT'), ('martin_aeschlimann', '2003-05-05 04:22:22 EDT', 'dirk_baeumer'), ('RESOLVED', '2003-06-10 08:19:53 EDT', 'dirk_baeumer'), ('WORKSFORME', '2003-06-10 08:19:53 EDT', 'dirk_baeumer')]</t>
  </si>
  <si>
    <t>36761 (view as bug list)</t>
  </si>
  <si>
    <t>2003-05-05 06:37:07 EDT</t>
  </si>
  <si>
    <t>2009-08-30 02:36:24 EDT</t>
  </si>
  <si>
    <t>2003-05-05 05:47 EDT</t>
  </si>
  <si>
    <t>[('CREATED', '2003-05-05 05:47 EDT'), ('neil_buesing', '2003-05-05 06:36:14 EDT', 'dirk_baeumer'), ('adam_kiezun', '2003-05-05 06:37:07 EDT', 'dirk_baeumer'), ('RESOLVED', '2003-05-05 06:37:07 EDT', 'dirk_baeumer'), ('LATER', '2003-05-05 06:37:07 EDT', 'dirk_baeumer'), ('CLOSED', '2004-02-11 00:31:18 EST', 'sdavids'), ('WONTFIX', '2009-08-30 02:36:24 EDT', 'webmaster')]</t>
  </si>
  <si>
    <t>RESOLVED  DUPLICATE  of bug 33781</t>
  </si>
  <si>
    <t>2003-05-05 06:41:40 EDT</t>
  </si>
  <si>
    <t>2003-05-05 06:28 EDT</t>
  </si>
  <si>
    <t>[('CREATED', '2003-05-05 06:28 EDT'), ('RESOLVED', '2003-05-05 06:41:40 EDT', 'dirk_baeumer'), ('DUPLICATE', '2003-05-05 06:41:40 EDT', 'dirk_baeumer'), ('Refactoring "Convert Local Variable to Field" does not always recognize arrays [refactoring]', '2003-05-05 06:41:40 EDT', 'dirk_baeumer')]</t>
  </si>
  <si>
    <t>37811 (view as bug list)</t>
  </si>
  <si>
    <t>2004-05-18 06:17:20 EDT</t>
  </si>
  <si>
    <t>2003-05-19 08:22:52 EDT</t>
  </si>
  <si>
    <t>2003-05-05 10:53 EDT</t>
  </si>
  <si>
    <t>2003-05-05 10:54:29 EDT</t>
  </si>
  <si>
    <t>[('CREATED', '2003-05-05 10:53 EDT'), ('RESOLVED', '2003-05-05 10:54:29 EDT', 'dirk_baeumer'), ('LATER', '2003-05-05 10:54:29 EDT', 'dirk_baeumer'), ('erich_gamma', '2003-05-19 08:14:42 EDT', 'dirk_baeumer'), ('REOPENED', '2003-05-19 08:22:52 EDT', 'erich_gamma'), ('---', '2003-05-19 08:22:52 EDT', 'erich_gamma'), ('NEW', '2003-05-19 08:41:44 EDT', 'dirk_baeumer'), ('dirk_baeumer', '2003-05-19 08:41:44 EDT', 'dirk_baeumer'), ('RESOLVED', '2004-05-18 06:17:20 EDT', 'dirk_baeumer'), ('FIXED', '2004-05-18 06:17:20 EDT', 'dirk_baeumer'), ('3.0 M9', '2004-05-18 06:17:20 EDT', 'dirk_baeumer')]</t>
  </si>
  <si>
    <t>59903 84308 87339 (view as bug list)</t>
  </si>
  <si>
    <t>110336</t>
  </si>
  <si>
    <t>2005-12-06 05:52:42 EST</t>
  </si>
  <si>
    <t>2005-12-13 05:55:19 EST</t>
  </si>
  <si>
    <t>2005-09-30 05:43:21 EDT</t>
  </si>
  <si>
    <t>2003-05-05 10:58 EDT</t>
  </si>
  <si>
    <t>2003-05-05 10:58:44 EDT</t>
  </si>
  <si>
    <t>[('CREATED', '2003-05-05 10:58 EDT'), ('RESOLVED', '2003-05-05 10:58:44 EDT', 'dirk_baeumer'), ('LATER', '2003-05-05 10:58:44 EDT', 'dirk_baeumer'), ('cjwalton1', '2005-02-03 06:00:14 EST', 'dirk_baeumer'), ('eu', '2005-03-08 04:12:46 EST', 'dirk_baeumer'), ('david_fire4', '2005-03-09 08:59:22 EST', 'dirk_baeumer'), ('mlists', '2005-08-24 06:31:36 EDT', 'mlists'), ('markus_keller', '2005-09-30 05:43:21 EDT', 'markus.kell.r'), ('REOPENED', '2005-09-30 05:43:21 EDT', 'markus.kell.r'), ('---', '2005-09-30 05:43:21 EDT', 'markus.kell.r'), ('NEW', '2005-09-30 05:43:47 EDT', 'markus.kell.r'), ('3.2', '2005-09-30 05:43:47 EDT', 'markus.kell.r'), ('philip_mayer', '2005-09-30 05:43:47 EDT', 'markus.kell.r'), ('111215', '2005-09-30 10:53:52 EDT', 'markus.kell.r'), ('110336', '2005-09-30 11:05:59 EDT', 'markus.kell.r'), ('eclipse', '2005-11-01 06:48:07 EST', 'eclipse'), ('ed.burnette', '2005-11-29 20:40:07 EST', 'ed.burnette'), ('ASSIGNED', '2005-12-02 18:41:41 EST', 'eclipsetalk2'), ('RESOLVED', '2005-12-06 05:52:42 EST', 'markus.kell.r'), ('FIXED', '2005-12-06 05:52:42 EST', 'markus.kell.r'), ('3.2 M4', '2005-12-06 05:52:42 EST', 'markus.kell.r'), ('VERIFIED', '2005-12-13 05:55:19 EST', 'benno.baumgartner')]</t>
  </si>
  <si>
    <t>2003-05-06 10:55:04 EDT</t>
  </si>
  <si>
    <t>2009-08-30 02:39:50 EDT</t>
  </si>
  <si>
    <t>2003-05-06 10:50 EDT</t>
  </si>
  <si>
    <t>[('CREATED', '2003-05-06 10:50 EDT'), ('Renaming Type/Field/Method in the Outline View [refactoring]', '2003-05-06 10:55:04 EDT', 'dirk_baeumer'), ('RESOLVED', '2003-05-06 10:55:04 EDT', 'dirk_baeumer'), ('LATER', '2003-05-06 10:55:04 EDT', 'dirk_baeumer'), ('WONTFIX', '2009-08-30 02:39:50 EDT', 'webmaster')]</t>
  </si>
  <si>
    <t>2003-06-05 09:45:41 EDT</t>
  </si>
  <si>
    <t>2003-05-06 12:23 EDT</t>
  </si>
  <si>
    <t>2003-05-16 10:29:42 EDT</t>
  </si>
  <si>
    <t>[('CREATED', '2003-05-06 12:23 EDT'), ('1', '2003-05-16 10:29:42 EDT', 'rfaust'), ('1', '2003-05-19 10:38:44 EDT', 'rfaust'), ('1', '2003-05-19 11:51:45 EDT', 'rfaust'), ('1', '2003-05-19 11:56:32 EDT', 'rfaust'), ('1', '2003-05-19 12:18:29 EDT', 'rfaust'), ('1', '2003-05-23 10:19:59 EDT', 'rfaust'), ('1', '2003-05-23 10:20:00 EDT', 'rfaust'), ('RESOLVED', '2003-06-05 09:45:41 EDT', 'martinae'), ('FIXED', '2003-06-05 09:45:41 EDT', 'martinae'), ('3.0 M1', '2003-06-05 09:45:41 EDT', 'martinae')]</t>
  </si>
  <si>
    <t>2003-07-11 09:11:21 EDT</t>
  </si>
  <si>
    <t>2003-05-07 09:05 EDT</t>
  </si>
  <si>
    <t>2003-05-07 09:41:09 EDT</t>
  </si>
  <si>
    <t>[('CREATED', '2003-05-07 09:05 EDT'), ('jdt-ui-inbox', '2003-05-07 09:41:09 EDT', 'akiezun'), ('UI', '2003-05-07 09:41:09 EDT', 'akiezun'), ('adam_kiezun', '2003-05-07 09:43:09 EDT', 'akiezun'), ('Extract interface - Null pointer Exception [refactoring]', '2003-05-07 09:43:09 EDT', 'akiezun'), ('RESOLVED', '2003-07-11 09:11:21 EDT', 'akiezun'), ('INVALID', '2003-07-11 09:11:21 EDT', 'akiezun'), ('3.0 M2', '2003-07-11 09:11:21 EDT', 'akiezun')]</t>
  </si>
  <si>
    <t>2003-07-11 13:34:17 EDT</t>
  </si>
  <si>
    <t>2003-07-17 12:05:26 EDT</t>
  </si>
  <si>
    <t>2003-05-08 07:13 EDT</t>
  </si>
  <si>
    <t>2003-05-08 08:16:36 EDT</t>
  </si>
  <si>
    <t>[('CREATED', '2003-05-08 07:13 EDT'), ('Extract constant should propose name for String constants [refactoring]', '2003-05-08 08:16:36 EDT', 'dirk_baeumer'), ('adam_kiezun', '2003-05-08 08:16:36 EDT', 'dirk_baeumer'), ('P2', '2003-05-08 08:16:36 EDT', 'dirk_baeumer'), ('ASSIGNED', '2003-05-09 13:48:57 EDT', 'akiezun'), ('3.0 M3', '2003-06-06 12:35:12 EDT', 'akiezun'), ('RESOLVED', '2003-07-11 13:34:17 EDT', 'akiezun'), ('FIXED', '2003-07-11 13:34:17 EDT', 'akiezun'), ('3.0 M2', '2003-07-11 13:34:17 EDT', 'akiezun'), ('VERIFIED', '2003-07-17 12:05:26 EDT', 'akiezun')]</t>
  </si>
  <si>
    <t>2006-06-12 03:33:14 EDT</t>
  </si>
  <si>
    <t>2009-08-30 02:15:33 EDT</t>
  </si>
  <si>
    <t>2003-05-08 10:43 EDT</t>
  </si>
  <si>
    <t>2003-06-10 08:20:52 EDT</t>
  </si>
  <si>
    <t>[('CREATED', '2003-05-08 10:43 EDT'), ('martin_aeschlimann', '2003-06-10 08:20:52 EDT', 'dirk_baeumer'), ("would like a way to fix missing 'throws' clauses - until fixed point [quick fix]", '2003-06-10 08:20:52 EDT', 'dirk_baeumer'), ('jdt-ui-inbox', '2003-06-10 12:05:03 EDT', 'martinae'), ('ASSIGNED', '2003-07-13 09:28:19 EDT', 'dirk_baeumer'), ("would like a way to fix missing 'throws' clauses - until fixed point [refactoring]", '2003-07-13 09:28:19 EDT', 'dirk_baeumer'), ('RESOLVED', '2006-06-12 03:33:14 EDT', 'martinae'), ('LATER', '2006-06-12 03:33:14 EDT', 'martinae'), ("[refactoring] [dcr] would like a way to fix missing 'throws' clauses - until fixed point", '2006-06-12 03:33:14 EDT', 'martinae'), ('WONTFIX', '2009-08-30 02:15:33 EDT', 'denis.roy')]</t>
  </si>
  <si>
    <t>2003-05-14 13:06:32 EDT</t>
  </si>
  <si>
    <t>2003-05-08 14:24 EDT</t>
  </si>
  <si>
    <t>2003-05-09 04:38:23 EDT</t>
  </si>
  <si>
    <t>[('CREATED', '2003-05-08 14:24 EDT'), ('martin_aeschlimann', '2003-05-09 04:38:23 EDT', 'dirk_baeumer'), ('Comment templates should check that single line comments end with a line break [code manipulation]', '2003-05-09 04:38:23 EDT', 'dirk_baeumer'), ('dirk_baeumer', '2003-05-09 04:38:32 EDT', 'dirk_baeumer'), ('adam_kiezun', '2003-05-13 05:08:50 EDT', 'martinae'), ('RESOLVED', '2003-05-14 13:06:32 EDT', 'akiezun'), ('FIXED', '2003-05-14 13:06:32 EDT', 'akiezun')]</t>
  </si>
  <si>
    <t>2004-01-12 04:38:17 EST</t>
  </si>
  <si>
    <t>2003-05-09 11:39 EDT</t>
  </si>
  <si>
    <t>2003-05-09 11:39:59 EDT</t>
  </si>
  <si>
    <t>[('CREATED', '2003-05-09 11:39 EDT'), ('enhancement', '2003-05-09 11:39:59 EDT', 'akiezun'), ('martin_aeschlimann', '2003-05-09 13:06:31 EDT', 'dirk_baeumer'), ('quick assist: invert equals() [quick assist]', '2003-05-09 13:06:31 EDT', 'dirk_baeumer'), ('sdavids', '2004-01-08 03:46:48 EST', 'sdavids'), ('1', '2004-01-08 11:32:01 EST', 'sdavids'), ('1', '2004-01-08 21:25:15 EST', 'sdavids'), ('RESOLVED', '2004-01-12 04:38:17 EST', 'martinae'), ('FIXED', '2004-01-12 04:38:17 EST', 'martinae'), ('3.0 M7', '2004-01-12 04:38:17 EST', 'martinae')]</t>
  </si>
  <si>
    <t>2004-05-30 09:14:01 EDT</t>
  </si>
  <si>
    <t>2009-08-30 02:39:52 EDT</t>
  </si>
  <si>
    <t>2003-05-09 22:49 EDT</t>
  </si>
  <si>
    <t>2003-05-12 05:10:21 EDT</t>
  </si>
  <si>
    <t>[('CREATED', '2003-05-09 22:49 EDT'), ('jdt-ui-inbox', '2003-05-12 05:10:21 EDT', 'akiezun'), ('UI', '2003-05-12 05:10:21 EDT', 'akiezun'), ('refactor change method signature [refactoring]', '2003-05-12 06:31:00 EDT', 'dirk_baeumer'), ('adam_kiezun', '2003-05-12 07:20:36 EDT', 'akiezun'), ('adam_kiezun', '2003-05-13 08:01:36 EDT', 'akiezun'), ('enhancement', '2003-05-13 08:01:36 EDT', 'akiezun'), ('P4', '2003-05-13 08:01:36 EDT', 'akiezun'), ('jdt-ui-inbox', '2004-05-28 15:11:04 EDT', 'akiezun'), ('RESOLVED', '2004-05-30 09:14:01 EDT', 'dirk_baeumer'), ('P5', '2004-05-30 09:14:01 EDT', 'dirk_baeumer'), ('LATER', '2004-05-30 09:14:01 EDT', 'dirk_baeumer'), ('WONTFIX', '2009-08-30 02:39:52 EDT', 'webmaster')]</t>
  </si>
  <si>
    <t>RESOLVED  DUPLICATE  of bug 133277</t>
  </si>
  <si>
    <t>2007-04-04 11:35:10 EDT</t>
  </si>
  <si>
    <t>2007-04-04 11:34:07 EDT</t>
  </si>
  <si>
    <t>2003-05-10 13:47 EDT</t>
  </si>
  <si>
    <t>2003-05-12 06:36:11 EDT</t>
  </si>
  <si>
    <t>[('CREATED', '2003-05-10 13:47 EDT'), ('jdt-ui-inbox', '2003-05-12 06:36:11 EDT', 'philippe_mulet'), ('UI', '2003-05-12 06:36:11 EDT', 'philippe_mulet'), ('martin_aeschlimann', '2003-05-12 08:37:52 EDT', 'dirk_baeumer'), ('Enable Types/Source/Sort Members when &gt;1 type is selected. [code manipulation]', '2003-05-12 08:37:52 EDT', 'dirk_baeumer'), ('rfaust', '2003-06-03 09:56:33 EDT', 'rfaust'), ('RESOLVED', '2003-08-06 12:18:56 EDT', 'martinae'), ('LATER', '2003-08-06 12:18:56 EDT', 'martinae'), ('REOPENED', '2007-04-04 11:34:07 EDT', 'benno.baumgartner'), ('---', '2007-04-04 11:34:07 EDT', 'benno.baumgartner'), ('DUPLICATE', '2007-04-04 11:35:10 EDT', 'benno.baumgartner'), ('RESOLVED', '2007-04-04 11:35:10 EDT', 'benno.baumgartner')]</t>
  </si>
  <si>
    <t>82166</t>
  </si>
  <si>
    <t>2005-06-01 09:05:44 EDT</t>
  </si>
  <si>
    <t>2009-08-30 02:35:22 EDT</t>
  </si>
  <si>
    <t>2003-05-14 04:00:42 EDT</t>
  </si>
  <si>
    <t>2003-05-10 19:47 EDT</t>
  </si>
  <si>
    <t>2003-05-12 04:55:19 EDT</t>
  </si>
  <si>
    <t>[('CREATED', '2003-05-10 19:47 EDT'), ('martin_aeschlimann', '2003-05-12 04:55:19 EDT', 'dirk_baeumer'), ('Generated code contains illegal import [quick fix] [code manipulation]', '2003-05-12 04:55:19 EDT', 'dirk_baeumer'), ('RESOLVED', '2003-05-13 04:11:22 EDT', 'martinae'), ('LATER', '2003-05-13 04:11:22 EDT', 'martinae'), ('REOPENED', '2003-05-14 04:00:42 EDT', 'martinae'), ('---', '2003-05-14 04:00:42 EDT', 'martinae'), ('LATER', '2005-06-01 09:05:44 EDT', 'martinae'), ('82166', '2005-06-01 09:05:44 EDT', 'martinae'), ('RESOLVED', '2005-06-01 09:05:44 EDT', 'martinae'), ('WONTFIX', '2009-08-30 02:35:22 EDT', 'webmaster'), ('jdt-ui-inbox', '2009-08-30 02:35:22 EDT', 'webmaster')]</t>
  </si>
  <si>
    <t>38227 (view as bug list)</t>
  </si>
  <si>
    <t>2003-07-21 12:03:15 EDT</t>
  </si>
  <si>
    <t>2003-05-13 05:29 EDT</t>
  </si>
  <si>
    <t>2003-05-13 05:35:25 EDT</t>
  </si>
  <si>
    <t>[('CREATED', '2003-05-13 05:29 EDT'), ('jdt-ui-inbox', '2003-05-13 05:35:25 EDT', 'akiezun'), ('enhancement', '2003-05-13 05:35:25 EDT', 'akiezun'), ('UI', '2003-05-13 05:35:25 EDT', 'akiezun'), ('adam_kiezun', '2003-05-13 05:36:49 EDT', 'akiezun'), ('Refactor &gt; Convert nested type to top level unnecessarily writes in reference to enclosing instance [refactoring]', '2003-05-13 05:36:49 EDT', 'akiezun'), ('wege', '2003-06-05 19:12:20 EDT', 'akiezun'), ('ASSIGNED', '2003-06-06 12:38:27 EDT', 'akiezun'), ('3.0 M3', '2003-06-06 12:38:27 EDT', 'akiezun'), ('RESOLVED', '2003-07-21 12:03:15 EDT', 'akiezun'), ('FIXED', '2003-07-21 12:03:15 EDT', 'akiezun')]</t>
  </si>
  <si>
    <t>2003-06-06 09:31:59 EDT</t>
  </si>
  <si>
    <t>2003-05-13 08:18 EDT</t>
  </si>
  <si>
    <t>2003-05-13 08:33:03 EDT</t>
  </si>
  <si>
    <t>[('CREATED', '2003-05-13 08:18 EDT'), ('adam_kiezun', '2003-05-13 08:33:03 EDT', 'akiezun'), ('P2', '2003-06-05 18:56:36 EDT', 'akiezun'), ('ASSIGNED', '2003-06-05 19:06:48 EDT', 'akiezun'), ('3.0 M2', '2003-06-05 19:06:48 EDT', 'akiezun'), ('RESOLVED', '2003-06-06 09:31:59 EDT', 'akiezun'), ('WORKSFORME', '2003-06-06 09:31:59 EDT', 'akiezun')]</t>
  </si>
  <si>
    <t>2003-05-19 05:42:32 EDT</t>
  </si>
  <si>
    <t>2003-06-03 10:12:56 EDT</t>
  </si>
  <si>
    <t>2003-05-13 16:21 EDT</t>
  </si>
  <si>
    <t>2003-05-14 05:24:21 EDT</t>
  </si>
  <si>
    <t>[('CREATED', '2003-05-13 16:21 EDT'), ('jdt-ui-inbox', '2003-05-14 05:24:21 EDT', 'akiezun'), ('UI', '2003-05-14 05:24:21 EDT', 'akiezun'), ('Cannot rename a Java Project referenced by a Simple Project [refactoring]', '2003-05-14 05:24:21 EDT', 'akiezun'), ('adam_kiezun', '2003-05-14 05:59:34 EDT', 'akiezun'), ('ASSIGNED', '2003-05-14 11:56:06 EDT', 'akiezun'), ('dirk_baeumer', '2003-05-14 12:02:30 EDT', 'akiezun'), ('2.1.1', '2003-05-19 05:29:25 EDT', 'akiezun'), ('FIXED', '2003-05-19 05:42:32 EDT', 'akiezun'), ('RESOLVED', '2003-05-19 05:42:32 EDT', 'akiezun'), ('VERIFIED', '2003-06-03 10:12:56 EDT', 'akiezun')]</t>
  </si>
  <si>
    <t>2003-05-14 13:24:27 EDT</t>
  </si>
  <si>
    <t>2003-05-13 17:18 EDT</t>
  </si>
  <si>
    <t>2003-05-14 02:23:44 EDT</t>
  </si>
  <si>
    <t>[('CREATED', '2003-05-13 17:18 EDT'), ('adam_kiezun', '2003-05-14 02:23:44 EDT', 'dirk_baeumer'), ('P2', '2003-05-14 02:23:44 EDT', 'dirk_baeumer'), ('Refactor fails, leaves errors in code, if done after format [refactoring]', '2003-05-14 02:23:44 EDT', 'dirk_baeumer'), ('ASSIGNED', '2003-05-14 12:32:12 EDT', 'akiezun'), ('adam_kiezun', '2003-05-14 12:45:20 EDT', 'akiezun'), ('martin_aeschlimann', '2003-05-14 12:45:20 EDT', 'akiezun'), ('NEW', '2003-05-14 12:45:20 EDT', 'akiezun'), ('RESOLVED', '2003-05-14 13:24:27 EDT', 'martinae'), ('FIXED', '2003-05-14 13:24:27 EDT', 'martinae')]</t>
  </si>
  <si>
    <t>338341 348704 (view as bug list)</t>
  </si>
  <si>
    <t>2003-05-14 02:21:39 EDT</t>
  </si>
  <si>
    <t>2009-08-30 02:36:35 EDT</t>
  </si>
  <si>
    <t>2011-01-28 08:19:22 EST</t>
  </si>
  <si>
    <t>2003-05-13 18:29 EDT</t>
  </si>
  <si>
    <t>2011-06-09 06:43:16 EDT</t>
  </si>
  <si>
    <t>[('CREATED', '2003-05-13 18:29 EDT'), ('RESOLVED', '2003-05-14 02:21:39 EDT', 'dirk_baeumer'), ('helpwanted', '2003-05-14 02:21:39 EDT', 'dirk_baeumer'), ('LATER', '2003-05-14 02:21:39 EDT', 'dirk_baeumer'), ('refactoring into nested class [refactoring]', '2003-05-14 02:21:59 EDT', 'dirk_baeumer'), ('WONTFIX', '2009-08-30 02:36:35 EDT', 'webmaster'), ('thsoft', '2011-01-28 07:58:34 EST', 'thsoft'), ('markus_keller', '2011-01-28 08:19:22 EST', 'markus.kell.r'), ('---', '2011-01-28 08:19:22 EST', 'markus.kell.r'), ('[reorg] Move refactoring should allow moving into nested class', '2011-01-28 08:19:22 EST', 'markus.kell.r'), ('P4', '2011-01-28 08:19:22 EST', 'markus.kell.r'), ('REOPENED', '2011-01-28 08:19:22 EST', 'markus.kell.r'), ('ASSIGNED', '2011-01-28 08:19:33 EST', 'markus.kell.r'), ('albzey+eclipsebugs', '2011-02-28 09:25:04 EST', 'markus.kell.r'), ('nikolaymetchev', '2011-06-09 06:43:16 EDT', 'markus.kell.r')]</t>
  </si>
  <si>
    <t>2003-05-16 05:44:17 EDT</t>
  </si>
  <si>
    <t>2009-08-30 02:20:58 EDT</t>
  </si>
  <si>
    <t>2003-05-13 19:19 EDT</t>
  </si>
  <si>
    <t>2003-05-14 05:23:31 EDT</t>
  </si>
  <si>
    <t>[('CREATED', '2003-05-13 19:19 EDT'), ('jdt-ui-inbox', '2003-05-14 05:23:31 EDT', 'akiezun'), ('UI', '2003-05-14 05:23:31 EDT', 'akiezun'), ('Rename published method refactoring [refactoring]', '2003-05-15 17:47:20 EDT', 'dirk_baeumer'), ('adam_kiezun', '2003-05-15 17:47:20 EDT', 'dirk_baeumer'), ('ASSIGNED', '2003-05-15 17:47:20 EDT', 'dirk_baeumer'), ('RESOLVED', '2003-05-16 05:44:17 EDT', 'akiezun'), ('helpwanted', '2003-05-16 05:44:17 EDT', 'akiezun'), ('LATER', '2003-05-16 05:44:17 EDT', 'akiezun'), ('WONTFIX', '2009-08-30 02:20:58 EDT', 'denis.roy')]</t>
  </si>
  <si>
    <t>2003-07-13 13:17:01 EDT</t>
  </si>
  <si>
    <t>2003-05-14 07:16 EDT</t>
  </si>
  <si>
    <t>2003-05-17 12:51:29 EDT</t>
  </si>
  <si>
    <t>[('CREATED', '2003-05-14 07:16 EDT'), ('mtaylor', '2003-05-17 12:51:29 EDT', 'mtaylor'), ('dirk_baeumer', '2003-05-28 12:28:42 EDT', 'dirk_baeumer'), ('assertion failed in SurroundWithTryCatchRefactoring [refactoring]', '2003-05-28 12:28:42 EDT', 'dirk_baeumer'), ('RESOLVED', '2003-07-13 13:17:01 EDT', 'dirk_baeumer'), ('FIXED', '2003-07-13 13:17:01 EDT', 'dirk_baeumer'), ('3.0 M2', '2003-07-13 13:17:01 EDT', 'dirk_baeumer')]</t>
  </si>
  <si>
    <t>2003-06-10 08:25:15 EDT</t>
  </si>
  <si>
    <t>2003-05-14 07:38 EDT</t>
  </si>
  <si>
    <t>[('CREATED', '2003-05-14 07:38 EDT'), ('RESOLVED', '2003-06-10 08:25:15 EDT', 'dirk_baeumer'), ('WORKSFORME', '2003-06-10 08:25:15 EDT', 'dirk_baeumer'), ('Refactoring "Extract method" should recognize "local" variables [refactoring]', '2003-06-10 08:25:15 EDT', 'dirk_baeumer')]</t>
  </si>
  <si>
    <t>37641 42935 (view as bug list)</t>
  </si>
  <si>
    <t>2003-06-11 13:04:03 EDT</t>
  </si>
  <si>
    <t>2003-07-17 10:04:00 EDT</t>
  </si>
  <si>
    <t>2003-05-15 07:55 EDT</t>
  </si>
  <si>
    <t>2003-05-16 05:21:19 EDT</t>
  </si>
  <si>
    <t>2003-09-11 10:57:33 EDT</t>
  </si>
  <si>
    <t>[('CREATED', '2003-05-15 07:55 EDT'), ('dirk_baeumer', '2003-05-16 05:21:19 EDT', 'dirk_baeumer'), ('P2', '2003-05-16 05:21:19 EDT', 'dirk_baeumer'), ('3.0', '2003-05-16 05:21:19 EDT', 'dirk_baeumer'), ('kenny', '2003-06-11 07:36:06 EDT', 'kenny'), ('RESOLVED', '2003-06-11 13:04:03 EDT', 'dirk_baeumer'), ('FIXED', '2003-06-11 13:04:03 EDT', 'dirk_baeumer'), ('3.0 M2', '2003-06-11 13:04:03 EDT', 'dirk_baeumer'), ('VERIFIED', '2003-07-17 10:04:00 EDT', 'akiezun'), ('schweitz', '2003-09-11 10:57:33 EDT', 'dirk_baeumer')]</t>
  </si>
  <si>
    <t>RESOLVED  DUPLICATE  of bug 37640</t>
  </si>
  <si>
    <t>2003-05-15 07:56:20 EDT</t>
  </si>
  <si>
    <t>[('CREATED', '2003-05-15 07:55 EDT'), ('RESOLVED', '2003-05-15 07:56:20 EDT', 'akiezun'), ('DUPLICATE', '2003-05-15 07:56:20 EDT', 'akiezun')]</t>
  </si>
  <si>
    <t>2003-09-09 05:31:54 EDT</t>
  </si>
  <si>
    <t>2003-10-08 06:39:01 EDT</t>
  </si>
  <si>
    <t>2003-05-16 08:38 EDT</t>
  </si>
  <si>
    <t>2003-05-16 09:37:28 EDT</t>
  </si>
  <si>
    <t>[('CREATED', '2003-05-16 08:38 EDT'), ('adam_kiezun', '2003-05-16 09:37:28 EDT', 'dirk_baeumer'), ('P2', '2003-05-16 09:37:28 EDT', 'dirk_baeumer'), ('Move static method refactoring should help with called methods [refactoring]', '2003-05-16 09:37:28 EDT', 'dirk_baeumer'), ('3.0', '2003-05-16 09:37:28 EDT', 'dirk_baeumer'), ('mariano.kamp', '2003-07-13 06:11:26 EDT', 'mariano.kamp'), ('adam_kiezun', '2003-07-14 13:11:53 EDT', 'akiezun'), ('markus_keller', '2003-07-14 13:11:53 EDT', 'akiezun'), ('dirk_baeumer', '2003-08-29 06:11:56 EDT', 'markus.kell.r'), ('1', '2003-09-03 09:47:18 EDT', 'markus.kell.r'), ('1', '2003-09-03 09:49:20 EDT', 'markus.kell.r'), (nan, '2003-09-03 15:08:19 EDT', 'mariano.kamp'), ('RESOLVED', '2003-09-09 05:31:54 EDT', 'dirk_baeumer'), ('FIXED', '2003-09-09 05:31:54 EDT', 'dirk_baeumer'), ('3.0 M4', '2003-10-07 09:16:36 EDT', 'markus.kell.r'), ('VERIFIED', '2003-10-08 06:39:01 EDT', 'daniel_megert')]</t>
  </si>
  <si>
    <t>37764 (view as bug list)</t>
  </si>
  <si>
    <t>2004-03-18 15:11:41 EST</t>
  </si>
  <si>
    <t>2003-05-16 09:31 EDT</t>
  </si>
  <si>
    <t>2003-05-16 09:40:50 EDT</t>
  </si>
  <si>
    <t>[('CREATED', '2003-05-16 09:31 EDT'), ('adam_kiezun', '2003-05-16 09:40:50 EDT', 'dirk_baeumer'), ("Reorg: doesn't support to move an internal JAR [refactoring]", '2003-05-16 09:40:50 EDT', 'dirk_baeumer'), ('enhancement', '2003-06-05 18:55:24 EDT', 'akiezun'), ('ASSIGNED', '2003-07-11 09:24:28 EDT', 'akiezun'), ('3.0 M3', '2003-07-11 09:24:28 EDT', 'akiezun'), ('3.0', '2003-08-22 09:01:06 EDT', 'akiezun'), ('akiezun', '2003-11-10 18:59:08 EST', 'akiezun'), ('jdt-ui-inbox', '2003-11-10 18:59:08 EST', 'akiezun'), ('NEW', '2003-11-10 18:59:08 EST', 'akiezun'), ('---', '2003-11-10 18:59:08 EST', 'akiezun'), ('markus_keller', '2003-11-18 06:27:26 EST', 'dirk_baeumer'), ("Reorg: doesn't support to move an internal JAR [refactoring] [ccp] [dnd]", '2003-11-18 06:27:26 EST', 'dirk_baeumer'), ('3.0 M6', '2003-11-18 06:27:26 EST', 'dirk_baeumer'), ('3.0 M7', '2003-12-12 13:53:48 EST', 'markus.kell.r'), ('3.0 M8', '2004-01-30 15:33:36 EST', 'markus.kell.r'), ('RESOLVED', '2004-03-18 15:11:41 EST', 'markus.kell.r'), ('FIXED', '2004-03-18 15:11:41 EST', 'markus.kell.r')]</t>
  </si>
  <si>
    <t>2003-06-10 07:05:13 EDT</t>
  </si>
  <si>
    <t>2009-08-30 02:38:57 EDT</t>
  </si>
  <si>
    <t>2003-05-16 18:10 EDT</t>
  </si>
  <si>
    <t>2003-05-19 05:05:18 EDT</t>
  </si>
  <si>
    <t>[('CREATED', '2003-05-16 18:10 EDT'), ('adam_kiezun', '2003-05-19 05:05:18 EDT', 'akiezun'), ('RESOLVED', '2003-06-10 07:05:13 EDT', 'dirk_baeumer'), ('LATER', '2003-06-10 07:05:13 EDT', 'dirk_baeumer'), ('Refactoring "Inline method" should do simple constant folding [refactoring]', '2003-06-10 07:05:13 EDT', 'dirk_baeumer'), ('WONTFIX', '2009-08-30 02:38:57 EDT', 'webmaster')]</t>
  </si>
  <si>
    <t>2003-05-19 08:12:37 EDT</t>
  </si>
  <si>
    <t>2009-08-30 02:41:32 EDT</t>
  </si>
  <si>
    <t>2003-05-17 14:42 EDT</t>
  </si>
  <si>
    <t>2003-05-19 05:10:44 EDT</t>
  </si>
  <si>
    <t>[('CREATED', '2003-05-17 14:42 EDT'), ('UI', '2003-05-19 05:10:44 EDT', 'akiezun'), ('adam_kiezun', '2003-05-19 05:10:44 EDT', 'akiezun'), ('jdt-ui-inbox', '2003-05-19 05:10:44 EDT', 'akiezun'), ('RESOLVED', '2003-05-19 08:12:37 EDT', 'dirk_baeumer'), ('helpwanted', '2003-05-19 08:12:37 EDT', 'dirk_baeumer'), ('LATER', '2003-05-19 08:12:37 EDT', 'dirk_baeumer'), ('"put class in own file" refactoring [refactoring]', '2003-05-19 08:12:37 EDT', 'dirk_baeumer'), ('WONTFIX', '2009-08-30 02:41:32 EDT', 'webmaster')]</t>
  </si>
  <si>
    <t>2003-08-12 14:12:43 EDT</t>
  </si>
  <si>
    <t>2003-05-18 05:39 EDT</t>
  </si>
  <si>
    <t>2003-05-19 05:11:33 EDT</t>
  </si>
  <si>
    <t>[('CREATED', '2003-05-18 05:39 EDT'), ('adam_kiezun', '2003-05-19 05:11:33 EDT', 'akiezun'), ('jdt-ui-inbox', '2003-05-19 05:11:33 EDT', 'akiezun'), ('UI', '2003-05-19 05:11:33 EDT', 'akiezun'), ('adam_kiezun', '2003-05-19 05:12:17 EDT', 'akiezun'), ('3.0 M3', '2003-08-05 06:16:52 EDT', 'dirk_baeumer'), ('RESOLVED', '2003-08-12 14:12:43 EDT', 'akiezun'), ('FIXED', '2003-08-12 14:12:43 EDT', 'akiezun')]</t>
  </si>
  <si>
    <t>RESOLVED  DUPLICATE  of bug 37218</t>
  </si>
  <si>
    <t>2003-05-19 08:14:42 EDT</t>
  </si>
  <si>
    <t>2003-05-19 05:28 EDT</t>
  </si>
  <si>
    <t>2003-05-19 05:36:31 EDT</t>
  </si>
  <si>
    <t>[('CREATED', '2003-05-19 05:28 EDT'), ('adam_kiezun', '2003-05-19 05:36:31 EDT', 'akiezun'), ('RESOLVED', '2003-05-19 08:14:42 EDT', 'dirk_baeumer'), ('DUPLICATE', '2003-05-19 08:14:42 EDT', 'dirk_baeumer')]</t>
  </si>
  <si>
    <t>2004-04-23 03:49:42 EDT</t>
  </si>
  <si>
    <t>2009-08-30 02:19:48 EDT</t>
  </si>
  <si>
    <t>2003-05-19 08:32 EDT</t>
  </si>
  <si>
    <t>2003-05-19 09:38:19 EDT</t>
  </si>
  <si>
    <t>[('CREATED', '2003-05-19 08:32 EDT'), ('martin_aeschlimann', '2003-05-19 09:38:19 EDT', 'dirk_baeumer'), ('ASSIGNED', '2003-05-19 09:38:19 EDT', 'dirk_baeumer'), ('source actions should use the refactoring framework [refactoring] [code manipulation]', '2003-05-19 09:38:19 EDT', 'dirk_baeumer'), ('randy_faust', '2004-04-22 14:23:58 EDT', 'rfaust'), ('RESOLVED', '2004-04-23 03:49:42 EDT', 'martinae'), ('LATER', '2004-04-23 03:49:42 EDT', 'martinae'), ('WONTFIX', '2009-08-30 02:19:48 EDT', 'denis.roy')]</t>
  </si>
  <si>
    <t>2003-05-19 10:08:25 EDT</t>
  </si>
  <si>
    <t>2009-08-30 02:15:05 EDT</t>
  </si>
  <si>
    <t>2003-05-19 08:47 EDT</t>
  </si>
  <si>
    <t>2003-05-19 08:53:12 EDT</t>
  </si>
  <si>
    <t>[('CREATED', '2003-05-19 08:47 EDT'), ('adam_kiezun', '2003-05-19 08:53:12 EDT', 'akiezun'), ('enhancement', '2003-05-19 08:53:12 EDT', 'akiezun'), ('LATER', '2003-05-19 10:08:25 EDT', 'dirk_baeumer'), ('Cannot move instance method to the type of a local variable [refactoring]', '2003-05-19 10:08:25 EDT', 'dirk_baeumer'), ('RESOLVED', '2003-05-19 10:08:25 EDT', 'dirk_baeumer'), ('WONTFIX', '2009-08-30 02:15:05 EDT', 'denis.roy')]</t>
  </si>
  <si>
    <t>80353 (view as bug list)</t>
  </si>
  <si>
    <t>2006-06-15 05:47:41 EDT</t>
  </si>
  <si>
    <t>2009-08-30 02:34:43 EDT</t>
  </si>
  <si>
    <t>2003-05-19 08:54 EDT</t>
  </si>
  <si>
    <t>2003-05-19 10:33:54 EDT</t>
  </si>
  <si>
    <t>[('CREATED', '2003-05-19 08:54 EDT'), ('ASSIGNED', '2003-05-19 10:33:54 EDT', 'dirk_baeumer'), ('refactor &gt; copy [refactoring]', '2003-07-18 05:35:17 EDT', 'dirk_baeumer'), ('eclipse', '2004-12-07 11:37:04 EST', 'daniel_megert'), ('RESOLVED', '2006-06-15 05:47:41 EDT', 'martinae'), ('LATER', '2006-06-15 05:47:41 EDT', 'martinae'), ('[refactoring] [dcr] refactor &gt; copy', '2006-06-15 05:47:41 EDT', 'martinae'), ('WONTFIX', '2009-08-30 02:34:43 EDT', 'webmaster')]</t>
  </si>
  <si>
    <t>2004-09-09 03:24:50 EDT</t>
  </si>
  <si>
    <t>2003-05-19 09:32 EDT</t>
  </si>
  <si>
    <t>2003-05-19 10:16:01 EDT</t>
  </si>
  <si>
    <t>[('CREATED', '2003-05-19 09:32 EDT'), ('enhancement', '2003-05-19 10:16:01 EDT', 'dirk_baeumer'), ('ASSIGNED', '2003-05-19 10:16:01 EDT', 'dirk_baeumer'), ('quick assist: more help in constructors [quick assist]', '2003-05-19 10:16:01 EDT', 'dirk_baeumer'), ('tom_eicher', '2003-05-20 11:14:36 EDT', 'eclipse'), ('rfaust', '2003-05-20 11:21:12 EDT', 'rfaust'), ('martin_aeschlimann', '2003-05-20 11:21:36 EDT', 'rfaust'), ('paul.smith', '2003-09-16 19:08:20 EDT', 'psmith'), ('sandipchitale', '2004-09-08 12:36:14 EDT', 'sandipchitale'), ('RESOLVED', '2004-09-09 03:24:50 EDT', 'martinae'), ('FIXED', '2004-09-09 03:24:50 EDT', 'martinae'), ('3.0', '2004-09-09 03:24:50 EDT', 'martinae')]</t>
  </si>
  <si>
    <t>2003-07-21 06:57:10 EDT</t>
  </si>
  <si>
    <t>2003-05-19 11:48 EDT</t>
  </si>
  <si>
    <t>2003-05-19 12:53:44 EDT</t>
  </si>
  <si>
    <t>[('CREATED', '2003-05-19 11:48 EDT'), ('adam_kiezun', '2003-05-19 12:53:44 EDT', 'dirk_baeumer'), ('extract temp: name guessing improvement [refactoring]', '2003-05-19 12:53:44 EDT', 'dirk_baeumer'), ('ASSIGNED', '2003-06-05 19:07:49 EDT', 'akiezun'), ('3.0', '2003-06-05 19:07:49 EDT', 'akiezun'), ('P4', '2003-06-06 12:43:13 EDT', 'akiezun'), ('3.0 M3', '2003-06-06 12:43:13 EDT', 'akiezun'), ('RESOLVED', '2003-07-21 06:57:10 EDT', 'akiezun'), ('FIXED', '2003-07-21 06:57:10 EDT', 'akiezun')]</t>
  </si>
  <si>
    <t>2003-08-11 12:12:00 EDT</t>
  </si>
  <si>
    <t>2003-05-19 11:54 EDT</t>
  </si>
  <si>
    <t>2003-05-19 12:01:52 EDT</t>
  </si>
  <si>
    <t>[('CREATED', '2003-05-19 11:54 EDT'), ('adam_kiezun', '2003-05-19 12:01:52 EDT', 'akiezun'), ('adam_kiezun', '2003-05-19 13:15:13 EDT', 'dirk_baeumer'), ('Push down: Forces me to select a method [refactoring]', '2003-05-19 13:15:13 EDT', 'dirk_baeumer'), ('3.0', '2003-05-19 13:15:13 EDT', 'dirk_baeumer'), ('mariano.kamp', '2003-07-13 06:11:56 EDT', 'mariano.kamp'), ('ASSIGNED', '2003-07-14 06:26:25 EDT', 'akiezun'), ('3.0 M3', '2003-07-14 06:26:25 EDT', 'akiezun'), ('RESOLVED', '2003-08-11 12:12:00 EDT', 'akiezun'), ('FIXED', '2003-08-11 12:12:00 EDT', 'akiezun')]</t>
  </si>
  <si>
    <t>2008-08-11 13:04:46 EDT</t>
  </si>
  <si>
    <t>2003-05-19 12:36 EDT</t>
  </si>
  <si>
    <t>2003-05-19 13:17:40 EDT</t>
  </si>
  <si>
    <t>[('CREATED', '2003-05-19 12:36 EDT'), ('dirk_baeumer', '2003-05-19 13:17:40 EDT', 'dirk_baeumer'), ('inline method: wizard does not indicate which method will be inlined [refactoring]', '2003-05-19 13:17:40 EDT', 'dirk_baeumer'), ('enhancement', '2006-01-04 05:07:43 EST', 'dirk_baeumer'), ('P4', '2006-01-04 05:07:52 EST', 'dirk_baeumer'), ('markus_keller', '2006-06-02 05:45:29 EDT', 'martinae'), ('[inline] wizard does not indicate which method will be inlined [refactoring]', '2006-06-02 05:45:29 EDT', 'martinae'), ('daniel_megert', '2008-08-11 06:02:59 EDT', 'daniel_megert'), ('RESOLVED', '2008-08-11 13:04:46 EDT', 'markus.kell.r'), ('FIXED', '2008-08-11 13:04:46 EDT', 'markus.kell.r'), ('3.5 M2', '2008-08-11 13:04:46 EDT', 'markus.kell.r')]</t>
  </si>
  <si>
    <t>34886 37901 (view as bug list)</t>
  </si>
  <si>
    <t>2004-03-05 04:13:53 EST</t>
  </si>
  <si>
    <t>2003-05-20 03:41 EDT</t>
  </si>
  <si>
    <t>2003-05-20 04:08:06 EDT</t>
  </si>
  <si>
    <t>[('CREATED', '2003-05-20 03:41 EDT'), ('dirk_baeumer', '2003-05-20 04:08:06 EDT', 'dirk_baeumer'), ('jdt-core-inbox', '2003-05-20 04:08:06 EDT', 'dirk_baeumer'), ('Core', '2003-05-20 04:08:06 EDT', 'dirk_baeumer'), ('jdt-ui-inbox', '2003-05-20 05:12:44 EDT', 'philippe_mulet'), ('UI', '2003-05-20 05:12:44 EDT', 'philippe_mulet'), ('philippe_mulet', '2003-05-20 16:31:07 EDT', 'Olivier_Thomann'), ('pbkwee', '2003-05-21 08:45:36 EDT', 'dirk_baeumer'), ('olivier_thomann', '2003-05-21 15:04:55 EDT', 'Olivier_Thomann'), ('luke.sleeman', '2003-05-25 12:23:10 EDT', 'dirk_baeumer'), ('jdt-core-inbox', '2003-05-27 05:11:37 EDT', 'dirk_baeumer'), ('Core', '2003-05-27 05:11:37 EDT', 'dirk_baeumer'), ('3.0', '2003-05-27 05:11:37 EDT', 'dirk_baeumer'), ('31432', '2003-07-14 18:04:34 EDT', 'olgeni'), ('jdt-ui-inbox', '2004-03-04 09:55:02 EST', 'jerome_lanneluc'), ('UI', '2004-03-04 09:55:02 EST', 'jerome_lanneluc'), ('RESOLVED', '2004-03-05 04:13:53 EST', 'martinae'), ('FIXED', '2004-03-05 04:13:53 EST', 'martinae')]</t>
  </si>
  <si>
    <t>2007-06-25 09:29:00 EDT</t>
  </si>
  <si>
    <t>2003-05-20 06:56 EDT</t>
  </si>
  <si>
    <t>2003-05-20 08:37:01 EDT</t>
  </si>
  <si>
    <t>[('CREATED', '2003-05-20 06:56 EDT'), ('martin_aeschlimann', '2003-05-20 08:37:01 EDT', 'dirk_baeumer'), ('ASSIGNED', '2003-05-20 08:37:01 EDT', 'dirk_baeumer'), ('Make Local Rename more powerful: Local Rename + Refactoring [refactoring] [quick assist]', '2003-05-20 08:37:01 EDT', 'dirk_baeumer'), ('[rename] Make Local Rename more powerful: Local Rename + Refactoring', '2006-06-12 03:22:54 EDT', 'martinae'), ('RESOLVED', '2007-06-25 09:29:00 EDT', 'martinae'), ('WORKSFORME', '2007-06-25 09:29:00 EDT', 'martinae')]</t>
  </si>
  <si>
    <t>563285</t>
  </si>
  <si>
    <t>2020-04-27 10:56:23 EDT</t>
  </si>
  <si>
    <t>2020-05-23 02:12:39 EDT</t>
  </si>
  <si>
    <t>2020-04-08 12:29:25 EDT</t>
  </si>
  <si>
    <t>2003-05-20 11:43 EDT</t>
  </si>
  <si>
    <t>2003-05-20 11:45:32 EDT</t>
  </si>
  <si>
    <t>kenneth</t>
  </si>
  <si>
    <t>[('CREATED', '2003-05-20 11:43 EDT'), ('quick fix: add a constructor parameter', '2003-05-20 11:45:32 EDT', 'akiezun'), ('martin_aeschlimann', '2003-05-20 14:12:16 EDT', 'dirk_baeumer'), ('quick fix: add a constructor parameter [quick fix]', '2003-05-20 14:12:16 EDT', 'dirk_baeumer'), ('RESOLVED', '2003-08-23 11:16:27 EDT', 'martinae'), ('LATER', '2003-08-23 11:16:27 EDT', 'martinae'), ('REOPENED', '2005-07-07 03:09:48 EDT', 'martinae'), ('---', '2005-07-07 03:09:48 EDT', 'martinae'), ('[quick fix] add a constructor parameter', '2005-07-13 04:45:42 EDT', 'martinae'), ('jdt-ui-inbox', '2009-01-23 11:15:02 EST', 'daniel_megert'), ('NEW', '2009-01-23 11:15:02 EST', 'daniel_megert'), ('ASSIGNED', '2009-01-23 11:31:25 EST', 'daniel_megert'), ('gautier.desaintmartinlacaze', '2020-02-26 18:34:51 EST', 'gautier.desaintmartinlacaze'), ('kenneth', '2020-03-09 11:30:09 EDT', 'kenneth'), ('4.16 M1', '2020-03-09 11:30:09 EDT', 'kenneth'), ('kenneth', '2020-03-09 11:30:09 EDT', 'kenneth'), ('https://git.eclipse.org/r/159057', '2020-03-09 12:29:13 EDT', 'genie'), ('https://git.eclipse.org/c/jdt/eclipse.jdt.ui.git/commit/?id=074293e19c51a6101b94f1d492e14bb88750c886', '2020-03-11 11:06:50 EDT', 'genie'), ('FIXED', '2020-03-11 13:40:32 EDT', 'rgrunber'), ('rgrunber', '2020-03-11 13:40:32 EDT', 'rgrunber'), ('RESOLVED', '2020-03-11 13:40:32 EDT', 'rgrunber'), ('rgrunber', '2020-03-11 13:40:32 EDT', 'rgrunber'), ('kalininvsevolod', '2020-03-11 17:02:42 EDT', 'kalininvsevolod'), ('VERIFIED', '2020-04-08 10:34:09 EDT', 'rgrunber'), ('---', '2020-04-08 12:29:25 EDT', 'register.eclipse'), ('register.eclipse', '2020-04-08 12:29:25 EDT', 'register.eclipse'), ('REOPENED', '2020-04-08 12:29:25 EDT', 'register.eclipse'), ('4.16 M3', '2020-04-08 13:47:02 EDT', 'rgrunber'), ('https://git.eclipse.org/r/160732', '2020-04-09 15:25:09 EDT', 'genie'), ('https://git.eclipse.org/c/jdt/eclipse.jdt.ui.git/commit/?id=d4a643038fc7c1d3af2bf0cf3c2182dde699adf2', '2020-04-27 10:55:05 EDT', 'genie'), ('FIXED', '2020-04-27 10:56:23 EDT', 'kenneth'), ('RESOLVED', '2020-04-27 10:56:23 EDT', 'kenneth'), ('563285', '2020-05-18 07:07:17 EDT', 'noopur_gupta'), ('VERIFIED', '2020-05-23 02:12:39 EDT', 'kenneth')]</t>
  </si>
  <si>
    <t>37960 39310 (view as bug list)</t>
  </si>
  <si>
    <t>2005-01-18 12:58:17 EST</t>
  </si>
  <si>
    <t>2003-05-20 14:14 EDT</t>
  </si>
  <si>
    <t>2003-05-21 04:05:46 EDT</t>
  </si>
  <si>
    <t>[('CREATED', '2003-05-20 14:14 EDT'), ('jdt-ui-inbox', '2003-05-21 04:05:46 EDT', 'kai-uwe_maetzel'), ('UI', '2003-05-21 04:05:46 EDT', 'kai-uwe_maetzel'), ('adam_kiezun', '2003-05-21 08:47:02 EDT', 'dirk_baeumer'), ("Combine 'Rename' and 'Change Method Signature' for methods. [refactoring]", '2003-05-21 08:47:02 EDT', 'dirk_baeumer'), ('alex_blewitt', '2003-05-23 05:30:38 EDT', 'dirk_baeumer'), (nan, '2003-07-13 09:32:39 EDT', 'dirk_baeumer'), ('adam_kiezun', '2003-07-13 09:32:39 EDT', 'dirk_baeumer'), ('3.0 M3', '2003-07-13 09:32:39 EDT', 'dirk_baeumer'), ('philippe_mulet', '2003-08-15 08:22:25 EDT', 'akiezun'), ('adam_kiezun', '2003-08-21 06:54:27 EDT', 'akiezun'), ('---', '2003-08-21 06:54:27 EDT', 'akiezun'), ('jdt-ui-inbox', '2003-08-21 06:55:00 EDT', 'akiezun'), ('ASSIGNED', '2003-08-21 11:56:37 EDT', 'dirk_baeumer'), ('don_dayley', '2004-01-04 19:13:53 EST', 'valentam'), ('bena', '2004-11-23 17:37:40 EST', 'Ben.Aveling'), ('work', '2005-01-18 12:31:57 EST', 'user'), ('RESOLVED', '2005-01-18 12:58:17 EST', 'dirk_baeumer'), ('FIXED', '2005-01-18 12:58:17 EST', 'dirk_baeumer')]</t>
  </si>
  <si>
    <t>2003-05-25 12:23:10 EDT</t>
  </si>
  <si>
    <t>2003-05-20 21:35 EDT</t>
  </si>
  <si>
    <t>[('CREATED', '2003-05-20 21:35 EDT'), ('RESOLVED', '2003-05-25 12:23:10 EDT', 'dirk_baeumer'), ('DUPLICATE', '2003-05-25 12:23:10 EDT', 'dirk_baeumer')]</t>
  </si>
  <si>
    <t>2003-06-06 05:52:51 EDT</t>
  </si>
  <si>
    <t>2003-05-21 09:55 EDT</t>
  </si>
  <si>
    <t>2003-05-21 11:42:00 EDT</t>
  </si>
  <si>
    <t>[('CREATED', '2003-05-21 09:55 EDT'), ('adam_kiezun', '2003-05-21 11:42:00 EDT', 'dirk_baeumer'), ('delete top-level type should not ask for cu deletion and just do it [ccp] [refactoring]', '2003-05-21 11:42:00 EDT', 'dirk_baeumer'), ('ASSIGNED', '2003-06-05 19:08:42 EDT', 'akiezun'), ('3.0 M2', '2003-06-05 19:08:42 EDT', 'akiezun'), ('RESOLVED', '2003-06-06 05:52:51 EDT', 'akiezun'), ('FIXED', '2003-06-06 05:52:51 EDT', 'akiezun')]</t>
  </si>
  <si>
    <t>2003-05-27 09:32:45 EDT</t>
  </si>
  <si>
    <t>2003-05-21 10:43 EDT</t>
  </si>
  <si>
    <t>2003-05-21 10:47:25 EDT</t>
  </si>
  <si>
    <t>[('CREATED', '2003-05-21 10:43 EDT'), ('adam_kiezun', '2003-05-21 10:47:25 EDT', 'dirk_baeumer'), ('P2', '2003-05-21 10:47:25 EDT', 'dirk_baeumer'), ('3.0', '2003-05-21 10:47:25 EDT', 'dirk_baeumer'), ('RESOLVED', '2003-05-27 09:32:45 EDT', 'akiezun'), ('FIXED', '2003-05-27 09:32:45 EDT', 'akiezun')]</t>
  </si>
  <si>
    <t>VERIFIED  DUPLICATE  of bug 6224</t>
  </si>
  <si>
    <t>2003-05-22 06:34:07 EDT</t>
  </si>
  <si>
    <t>2003-05-22 06:35:29 EDT</t>
  </si>
  <si>
    <t>2003-05-21 12:12 EDT</t>
  </si>
  <si>
    <t>[('CREATED', '2003-05-21 12:12 EDT'), ('RESOLVED', '2003-05-22 06:34:07 EDT', 'dirk_baeumer'), ('DUPLICATE', '2003-05-22 06:34:07 EDT', 'dirk_baeumer'), ('VERIFIED', '2003-05-22 06:35:29 EDT', 'alex.blewitt')]</t>
  </si>
  <si>
    <t>36940 41461 41462 43343 44179 (view as bug list)</t>
  </si>
  <si>
    <t>2004-06-25 11:28:23 EDT</t>
  </si>
  <si>
    <t>2003-05-21 14:18 EDT</t>
  </si>
  <si>
    <t>2003-05-21 14:18:59 EDT</t>
  </si>
  <si>
    <t>2010-07-28 06:52:04 EDT</t>
  </si>
  <si>
    <t>[('CREATED', '2003-05-21 14:18 EDT'), ('plan', '2003-05-21 14:18:59 EDT', 'jeem'), ('P4', '2003-05-21 14:18:59 EDT', 'jeem'), ('3.0', '2003-05-21 14:18:59 EDT', 'jeem'), ('burner', '2003-05-22 22:04:00 EDT', 'burner'), ('m.a.r.k', '2003-05-24 04:39:02 EDT', 'm.a.r.k'), ('ASSIGNED', '2003-06-10 07:15:15 EDT', 'dirk_baeumer'), ('dirk_baeumer', '2003-07-28 09:25:17 EDT', 'dirk_baeumer'), ('mariano.kamp', '2003-07-28 10:02:03 EDT', 'mariano.kamp'), ('markus_keller', '2003-07-28 10:31:59 EDT', 'markus.kell.r'), ('John_Arthorne', '2003-08-04 06:18:48 EDT', 'dirk_baeumer'), ('kbahn', '2003-08-04 12:12:09 EDT', 'kbahn'), ('gsturov', '2003-08-12 14:29:41 EDT', 'gsturov'), ('eichelberger', '2003-08-13 10:33:43 EDT', 'dirk_baeumer'), ('michael.scharf', '2003-09-15 09:53:00 EDT', 'eclipse'), ('thorsten.van.ellen', '2003-09-29 17:06:10 EDT', 'dirk_baeumer'), ('lbolzani', '2003-10-06 06:26:28 EDT', 'dirk_baeumer'), ('fmoraes', '2003-10-15 10:35:21 EDT', 'fmoraes'), ('david_williams', '2003-10-16 13:53:46 EDT', 'david_williams'), ('45130', '2003-10-27 13:51:21 EST', 'dirk_baeumer'), ('danjou', '2003-11-20 18:32:37 EST', 'danjou'), ('kehn', '2003-12-18 15:09:37 EST', 'kehn'), ('RESOLVED', '2004-06-25 11:28:23 EDT', 'dirk_baeumer'), ('FIXED', '2004-06-25 11:28:23 EDT', 'dirk_baeumer'), ('44178', '2010-07-28 06:51:40 EDT', 'daniel_megert'), ('stijn.vanpoucke', '2010-07-28 06:52:04 EDT', 'daniel_megert')]</t>
  </si>
  <si>
    <t>VERIFIED  DUPLICATE  of bug 37879</t>
  </si>
  <si>
    <t>2003-05-23 05:30:38 EDT</t>
  </si>
  <si>
    <t>2003-05-23 06:14:12 EDT</t>
  </si>
  <si>
    <t>2003-05-22 06:53 EDT</t>
  </si>
  <si>
    <t>[('CREATED', '2003-05-22 06:53 EDT'), ('RESOLVED', '2003-05-23 05:30:38 EDT', 'dirk_baeumer'), ('DUPLICATE', '2003-05-23 05:30:38 EDT', 'dirk_baeumer'), ('VERIFIED', '2003-05-23 06:14:12 EDT', 'alex.blewitt')]</t>
  </si>
  <si>
    <t>37870</t>
  </si>
  <si>
    <t>2003-07-22 08:50:55 EDT</t>
  </si>
  <si>
    <t>2009-08-30 02:06:46 EDT</t>
  </si>
  <si>
    <t>2003-05-22 07:20 EDT</t>
  </si>
  <si>
    <t>2003-05-22 07:26:07 EDT</t>
  </si>
  <si>
    <t>[('CREATED', '2003-05-22 07:20 EDT'), ('jdt-ui-inbox', '2003-05-22 07:26:07 EDT', 'philippe_mulet'), ('UI', '2003-05-22 07:26:07 EDT', 'philippe_mulet'), ('daniel_megert', '2003-05-23 05:33:02 EDT', 'dirk_baeumer'), ('Java Search answering a resource match instead of Java element [search]', '2003-05-23 05:33:02 EDT', 'dirk_baeumer'), ('ASSIGNED', '2003-05-26 06:42:21 EDT', 'daniel_megert'), ('3.0', '2003-05-26 06:42:21 EDT', 'daniel_megert'), ('jerome_lanneluc', '2003-05-26 09:59:29 EDT', 'jerome_lanneluc'), ('37870', '2003-07-01 04:39:25 EDT', 'daniel_megert'), ('RESOLVED', '2003-07-22 08:50:55 EDT', 'daniel_megert'), ('REMIND', '2003-07-22 08:50:55 EDT', 'daniel_megert'), ('needinfo', '2009-08-30 02:06:46 EDT', 'denis.roy'), ('INVALID', '2009-08-30 02:06:46 EDT', 'denis.roy'), ('jdt-ui-inbox', '2009-08-30 02:06:46 EDT', 'denis.roy')]</t>
  </si>
  <si>
    <t>RESOLVED  DUPLICATE  of bug 24311</t>
  </si>
  <si>
    <t>2003-05-23 05:08:55 EDT</t>
  </si>
  <si>
    <t>2003-05-22 08:52 EDT</t>
  </si>
  <si>
    <t>2003-05-23 05:07:17 EDT</t>
  </si>
  <si>
    <t>[('CREATED', '2003-05-22 08:52 EDT'), ('ASSIGNED', '2003-05-23 05:07:17 EDT', 'dirk_baeumer'), ('ExternalizeStrings - should not check anything if not translating any string [refactoring]', '2003-05-23 05:07:17 EDT', 'dirk_baeumer'), ('RESOLVED', '2003-05-23 05:08:55 EDT', 'dirk_baeumer'), ('DUPLICATE', '2003-05-23 05:08:55 EDT', 'dirk_baeumer')]</t>
  </si>
  <si>
    <t>2010-06-09 02:14:40 EDT</t>
  </si>
  <si>
    <t>2003-05-23 04:37 EDT</t>
  </si>
  <si>
    <t>2003-05-23 10:58:44 EDT</t>
  </si>
  <si>
    <t>[('CREATED', '2003-05-23 04:37 EDT'), ('martin_aeschlimann', '2003-05-23 10:58:44 EDT', 'dirk_baeumer'), ('ASSIGNED', '2003-05-23 10:58:44 EDT', 'dirk_baeumer'), ('New Refactoring: if-then-else &lt;-&gt; switch [refactoring] [quick assist]', '2003-05-23 10:58:44 EDT', 'dirk_baeumer'), ('adam_kiezun', '2003-05-28 05:37:33 EDT', 'akiezun'), ('martin_aeschlimann', '2006-06-12 17:45:58 EDT', 'martinae'), ('NEW', '2006-06-12 17:45:58 EDT', 'martinae'), ('[quick assist] New Refactoring: if-then-else &lt;-&gt; switch', '2006-06-12 17:45:58 EDT', 'martinae'), ('jdt-ui-inbox', '2009-01-23 11:15:05 EST', 'daniel_megert'), ('ASSIGNED', '2009-01-23 11:31:29 EST', 'daniel_megert'), ('daniel_megert', '2010-06-08 07:13:35 EDT', 'daniel_megert'), ('markus_keller', '2010-06-09 02:14:40 EDT', 'markus.kell.r'), ('WONTFIX', '2010-06-09 02:14:40 EDT', 'markus.kell.r'), ('RESOLVED', '2010-06-09 02:14:40 EDT', 'markus.kell.r')]</t>
  </si>
  <si>
    <t>2003-05-23 11:01:27 EDT</t>
  </si>
  <si>
    <t>2009-08-30 02:18:39 EDT</t>
  </si>
  <si>
    <t>2003-05-23 05:37 EDT</t>
  </si>
  <si>
    <t>[('CREATED', '2003-05-23 05:37 EDT'), ('RESOLVED', '2003-05-23 11:01:27 EDT', 'dirk_baeumer'), ('helpwanted', '2003-05-23 11:01:27 EDT', 'dirk_baeumer'), ('LATER', '2003-05-23 11:01:27 EDT', 'dirk_baeumer'), ('gunnar', '2005-10-02 09:41:00 EDT', 'gunnar'), ('WONTFIX', '2009-08-30 02:18:39 EDT', 'denis.roy')]</t>
  </si>
  <si>
    <t>2006-06-15 05:55:45 EDT</t>
  </si>
  <si>
    <t>2003-05-23 08:06 EDT</t>
  </si>
  <si>
    <t>2003-05-25 12:11:39 EDT</t>
  </si>
  <si>
    <t>[('CREATED', '2003-05-23 08:06 EDT'), ('ASSIGNED', '2003-05-25 12:11:39 EDT', 'dirk_baeumer'), ('Refactoring: Surround with xxx enhancement [refactoring] [code manipulation]', '2003-05-25 12:11:39 EDT', 'dirk_baeumer'), ('RESOLVED', '2006-06-15 05:55:45 EDT', 'martinae'), ('WORKSFORME', '2006-06-15 05:55:45 EDT', 'martinae')]</t>
  </si>
  <si>
    <t>2003-06-06 06:05:59 EDT</t>
  </si>
  <si>
    <t>2003-09-30 07:39:16 EDT</t>
  </si>
  <si>
    <t>2003-05-24 14:31 EDT</t>
  </si>
  <si>
    <t>2003-05-25 12:38:59 EDT</t>
  </si>
  <si>
    <t>[('CREATED', '2003-05-24 14:31 EDT'), ('adam_kiezun', '2003-05-25 12:38:59 EDT', 'dirk_baeumer'), ("Refactor/Rename field; inconsistent 'getter' format [refactoring]", '2003-05-25 12:38:59 EDT', 'dirk_baeumer'), ('adam_kiezun', '2003-05-28 05:35:24 EDT', 'akiezun'), ('ASSIGNED', '2003-06-05 19:09:09 EDT', 'akiezun'), ('3.0 M2', '2003-06-05 19:09:09 EDT', 'akiezun'), ('RESOLVED', '2003-06-06 06:05:59 EDT', 'akiezun'), ('FIXED', '2003-06-06 06:05:59 EDT', 'akiezun'), ('VERIFIED', '2003-09-30 07:39:16 EDT', 'alex.blewitt')]</t>
  </si>
  <si>
    <t>2004-04-13 17:02:28 EDT</t>
  </si>
  <si>
    <t>2004-03-31 19:13:41 EST</t>
  </si>
  <si>
    <t>2003-05-25 18:52 EDT</t>
  </si>
  <si>
    <t>2003-05-26 04:09:36 EDT</t>
  </si>
  <si>
    <t>[('CREATED', '2003-05-25 18:52 EDT'), ('dirk_baeumer', '2003-05-26 04:09:36 EDT', 'dirk_baeumer'), ("Allow 'this' constructor to be inlined [refactoring]", '2003-05-26 04:09:36 EDT', 'dirk_baeumer'), ('dstalnov', '2003-10-20 11:28:59 EDT', 'dirk_baeumer'), ('FIXED', '2003-10-20 13:17:21 EDT', 'dirk_baeumer'), ('3.0 M5', '2003-10-20 13:17:21 EDT', 'dirk_baeumer'), ('RESOLVED', '2003-10-20 13:17:21 EDT', 'dirk_baeumer'), ('REOPENED', '2004-03-31 19:13:41 EST', 'alex.blewitt'), ('---', '2004-03-31 19:13:41 EST', 'alex.blewitt'), ('3.0 M9', '2004-04-01 02:28:07 EST', 'dirk_baeumer'), ('RESOLVED', '2004-04-13 17:02:28 EDT', 'dirk_baeumer'), ('FIXED', '2004-04-13 17:02:28 EDT', 'dirk_baeumer')]</t>
  </si>
  <si>
    <t>RESOLVED  DUPLICATE  of bug 48231</t>
  </si>
  <si>
    <t>88307 (view as bug list)</t>
  </si>
  <si>
    <t>2006-03-22 05:03:06 EST</t>
  </si>
  <si>
    <t>2006-03-22 05:02:49 EST</t>
  </si>
  <si>
    <t>2003-05-26 06:46 EDT</t>
  </si>
  <si>
    <t>2003-05-26 06:46:40 EDT</t>
  </si>
  <si>
    <t>[('CREATED', '2003-05-26 06:46 EDT'), ('adam_kiezun', '2003-05-26 06:46:40 EDT', 'dirk_baeumer'), ("Extract local: doesn't use most inner scope for local [refactoring]", '2003-05-26 06:46:40 EDT', 'dirk_baeumer'), ('3.0', '2003-05-26 06:46:40 EDT', 'dirk_baeumer'), ('ASSIGNED', '2003-06-05 19:10:22 EDT', 'akiezun'), ('jdt-ui-inbox', '2004-04-27 08:12:19 EDT', 'dirk_baeumer'), ('NEW', '2004-04-27 08:12:19 EDT', 'dirk_baeumer'), ('---', '2004-04-27 08:12:19 EDT', 'dirk_baeumer'), ('RESOLVED', '2004-04-27 08:12:34 EDT', 'dirk_baeumer'), ('LATER', '2004-04-27 08:12:34 EDT', 'dirk_baeumer'), ('markus_keller', '2005-03-17 06:27:39 EST', 'tobias_widmer'), ('---', '2006-03-22 05:02:49 EST', 'markus.kell.r'), ('REOPENED', '2006-03-22 05:02:49 EST', 'markus.kell.r'), ('RESOLVED', '2006-03-22 05:03:06 EST', 'markus.kell.r'), ('DUPLICATE', '2006-03-22 05:03:06 EST', 'markus.kell.r')]</t>
  </si>
  <si>
    <t>2006-06-12 03:31:44 EDT</t>
  </si>
  <si>
    <t>2003-05-26 08:36 EDT</t>
  </si>
  <si>
    <t>2003-05-27 06:17:15 EDT</t>
  </si>
  <si>
    <t>[('CREATED', '2003-05-26 08:36 EDT'), ('adam_kiezun', '2003-05-27 06:17:15 EDT', 'akiezun'), ('ASSIGNED', '2003-06-10 07:17:22 EDT', 'dirk_baeumer'), ('Find strings to externalize need polish [nls] [refactoring]', '2003-06-10 07:17:22 EDT', 'dirk_baeumer'), ('RESOLVED', '2006-06-12 03:31:44 EDT', 'martinae'), ('WONTFIX', '2006-06-12 03:31:44 EDT', 'martinae'), ('[nls tooling] Find strings to externalize need polish [nls] [refactoring]', '2006-06-12 03:31:44 EDT', 'martinae'), ('martin_aeschlimann', '2006-06-12 03:31:44 EDT', 'martinae')]</t>
  </si>
  <si>
    <t>45925 (view as bug list)</t>
  </si>
  <si>
    <t>2003-11-24 04:23:16 EST</t>
  </si>
  <si>
    <t>2003-05-26 10:11 EDT</t>
  </si>
  <si>
    <t>2003-05-26 14:18:42 EDT</t>
  </si>
  <si>
    <t>2004-02-11 00:32:31 EST</t>
  </si>
  <si>
    <t>[('CREATED', '2003-05-26 10:11 EDT'), ('ASSIGNED', '2003-05-26 14:18:42 EDT', 'dirk_baeumer'), ('Move Static Member(s); should have combo box [refactoring]', '2003-05-26 14:18:42 EDT', 'dirk_baeumer'), ('ggregory', '2003-11-19 06:55:55 EST', 'markus.kell.r'), ('markus_keller', '2003-11-19 06:57:10 EST', 'markus.kell.r'), ('NEW', '2003-11-19 06:57:10 EST', 'markus.kell.r'), ('RESOLVED', '2003-11-24 04:23:16 EST', 'markus.kell.r'), ('FIXED', '2003-11-24 04:23:16 EST', 'markus.kell.r'), ('3.0 M6', '2003-11-24 04:23:16 EST', 'markus.kell.r'), ('CLOSED', '2004-02-11 00:32:31 EST', 'sdavids')]</t>
  </si>
  <si>
    <t>2003-07-21 12:01:53 EDT</t>
  </si>
  <si>
    <t>2003-05-26 11:25 EDT</t>
  </si>
  <si>
    <t>2003-05-26 14:22:59 EDT</t>
  </si>
  <si>
    <t>[('CREATED', '2003-05-26 11:25 EDT'), ('adam_kiezun', '2003-05-26 14:22:59 EDT', 'dirk_baeumer'), ('Convert nested to top level type misses reference [refactoring]', '2003-05-26 14:22:59 EDT', 'dirk_baeumer'), ('3.0', '2003-05-26 14:22:59 EDT', 'dirk_baeumer'), ('ASSIGNED', '2003-06-03 05:23:18 EDT', 'akiezun'), ('3.0 M3', '2003-06-06 12:44:46 EDT', 'akiezun'), ('RESOLVED', '2003-07-21 12:01:53 EDT', 'akiezun'), ('FIXED', '2003-07-21 12:01:53 EDT', 'akiezun')]</t>
  </si>
  <si>
    <t>2003-10-08 07:51:32 EDT</t>
  </si>
  <si>
    <t>2003-10-08 07:51:42 EDT</t>
  </si>
  <si>
    <t>2003-10-08 07:06:24 EDT</t>
  </si>
  <si>
    <t>2003-05-27 04:54 EDT</t>
  </si>
  <si>
    <t>2003-05-27 05:37:19 EDT</t>
  </si>
  <si>
    <t>[('CREATED', '2003-05-27 04:54 EDT'), ('dirk_baeumer', '2003-05-27 05:37:19 EDT', 'dirk_baeumer'), ('inline call that is used in a field initializer [refactoring]', '2003-05-27 05:37:19 EDT', 'dirk_baeumer'), ('dstalnov', '2003-09-25 15:39:06 EDT', 'dstalnov'), ('1', '2003-09-28 03:15:53 EDT', 'dstalnov'), ('RESOLVED', '2003-10-03 11:53:27 EDT', 'dirk_baeumer'), ('FIXED', '2003-10-03 11:53:27 EDT', 'dirk_baeumer'), ('3.0 M4', '2003-10-03 11:53:27 EDT', 'dirk_baeumer'), ('REOPENED', '2003-10-08 07:06:24 EDT', 'daniel_megert'), ('---', '2003-10-08 07:06:24 EDT', 'daniel_megert'), ('RESOLVED', '2003-10-08 07:51:32 EDT', 'daniel_megert'), ('FIXED', '2003-10-08 07:51:32 EDT', 'daniel_megert'), ('VERIFIED', '2003-10-08 07:51:42 EDT', 'daniel_megert')]</t>
  </si>
  <si>
    <t>2003-05-27 13:44:31 EDT</t>
  </si>
  <si>
    <t>2003-05-27 11:37 EDT</t>
  </si>
  <si>
    <t>2003-05-27 13:16:43 EDT</t>
  </si>
  <si>
    <t>[('CREATED', '2003-05-27 11:37 EDT'), ('jdt-ui-inbox', '2003-05-27 13:16:43 EDT', 'philippe_mulet'), ('UI', '2003-05-27 13:16:43 EDT', 'philippe_mulet'), ('DUPLICATE', '2003-05-27 13:44:31 EDT', 'dirk_baeumer'), ('RESOLVED', '2003-05-27 13:44:31 EDT', 'dirk_baeumer')]</t>
  </si>
  <si>
    <t>RESOLVED  DUPLICATE  of bug 34231</t>
  </si>
  <si>
    <t>2003-05-28 05:33:55 EDT</t>
  </si>
  <si>
    <t>2003-05-27 15:18 EDT</t>
  </si>
  <si>
    <t>[('CREATED', '2003-05-27 15:18 EDT'), ('RESOLVED', '2003-05-28 05:33:55 EDT', 'akiezun'), ('DUPLICATE', '2003-05-28 05:33:55 EDT', 'akiezun')]</t>
  </si>
  <si>
    <t>2003-06-30 13:16:39 EDT</t>
  </si>
  <si>
    <t>2003-05-28 03:12 EDT</t>
  </si>
  <si>
    <t>2003-05-28 06:45:38 EDT</t>
  </si>
  <si>
    <t>[('CREATED', '2003-05-28 03:12 EDT'), ('adam_kiezun', '2003-05-28 06:45:38 EDT', 'dirk_baeumer'), ('Empty dialog after use supertype where possible [refactoring]', '2003-05-28 06:45:38 EDT', 'dirk_baeumer'), ('3.0', '2003-05-28 06:45:38 EDT', 'dirk_baeumer'), ('3.0 M2', '2003-06-06 12:41:40 EDT', 'akiezun'), ('ASSIGNED', '2003-06-06 12:41:40 EDT', 'akiezun'), ('adam_kiezun', '2003-06-30 10:15:13 EDT', 'akiezun'), ('dirk_baeumer', '2003-06-30 10:15:13 EDT', 'akiezun'), ('NEW', '2003-06-30 10:15:13 EDT', 'akiezun'), ('adam_kiezun', '2003-06-30 11:04:40 EDT', 'akiezun'), ('RESOLVED', '2003-06-30 13:16:39 EDT', 'akiezun'), ('FIXED', '2003-06-30 13:16:39 EDT', 'akiezun')]</t>
  </si>
  <si>
    <t>2003-06-05 11:46:05 EDT</t>
  </si>
  <si>
    <t>2003-05-28 10:57 EDT</t>
  </si>
  <si>
    <t>2003-05-28 10:57:36 EDT</t>
  </si>
  <si>
    <t>[('CREATED', '2003-05-28 10:57 EDT'), ('adam_kiezun', '2003-05-28 10:57:36 EDT', 'dirk_baeumer'), ('3.0 M1', '2003-05-28 10:57:36 EDT', 'dirk_baeumer'), ('RESOLVED', '2003-06-05 11:46:05 EDT', 'akiezun'), ('FIXED', '2003-06-05 11:46:05 EDT', 'akiezun')]</t>
  </si>
  <si>
    <t>2003-06-02 05:24:42 EDT</t>
  </si>
  <si>
    <t>2003-05-29 01:07 EDT</t>
  </si>
  <si>
    <t>2003-05-29 05:26:39 EDT</t>
  </si>
  <si>
    <t>[('CREATED', '2003-05-29 01:07 EDT'), ('jdt-ui-inbox', '2003-05-29 05:26:39 EDT', 'philippe_mulet'), ('UI', '2003-05-29 05:26:39 EDT', 'philippe_mulet'), ('RESOLVED', '2003-06-02 05:24:42 EDT', 'akiezun'), ('DUPLICATE', '2003-06-02 05:24:42 EDT', 'akiezun')]</t>
  </si>
  <si>
    <t>2003-08-21 06:04:24 EDT</t>
  </si>
  <si>
    <t>2003-05-29 05:04 EDT</t>
  </si>
  <si>
    <t>2003-06-03 05:10:35 EDT</t>
  </si>
  <si>
    <t>[('CREATED', '2003-05-29 05:04 EDT'), ('martin_aeschlimann', '2003-06-03 05:10:35 EDT', 'dirk_baeumer'), ('New quick fix that removes the assignment from a parameter that has been removed from signature [quick fix]', '2003-06-03 05:10:35 EDT', 'dirk_baeumer'), ('RESOLVED', '2003-08-21 06:04:24 EDT', 'martinae'), ('WONTFIX', '2003-08-21 06:04:24 EDT', 'martinae')]</t>
  </si>
  <si>
    <t>RESOLVED  DUPLICATE  of bug 37540</t>
  </si>
  <si>
    <t>2003-06-05 19:12:20 EDT</t>
  </si>
  <si>
    <t>2003-05-29 05:20 EDT</t>
  </si>
  <si>
    <t>2003-06-03 05:12:14 EDT</t>
  </si>
  <si>
    <t>[('CREATED', '2003-05-29 05:20 EDT'), ('dirk_baeumer', '2003-06-03 05:12:14 EDT', 'dirk_baeumer'), ('adam_kiezun', '2003-06-03 05:12:14 EDT', 'dirk_baeumer'), ('Convert Nested Type to Top level Refactoring: don\'t add parameter "this" if not needed in converted type [refactoring]', '2003-06-03 05:12:14 EDT', 'dirk_baeumer'), ('enhancement', '2003-06-03 05:20:30 EDT', 'akiezun'), ('RESOLVED', '2003-06-05 19:12:20 EDT', 'akiezun'), ('DUPLICATE', '2003-06-05 19:12:20 EDT', 'akiezun')]</t>
  </si>
  <si>
    <t>2003-06-30 10:08:13 EDT</t>
  </si>
  <si>
    <t>2003-05-29 21:47 EDT</t>
  </si>
  <si>
    <t>2003-06-03 05:44:47 EDT</t>
  </si>
  <si>
    <t>[('CREATED', '2003-05-29 21:47 EDT'), ('adam_kiezun', '2003-06-03 05:44:47 EDT', 'dirk_baeumer'), ('Package Explorer not updated after Refactor &gt; Rename method [refactoring]', '2003-06-03 05:44:47 EDT', 'dirk_baeumer'), ('P2', '2003-06-03 05:45:00 EDT', 'dirk_baeumer'), ('3.0 M2', '2003-06-03 05:45:00 EDT', 'dirk_baeumer'), ('ASSIGNED', '2003-06-03 05:48:35 EDT', 'akiezun'), ('RESOLVED', '2003-06-30 10:08:13 EDT', 'akiezun'), ('WORKSFORME', '2003-06-30 10:08:13 EDT', 'akiezun')]</t>
  </si>
  <si>
    <t>2003-07-14 12:48:28 EDT</t>
  </si>
  <si>
    <t>2003-05-30 15:41 EDT</t>
  </si>
  <si>
    <t>2003-06-03 05:55:19 EDT</t>
  </si>
  <si>
    <t>[('CREATED', '2003-05-30 15:41 EDT'), ('dirk_baeumer', '2003-06-03 05:55:19 EDT', 'dirk_baeumer'), ('Move refactoring misses plugin.xml entries [refactoring]', '2003-06-03 05:55:19 EDT', 'dirk_baeumer'), ('3.0 M2', '2003-06-03 05:55:19 EDT', 'dirk_baeumer'), ('RESOLVED', '2003-07-14 12:48:28 EDT', 'dirk_baeumer'), ('FIXED', '2003-07-14 12:48:28 EDT', 'dirk_baeumer')]</t>
  </si>
  <si>
    <t>2003-08-13 06:55:19 EDT</t>
  </si>
  <si>
    <t>2003-06-01 15:40 EDT</t>
  </si>
  <si>
    <t>2003-06-03 06:09:42 EDT</t>
  </si>
  <si>
    <t>[('CREATED', '2003-06-01 15:40 EDT'), ('adam_kiezun', '2003-06-03 06:09:42 EDT', 'dirk_baeumer'), ('Move instance method refactoring: unused parameter generated [refactoring]', '2003-06-03 06:09:42 EDT', 'dirk_baeumer'), ('adam_kiezun', '2003-07-14 13:14:28 EDT', 'akiezun'), ('markus_keller', '2003-07-14 13:14:28 EDT', 'akiezun'), ('3.0', '2003-07-14 13:14:28 EDT', 'akiezun'), ('RESOLVED', '2003-08-13 06:55:19 EDT', 'akiezun'), ('FIXED', '2003-08-13 06:55:19 EDT', 'akiezun'), ('3.0 M3', '2003-08-13 06:55:19 EDT', 'akiezun')]</t>
  </si>
  <si>
    <t>2003-06-06 08:49:41 EDT</t>
  </si>
  <si>
    <t>2003-06-03 10:40 EDT</t>
  </si>
  <si>
    <t>2003-06-03 10:59:19 EDT</t>
  </si>
  <si>
    <t>[('CREATED', '2003-06-03 10:40 EDT'), ('adam_kiezun', '2003-06-03 10:59:19 EDT', 'akiezun'), ('ArrayIndexOutOfBoundsException in change signeture [refactoring]', '2003-06-03 10:59:19 EDT', 'akiezun'), ('ASSIGNED', '2003-06-05 19:14:04 EDT', 'akiezun'), ('3.0 M2', '2003-06-05 19:14:04 EDT', 'akiezun'), ('RESOLVED', '2003-06-06 08:49:41 EDT', 'akiezun'), ('FIXED', '2003-06-06 08:49:41 EDT', 'akiezun')]</t>
  </si>
  <si>
    <t>2003-07-08 06:18:33 EDT</t>
  </si>
  <si>
    <t>2003-06-03 15:03 EDT</t>
  </si>
  <si>
    <t>2003-06-04 06:43:43 EDT</t>
  </si>
  <si>
    <t>[('CREATED', '2003-06-03 15:03 EDT'), ('3.0 M2', '2003-06-04 06:43:43 EDT', 'dirk_baeumer'), ('adam_kiezun', '2003-06-04 06:43:43 EDT', 'dirk_baeumer'), ('Failed DND in Packages View [refactoring] [reorg]', '2003-06-04 06:43:43 EDT', 'dirk_baeumer'), ('RESOLVED', '2003-07-08 06:18:33 EDT', 'akiezun'), ('WORKSFORME', '2003-07-08 06:18:33 EDT', 'akiezun')]</t>
  </si>
  <si>
    <t>2003-06-06 05:45:42 EDT</t>
  </si>
  <si>
    <t>2003-06-03 19:00 EDT</t>
  </si>
  <si>
    <t>2003-06-04 08:49:44 EDT</t>
  </si>
  <si>
    <t>[('CREATED', '2003-06-03 19:00 EDT'), ('adam_kiezun', '2003-06-04 08:49:44 EDT', 'dirk_baeumer'), ('Renaming a non-java resource shows useless preview [reorg] [refactoring]', '2003-06-04 08:49:44 EDT', 'dirk_baeumer'), ('3.0 M2', '2003-06-04 08:49:44 EDT', 'dirk_baeumer'), ('ASSIGNED', '2003-06-05 12:02:50 EDT', 'akiezun'), ('RESOLVED', '2003-06-06 05:45:42 EDT', 'akiezun'), ('FIXED', '2003-06-06 05:45:42 EDT', 'akiezun')]</t>
  </si>
  <si>
    <t>2003-06-11 09:48:20 EDT</t>
  </si>
  <si>
    <t>2003-06-09 21:47:39 EDT</t>
  </si>
  <si>
    <t>2003-06-10 14:04:36 EDT</t>
  </si>
  <si>
    <t>2003-06-04 18:38 EDT</t>
  </si>
  <si>
    <t>2003-06-04 18:39:55 EDT</t>
  </si>
  <si>
    <t>[('CREATED', '2003-06-04 18:38 EDT'), ('Kevin_Haaland, camle, Jeff_Mcaffer', '2003-06-04 18:39:55 EDT', 'truonghw'), ('RESOLVED', '2003-06-04 22:01:40 EDT', 'jeffmcaffer'), ('INVALID', '2003-06-04 22:01:40 EDT', 'jeffmcaffer'), ('REOPENED', '2003-06-07 15:35:27 EDT', 'truonghw'), ('---', '2003-06-07 15:35:27 EDT', 'truonghw'), ('jdt-ui-inbox', '2003-06-09 09:09:27 EDT', 'Tod_Creasey'), ('NEW', '2003-06-09 09:09:27 EDT', 'Tod_Creasey'), ('JDT', '2003-06-09 09:09:27 EDT', 'Tod_Creasey'), ('RESOLVED', '2003-06-09 11:17:23 EDT', 'jeffmcaffer'), ('INVALID', '2003-06-09 11:17:23 EDT', 'jeffmcaffer'), ('REOPENED', '2003-06-09 18:24:45 EDT', 'truonghw'), ('---', '2003-06-09 18:24:45 EDT', 'truonghw'), ('RESOLVED', '2003-06-09 21:47:39 EDT', 'jeffmcaffer'), ('INVALID', '2003-06-09 21:47:39 EDT', 'jeffmcaffer'), ('REOPENED', '2003-06-10 14:04:36 EDT', 'ntougait'), ('---', '2003-06-10 14:04:36 EDT', 'ntougait'), ('RESOLVED', '2003-06-11 09:48:20 EDT', 'erich_gamma'), ('WONTFIX', '2003-06-11 09:48:20 EDT', 'erich_gamma')]</t>
  </si>
  <si>
    <t>38680 42101 (view as bug list)</t>
  </si>
  <si>
    <t>2006-01-04 05:08:47 EST</t>
  </si>
  <si>
    <t>2003-06-05 03:57 EDT</t>
  </si>
  <si>
    <t>2003-06-10 10:27:09 EDT</t>
  </si>
  <si>
    <t>2015-02-09 20:19:16 EST</t>
  </si>
  <si>
    <t>[('CREATED', '2003-06-05 03:57 EDT'), ('adam_kiezun', '2003-06-10 10:27:09 EDT', 'dirk_baeumer'), ('3.0 M2', '2003-06-10 10:27:09 EDT', 'dirk_baeumer'), ('nick_edgar', '2003-06-12 05:59:37 EDT', 'dirk_baeumer'), ('dirk_baeumer', '2003-06-30 05:25:40 EDT', 'akiezun'), ('3.0 M3', '2003-07-14 12:52:05 EDT', 'dirk_baeumer'), ('3.0 M4', '2003-08-21 12:14:47 EDT', 'dirk_baeumer'), ('tom_eicher', '2003-08-27 08:34:05 EDT', 'dirk_baeumer'), (nan, '2003-08-27 08:41:03 EDT', 'eclipse'), ('3.0', '2003-11-17 06:01:50 EST', 'dirk_baeumer'), ('---', '2004-06-25 11:37:04 EDT', 'dirk_baeumer'), ('RESOLVED', '2006-01-04 05:08:47 EST', 'dirk_baeumer'), ('WONTFIX', '2006-01-04 05:08:47 EST', 'dirk_baeumer'), ('https://git.eclipse.org/r/38446', '2015-02-09 20:19:16 EST', 'genie')]</t>
  </si>
  <si>
    <t>2003-06-05 09:25:40 EDT</t>
  </si>
  <si>
    <t>2003-06-05 05:00 EDT</t>
  </si>
  <si>
    <t>2003-06-05 08:20:58 EDT</t>
  </si>
  <si>
    <t>[('CREATED', '2003-06-05 05:00 EDT'), ('P1', '2003-06-05 08:20:58 EDT', 'akiezun'), ('adam_kiezun', '2003-06-05 08:37:06 EDT', 'akiezun'), ('Delete: ClassCastException when deleting internal JAR [ccp]', '2003-06-05 09:25:40 EDT', 'akiezun'), ('3.0 M1', '2003-06-05 09:25:40 EDT', 'akiezun'), ('RESOLVED', '2003-06-05 09:25:40 EDT', 'akiezun'), ('FIXED', '2003-06-05 09:25:40 EDT', 'akiezun')]</t>
  </si>
  <si>
    <t>2003-06-05 10:05:08 EDT</t>
  </si>
  <si>
    <t>2003-06-05 05:47 EDT</t>
  </si>
  <si>
    <t>2003-06-05 08:21:35 EDT</t>
  </si>
  <si>
    <t>[('CREATED', '2003-06-05 05:47 EDT'), ('P1', '2003-06-05 08:21:35 EDT', 'akiezun'), ('adam_kiezun', '2003-06-05 08:37:51 EDT', 'akiezun'), ('3.0 M1', '2003-06-05 09:31:54 EDT', 'dirk_baeumer'), ('RESOLVED', '2003-06-05 10:05:08 EDT', 'akiezun'), ('FIXED', '2003-06-05 10:05:08 EDT', 'akiezun')]</t>
  </si>
  <si>
    <t>2006-01-04 05:43:09 EST</t>
  </si>
  <si>
    <t>2003-06-05 05:51 EDT</t>
  </si>
  <si>
    <t>2003-06-10 10:34:17 EDT</t>
  </si>
  <si>
    <t>[('CREATED', '2003-06-05 05:51 EDT'), ('dirk_baeumer', '2003-06-10 10:34:17 EDT', 'dirk_baeumer'), ('inline method: incorrect in innerclasses [refactoring]', '2003-06-10 10:34:17 EDT', 'dirk_baeumer'), ('RESOLVED', '2006-01-04 05:43:09 EST', 'dirk_baeumer'), ('FIXED', '2006-01-04 05:43:09 EST', 'dirk_baeumer'), ('3.2 M5', '2006-01-04 05:43:09 EST', 'dirk_baeumer')]</t>
  </si>
  <si>
    <t>2003-09-24 09:59:00 EDT</t>
  </si>
  <si>
    <t>2003-06-05 06:01 EDT</t>
  </si>
  <si>
    <t>2003-06-10 10:35:08 EDT</t>
  </si>
  <si>
    <t>[('CREATED', '2003-06-05 06:01 EDT'), ('dirk_baeumer', '2003-06-10 10:35:08 EDT', 'dirk_baeumer'), ('inline method: compile error (array related) [refactoring]', '2003-06-10 10:35:08 EDT', 'dirk_baeumer'), ('dstalnov', '2003-09-24 08:35:28 EDT', 'dstalnov'), ('RESOLVED', '2003-09-24 09:59:00 EDT', 'dirk_baeumer'), ('FIXED', '2003-09-24 09:59:00 EDT', 'dirk_baeumer'), ('3.0 M4', '2003-09-24 09:59:00 EDT', 'dirk_baeumer')]</t>
  </si>
  <si>
    <t>2003-06-17 11:20:04 EDT</t>
  </si>
  <si>
    <t>2003-06-05 06:05 EDT</t>
  </si>
  <si>
    <t>2003-06-10 10:35:50 EDT</t>
  </si>
  <si>
    <t>[('CREATED', '2003-06-05 06:05 EDT'), ('martin_aeschlimann', '2003-06-10 10:35:50 EDT', 'dirk_baeumer'), ('rfaust', '2003-06-10 11:56:47 EDT', 'martinae'), ('RESOLVED', '2003-06-17 11:20:04 EDT', 'martinae'), ('FIXED', '2003-06-17 11:20:04 EDT', 'martinae'), ('3.0 M2', '2003-06-17 11:20:04 EDT', 'martinae')]</t>
  </si>
  <si>
    <t>2003-06-05 12:04:26 EDT</t>
  </si>
  <si>
    <t>2003-06-05 06:24 EDT</t>
  </si>
  <si>
    <t>2003-06-05 08:21:55 EDT</t>
  </si>
  <si>
    <t>[('CREATED', '2003-06-05 06:24 EDT'), ('P1', '2003-06-05 08:21:55 EDT', 'akiezun'), ('martin_aeschlimann', '2003-06-05 10:34:58 EDT', 'dirk_baeumer'), ('P2', '2003-06-05 10:34:58 EDT', 'dirk_baeumer'), ('RESOLVED', '2003-06-05 12:04:26 EDT', 'martinae'), ('FIXED', '2003-06-05 12:04:26 EDT', 'martinae'), ('3.0 M1', '2003-06-05 12:04:26 EDT', 'martinae')]</t>
  </si>
  <si>
    <t>2004-05-07 09:33:13 EDT</t>
  </si>
  <si>
    <t>2003-06-05 06:34 EDT</t>
  </si>
  <si>
    <t>2003-06-10 10:41:50 EDT</t>
  </si>
  <si>
    <t>[('CREATED', '2003-06-05 06:34 EDT'), ('dirk_baeumer', '2003-06-10 10:41:50 EDT', 'dirk_baeumer'), ("Delete: buttons on the 'Found Problems' page [refactoring]", '2003-06-10 10:41:50 EDT', 'dirk_baeumer'), ('3.0 M2', '2003-06-10 10:41:50 EDT', 'dirk_baeumer'), ('3.0 M4', '2003-07-13 11:09:26 EDT', 'dirk_baeumer'), ('3.0', '2003-10-02 13:58:25 EDT', 'dirk_baeumer'), ('RESOLVED', '2004-05-07 09:33:13 EDT', 'dirk_baeumer'), ('FIXED', '2004-05-07 09:33:13 EDT', 'dirk_baeumer'), ('3.0 M9', '2004-05-07 09:33:13 EDT', 'dirk_baeumer')]</t>
  </si>
  <si>
    <t>2003-07-11 06:19:19 EDT</t>
  </si>
  <si>
    <t>2003-06-07 14:38 EDT</t>
  </si>
  <si>
    <t>2003-06-10 04:49:13 EDT</t>
  </si>
  <si>
    <t>[('CREATED', '2003-06-07 14:38 EDT'), ('adam_kiezun', '2003-06-10 04:49:13 EDT', 'dirk_baeumer'), ('Exception using extract interface refactoring [refactoring]', '2003-06-10 04:49:13 EDT', 'dirk_baeumer'), ('3.0 M2', '2003-06-10 04:49:13 EDT', 'dirk_baeumer'), ('ASSIGNED', '2003-07-11 06:08:31 EDT', 'akiezun'), ('RESOLVED', '2003-07-11 06:19:19 EDT', 'akiezun'), ('WORKSFORME', '2003-07-11 06:19:19 EDT', 'akiezun')]</t>
  </si>
  <si>
    <t>2003-06-09 10:01 EDT</t>
  </si>
  <si>
    <t>2003-06-10 05:12:07 EDT</t>
  </si>
  <si>
    <t>2003-06-10 19:54:36 EDT</t>
  </si>
  <si>
    <t>[('CREATED', '2003-06-09 10:01 EDT'), ('dirk_baeumer', '2003-06-10 05:12:07 EDT', 'dirk_baeumer'), ('adam_kiezun', '2003-06-10 05:12:07 EDT', 'dirk_baeumer'), ('Rename method arguments also renames parent class/interface arguments [refactoring]', '2003-06-10 05:12:07 EDT', 'dirk_baeumer'), ('ASSIGNED', '2003-06-10 19:54:36 EDT', 'akiezun')]</t>
  </si>
  <si>
    <t>RESOLVED  DUPLICATE  of bug 38446</t>
  </si>
  <si>
    <t>2003-06-12 05:59:37 EDT</t>
  </si>
  <si>
    <t>2003-06-09 22:11 EDT</t>
  </si>
  <si>
    <t>2003-06-11 16:18:48 EDT</t>
  </si>
  <si>
    <t>[('CREATED', '2003-06-09 22:11 EDT'), ('jdt-ui-inbox', '2003-06-11 16:18:48 EDT', 'n.a.edgar'), ('JDT', '2003-06-11 16:18:48 EDT', 'n.a.edgar'), ('RESOLVED', '2003-06-12 05:59:37 EDT', 'dirk_baeumer'), ('DUPLICATE', '2003-06-12 05:59:37 EDT', 'dirk_baeumer')]</t>
  </si>
  <si>
    <t>2003-08-12 14:31:47 EDT</t>
  </si>
  <si>
    <t>2003-06-11 03:58 EDT</t>
  </si>
  <si>
    <t>2003-06-11 03:59:17 EDT</t>
  </si>
  <si>
    <t>[('CREATED', '2003-06-11 03:58 EDT'), ('adam_kiezun', '2003-06-11 03:59:17 EDT', 'daniel_megert'), ('3.0 M3', '2003-08-05 07:08:50 EDT', 'dirk_baeumer'), ('RESOLVED', '2003-08-12 14:31:47 EDT', 'akiezun'), ('FIXED', '2003-08-12 14:31:47 EDT', 'akiezun')]</t>
  </si>
  <si>
    <t>40628 41407 (view as bug list)</t>
  </si>
  <si>
    <t>2003-08-14 07:14:34 EDT</t>
  </si>
  <si>
    <t>2003-06-11 15:18 EDT</t>
  </si>
  <si>
    <t>2003-06-11 18:59:10 EDT</t>
  </si>
  <si>
    <t>[('CREATED', '2003-06-11 15:18 EDT'), ('adam_kiezun', '2003-06-11 18:59:10 EDT', 'akiezun'), ('problems refactoring static members [refactoring]', '2003-06-11 18:59:10 EDT', 'akiezun'), ('ASSIGNED', '2003-07-11 09:14:53 EDT', 'akiezun'), ('3.0 M3', '2003-07-11 09:14:53 EDT', 'akiezun'), ('P2', '2003-07-16 10:59:31 EDT', 'akiezun'), ('chris_mclaren', '2003-07-23 04:52:03 EDT', 'akiezun'), ('P1', '2003-07-23 04:52:42 EDT', 'akiezun'), ('N.Metchev', '2003-07-23 11:46:32 EDT', 'nikolaymetchev'), ('P2', '2003-08-11 11:54:03 EDT', 'akiezun'), ('jay_schmidgall', '2003-08-12 06:56:09 EDT', 'akiezun'), ('FIXED', '2003-08-14 07:14:34 EDT', 'akiezun'), ('RESOLVED', '2003-08-14 07:14:34 EDT', 'akiezun')]</t>
  </si>
  <si>
    <t>2003-07-13 10:18:50 EDT</t>
  </si>
  <si>
    <t>2009-08-30 02:42:38 EDT</t>
  </si>
  <si>
    <t>2003-06-13 06:44 EDT</t>
  </si>
  <si>
    <t>[('CREATED', '2003-06-13 06:44 EDT'), ('enhancement', '2003-07-13 10:18:50 EDT', 'dirk_baeumer'), ('RESOLVED', '2003-07-13 10:18:50 EDT', 'dirk_baeumer'), ('LATER', '2003-07-13 10:18:50 EDT', 'dirk_baeumer'), ('Move refactoring: package selection dialog should allow hierarchical layout [refactoring]', '2003-07-13 10:18:50 EDT', 'dirk_baeumer'), ('P4', '2003-12-01 13:57:47 EST', 'dirk_baeumer'), ('ggregory', '2003-12-17 16:25:30 EST', 'dirk_baeumer'), ('WONTFIX', '2009-08-30 02:42:38 EDT', 'webmaster')]</t>
  </si>
  <si>
    <t>39811 (view as bug list)</t>
  </si>
  <si>
    <t>39736</t>
  </si>
  <si>
    <t>2003-07-11 09:46:34 EDT</t>
  </si>
  <si>
    <t>2003-06-13 09:07 EDT</t>
  </si>
  <si>
    <t>2003-06-13 09:20:38 EDT</t>
  </si>
  <si>
    <t>[('CREATED', '2003-06-13 09:07 EDT'), ('dirk_baeumer', '2003-06-13 09:20:38 EDT', 'dirk_baeumer'), ('adam_kiezun', '2003-06-13 09:20:38 EDT', 'dirk_baeumer'), ("Why can't I copy if the file is read only? [refactoring]", '2003-06-13 09:20:38 EDT', 'dirk_baeumer'), ('3.0 M2', '2003-06-13 09:20:38 EDT', 'dirk_baeumer'), ('ASSIGNED', '2003-06-13 09:33:59 EDT', 'akiezun'), ('39736', '2003-07-08 06:15:14 EDT', 'akiezun'), ('headius', '2003-07-09 14:39:35 EDT', 'debbie_wilson'), ('RESOLVED', '2003-07-11 09:46:34 EDT', 'akiezun'), ('FIXED', '2003-07-11 09:46:34 EDT', 'akiezun')]</t>
  </si>
  <si>
    <t>2003-08-23 11:10:31 EDT</t>
  </si>
  <si>
    <t>2003-06-16 03:21 EDT</t>
  </si>
  <si>
    <t>2003-06-16 04:04:40 EDT</t>
  </si>
  <si>
    <t>[('CREATED', '2003-06-16 03:21 EDT'), ('martin_aeschlimann', '2003-06-16 04:04:40 EDT', 'dirk_baeumer'), ('quickfix: remove catch clause only offered inside catch clause [quick assist]', '2003-06-16 04:04:40 EDT', 'dirk_baeumer'), ('oleg_shteynbuk', '2003-06-16 13:14:55 EDT', 'oleg_shteynbuk'), ('RESOLVED', '2003-08-23 11:10:31 EDT', 'martinae'), ('FIXED', '2003-08-23 11:10:31 EDT', 'martinae'), ('3.0 M3', '2003-08-23 11:10:31 EDT', 'martinae')]</t>
  </si>
  <si>
    <t>2003-08-11 14:09:41 EDT</t>
  </si>
  <si>
    <t>2003-06-16 11:09 EDT</t>
  </si>
  <si>
    <t>2003-06-16 11:13:00 EDT</t>
  </si>
  <si>
    <t>[('CREATED', '2003-06-16 11:09 EDT'), ('adam_kiezun', '2003-06-16 11:13:00 EDT', 'dirk_baeumer'), ('Overlapping text edits [refactoring]', '2003-06-16 11:13:00 EDT', 'dirk_baeumer'), ('3.0', '2003-06-16 11:13:00 EDT', 'dirk_baeumer'), ('3.0 M3', '2003-08-05 08:18:29 EDT', 'dirk_baeumer'), ('P2', '2003-08-05 09:17:02 EDT', 'dirk_baeumer'), ('RESOLVED', '2003-08-11 14:09:41 EDT', 'akiezun'), ('INVALID', '2003-08-11 14:09:41 EDT', 'akiezun')]</t>
  </si>
  <si>
    <t>2004-05-18 05:12:51 EDT</t>
  </si>
  <si>
    <t>2004-05-19 07:38:03 EDT</t>
  </si>
  <si>
    <t>2003-06-17 03:12 EDT</t>
  </si>
  <si>
    <t>2003-06-17 04:06:19 EDT</t>
  </si>
  <si>
    <t>[('CREATED', '2003-06-17 03:12 EDT'), ('dirk_baeumer', '2003-06-17 04:06:19 EDT', 'dirk_baeumer'), ('Undo Rename refactoring fails [refactoring]', '2003-06-17 04:06:19 EDT', 'dirk_baeumer'), ('3.0 M9', '2004-05-18 05:12:51 EDT', 'dirk_baeumer'), ('RESOLVED', '2004-05-18 05:12:51 EDT', 'dirk_baeumer'), ('FIXED', '2004-05-18 05:12:51 EDT', 'dirk_baeumer'), ('VERIFIED', '2004-05-19 07:38:03 EDT', 'eclipse')]</t>
  </si>
  <si>
    <t>2003-08-11 13:09:18 EDT</t>
  </si>
  <si>
    <t>2003-06-17 07:01 EDT</t>
  </si>
  <si>
    <t>2003-06-17 07:11:10 EDT</t>
  </si>
  <si>
    <t>[('CREATED', '2003-06-17 07:01 EDT'), ('[refactoring] change method signature annoying defaults', '2003-06-17 07:11:10 EDT', 'akiezun'), ('adam_kiezun', '2003-06-17 07:11:50 EDT', 'akiezun'), ('3.0 M3', '2003-07-13 10:31:49 EDT', 'dirk_baeumer'), (nan, '2003-07-13 10:31:49 EDT', 'dirk_baeumer'), ('adam_kiezun', '2003-07-13 10:31:49 EDT', 'dirk_baeumer'), ('ASSIGNED', '2003-07-16 10:41:37 EDT', 'akiezun'), ('P2', '2003-08-05 09:17:21 EDT', 'dirk_baeumer'), ('RESOLVED', '2003-08-11 13:09:18 EDT', 'akiezun'), ('FIXED', '2003-08-11 13:09:18 EDT', 'akiezun')]</t>
  </si>
  <si>
    <t>2003-06-18 04:57:11 EDT</t>
  </si>
  <si>
    <t>2009-08-30 02:38:31 EDT</t>
  </si>
  <si>
    <t>2003-06-17 14:54 EDT</t>
  </si>
  <si>
    <t>2003-06-17 15:10:11 EDT</t>
  </si>
  <si>
    <t>[('CREATED', '2003-06-17 14:54 EDT'), ('jdt-ui-inbox', '2003-06-17 15:10:11 EDT', 'philippe_mulet'), ('UI', '2003-06-17 15:10:11 EDT', 'philippe_mulet'), ('enhancement', '2003-06-18 04:57:11 EDT', 'dirk_baeumer'), ('RESOLVED', '2003-06-18 04:57:11 EDT', 'dirk_baeumer'), ('P4', '2003-06-18 04:57:11 EDT', 'dirk_baeumer'), ('LATER', '2003-06-18 04:57:11 EDT', 'dirk_baeumer'), ('Refactor/Change Nethod Signature not enabled when &gt;1 method selected [refactoring]', '2003-06-18 04:57:11 EDT', 'dirk_baeumer'), ('WONTFIX', '2009-08-30 02:38:31 EDT', 'webmaster')]</t>
  </si>
  <si>
    <t>2003-06-20 09:39:50 EDT</t>
  </si>
  <si>
    <t>2003-06-17 17:42 EDT</t>
  </si>
  <si>
    <t>2003-06-17 18:40:42 EDT</t>
  </si>
  <si>
    <t>[('CREATED', '2003-06-17 17:42 EDT'), ('public', '2003-06-17 18:40:42 EDT', 'jimisola'), ('jdt-core-inbox', '2003-06-18 11:16:23 EDT', 'martinae'), ('Core', '2003-06-18 11:16:23 EDT', 'martinae'), ('ygulko', '2003-06-18 11:38:29 EDT', 'ygulko'), ('3.0 M2', '2003-06-20 09:39:13 EDT', 'martinae'), ('jdt-ui-inbox', '2003-06-20 09:39:13 EDT', 'martinae'), ('UI', '2003-06-20 09:39:13 EDT', 'martinae'), ('rfaust', '2003-06-20 09:39:32 EDT', 'martinae'), ('RESOLVED', '2003-06-20 09:39:50 EDT', 'martinae'), ('FIXED', '2003-06-20 09:39:50 EDT', 'martinae')]</t>
  </si>
  <si>
    <t>2003-08-26 09:19:43 EDT</t>
  </si>
  <si>
    <t>2009-08-30 02:06:24 EDT</t>
  </si>
  <si>
    <t>2003-06-18 15:27 EDT</t>
  </si>
  <si>
    <t>2003-06-19 04:41:50 EDT</t>
  </si>
  <si>
    <t>[('CREATED', '2003-06-18 15:27 EDT'), ('Kai-Uwe_Maetzel', '2003-06-19 04:41:50 EDT', 'dirk_baeumer'), ('refactoring changes the currently visible editor and prevents saving [refactoring] [editor]', '2003-06-19 04:41:50 EDT', 'dirk_baeumer'), ('RESOLVED', '2003-08-26 09:19:43 EDT', 'dirk_baeumer'), ('REMIND', '2003-08-26 09:19:43 EDT', 'dirk_baeumer'), ('nitind', '2003-10-02 12:00:37 EDT', 'thatnitind'), ('needinfo', '2009-08-30 02:06:24 EDT', 'denis.roy'), ('INVALID', '2009-08-30 02:06:24 EDT', 'denis.roy')]</t>
  </si>
  <si>
    <t>2003-12-15 14:45:31 EST</t>
  </si>
  <si>
    <t>2003-06-20 02:00 EDT</t>
  </si>
  <si>
    <t>2003-06-20 05:40:09 EDT</t>
  </si>
  <si>
    <t>[('CREATED', '2003-06-20 02:00 EDT'), ('jdt-ui-inbox', '2003-06-20 05:40:09 EDT', 'philippe_mulet'), ('UI', '2003-06-20 05:40:09 EDT', 'philippe_mulet'), ('Extract method in static initialisers [refactoring]', '2003-07-13 10:41:17 EDT', 'dirk_baeumer'), ('dirk_baeumer', '2003-07-13 10:41:17 EDT', 'dirk_baeumer'), ('3.0', '2003-07-13 10:41:31 EDT', 'dirk_baeumer'), ('RESOLVED', '2003-12-15 14:45:31 EST', 'dirk_baeumer'), ('FIXED', '2003-12-15 14:45:31 EST', 'dirk_baeumer'), ('3.0 M6', '2003-12-15 14:45:31 EST', 'dirk_baeumer')]</t>
  </si>
  <si>
    <t>2003-07-11 09:12:08 EDT</t>
  </si>
  <si>
    <t>2003-06-21 01:42 EDT</t>
  </si>
  <si>
    <t>2003-06-29 06:39:10 EDT</t>
  </si>
  <si>
    <t>[('CREATED', '2003-06-21 01:42 EDT'), ('jdt-ui-inbox', '2003-06-29 06:39:10 EDT', 'akiezun'), ('UI', '2003-06-29 06:39:10 EDT', 'akiezun'), ('Move and delete issues during refactoring', '2003-06-29 06:39:10 EDT', 'akiezun'), ('Move and delete issues during refactoring [refactoring]', '2003-06-30 05:29:06 EDT', 'dirk_baeumer'), ('ASSIGNED', '2003-06-30 05:29:06 EDT', 'dirk_baeumer'), ('adam_kiezun', '2003-07-09 05:43:23 EDT', 'akiezun'), ('NEW', '2003-07-09 05:43:23 EDT', 'akiezun'), ('3.0 M3', '2003-07-09 05:43:23 EDT', 'akiezun'), ('RESOLVED', '2003-07-11 09:12:08 EDT', 'akiezun'), ('FIXED', '2003-07-11 09:12:08 EDT', 'akiezun'), ('3.0 M2', '2003-07-11 09:12:08 EDT', 'akiezun')]</t>
  </si>
  <si>
    <t>2003-07-21 07:19:18 EDT</t>
  </si>
  <si>
    <t>2003-06-23 05:02 EDT</t>
  </si>
  <si>
    <t>2003-07-11 09:15:46 EDT</t>
  </si>
  <si>
    <t>[('CREATED', '2003-06-23 05:02 EDT'), ('ASSIGNED', '2003-07-11 09:15:46 EDT', 'akiezun'), ('3.0 M3', '2003-07-11 09:15:46 EDT', 'akiezun'), ('RESOLVED', '2003-07-21 07:19:18 EDT', 'akiezun'), ('FIXED', '2003-07-21 07:19:18 EDT', 'akiezun')]</t>
  </si>
  <si>
    <t>39275 39285 39332 (view as bug list)</t>
  </si>
  <si>
    <t>2003-07-08 06:24:58 EDT</t>
  </si>
  <si>
    <t>2003-06-23 17:41 EDT</t>
  </si>
  <si>
    <t>2003-06-24 04:29:23 EDT</t>
  </si>
  <si>
    <t>[('CREATED', '2003-06-23 17:41 EDT'), ('adam_kiezun', '2003-06-24 04:29:23 EDT', 'dirk_baeumer'), ('Types/Refactor/Move menu item absent. [refactoring]', '2003-06-24 04:29:23 EDT', 'dirk_baeumer'), ('3.0 M2', '2003-06-24 04:29:23 EDT', 'dirk_baeumer'), ('Michael_Valenta', '2003-06-24 12:16:27 EDT', 'dirk_baeumer'), ('enhancement', '2003-06-25 13:30:43 EDT', 'dirk_baeumer'), ('3.0', '2003-06-25 13:30:43 EDT', 'dirk_baeumer'), ('nick_edgar', '2003-06-25 13:31:21 EDT', 'dirk_baeumer'), ('RESOLVED', '2003-07-08 06:24:58 EDT', 'akiezun'), ('FIXED', '2003-07-08 06:24:58 EDT', 'akiezun'), ('3.0 M2', '2003-07-08 06:24:58 EDT', 'akiezun')]</t>
  </si>
  <si>
    <t>40926 42617 45166 45176 49366 51286 73732 76090 76922 (view as bug list)</t>
  </si>
  <si>
    <t>2005-09-06 13:49:13 EDT</t>
  </si>
  <si>
    <t>2005-09-20 05:40:07 EDT</t>
  </si>
  <si>
    <t>2003-06-24 05:59 EDT</t>
  </si>
  <si>
    <t>2003-06-24 08:54:19 EDT</t>
  </si>
  <si>
    <t>[('CREATED', '2003-06-24 05:59 EDT'), ('jdt-ui-inbox', '2003-06-24 08:54:19 EDT', 'philippe_mulet'), ('UI', '2003-06-24 08:54:19 EDT', 'philippe_mulet'), ('ASSIGNED', '2003-06-24 11:14:19 EDT', 'dirk_baeumer'), ('option to make refactor rename hierarchical [refactoring]', '2003-06-24 11:14:19 EDT', 'dirk_baeumer'), ('cliyang', '2003-07-31 04:47:05 EDT', 'dirk_baeumer'), ('pepblast', '2003-09-05 12:58:18 EDT', 'dirk_baeumer'), ('option to make refactor package rename hierarchical [refactoring]', '2003-11-18 06:57:14 EST', 'dirk_baeumer'), ('slash', '2003-11-18 06:57:19 EST', 'dirk_baeumer'), ('eclipse', '2003-11-27 08:50:28 EST', 'dirk_baeumer'), ('gbegic', '2003-12-24 11:49:12 EST', 'gbegic'), ('boris', '2003-12-28 12:07:05 EST', 'dirk_baeumer'), ('desjardins', '2004-02-06 11:48:15 EST', 'akiezun'), ('eclipse', '2004-05-13 09:32:30 EDT', 'eclipse'), ('scheglov_ke', '2004-05-14 07:32:50 EDT', 'Konstantin.Scheglov'), ('mindcrime', '2004-08-16 02:34:25 EDT', 'mindcrime'), ('prhodes', '2004-08-16 02:34:53 EDT', 'mindcrime'), ('roman_dolgov', '2004-09-14 05:47:57 EDT', 'dirk_baeumer'), ('dolevd', '2004-10-13 06:40:28 EDT', 'dirk_baeumer'), ('eclipse', '2004-10-26 05:16:04 EDT', 'dirk_baeumer'), ('chabert', '2005-01-13 03:49:43 EST', 'sylvain.chabert'), ('analogue', '2005-05-18 01:16:03 EDT', 'analogue'), ('mlists', '2005-06-17 10:22:29 EDT', 'mlists'), ('bonawitz+eclipse', '2005-07-06 15:54:45 EDT', 'bonawitz+eclipse'), ('markus_keller', '2005-09-06 13:45:02 EDT', 'markus.kell.r'), ('NEW', '2005-09-06 13:45:02 EDT', 'markus.kell.r'), ('3.2 M2', '2005-09-06 13:45:02 EDT', 'markus.kell.r'), ('RESOLVED', '2005-09-06 13:49:13 EDT', 'markus.kell.r'), ('FIXED', '2005-09-06 13:49:13 EDT', 'markus.kell.r'), ('VERIFIED', '2005-09-20 05:40:07 EDT', 'tobias_widmer')]</t>
  </si>
  <si>
    <t>RESOLVED  DUPLICATE  of bug 39246</t>
  </si>
  <si>
    <t>2003-06-24 12:16:27 EDT</t>
  </si>
  <si>
    <t>2003-06-24 11:19 EDT</t>
  </si>
  <si>
    <t>[('CREATED', '2003-06-24 11:19 EDT'), ('RESOLVED', '2003-06-24 12:16:27 EDT', 'dirk_baeumer'), ('DUPLICATE', '2003-06-24 12:16:27 EDT', 'dirk_baeumer')]</t>
  </si>
  <si>
    <t>2003-06-25 13:32:13 EDT</t>
  </si>
  <si>
    <t>2003-06-24 15:25 EDT</t>
  </si>
  <si>
    <t>[('CREATED', '2003-06-24 15:25 EDT'), ('RESOLVED', '2003-06-25 13:32:13 EDT', 'dirk_baeumer'), ('DUPLICATE', '2003-06-25 13:32:13 EDT', 'dirk_baeumer')]</t>
  </si>
  <si>
    <t>2003-06-27 04:11:08 EDT</t>
  </si>
  <si>
    <t>2009-08-30 02:14:01 EDT</t>
  </si>
  <si>
    <t>2003-06-24 16:51 EDT</t>
  </si>
  <si>
    <t>2003-06-25 09:38:39 EDT</t>
  </si>
  <si>
    <t>[('CREATED', '2003-06-24 16:51 EDT'), ('knut_radloff', '2003-06-25 09:38:39 EDT', 'debbie_wilson'), ("[LinkedResources] Linked Folder rename doesn't change the project properties", '2003-06-25 09:38:39 EDT', 'debbie_wilson'), ('jdt-ui-inbox', '2003-06-26 19:12:02 EDT', 'knut_radloff'), ('JDT', '2003-06-26 19:12:02 EDT', 'knut_radloff'), ("Folder rename doesn't change the project properties", '2003-06-26 19:12:02 EDT', 'knut_radloff'), ('RESOLVED', '2003-06-27 04:11:08 EDT', 'dirk_baeumer'), ('LATER', '2003-06-27 04:11:08 EDT', 'dirk_baeumer'), ("Folder rename doesn't change the project properties [refactoring] [participants]", '2003-06-27 04:11:08 EDT', 'dirk_baeumer'), ('WONTFIX', '2009-08-30 02:14:01 EDT', 'denis.roy')]</t>
  </si>
  <si>
    <t>RESOLVED  DUPLICATE  of bug 37879</t>
  </si>
  <si>
    <t>2003-08-15 08:22:25 EDT</t>
  </si>
  <si>
    <t>2003-06-25 06:22 EDT</t>
  </si>
  <si>
    <t>2003-07-13 10:44:31 EDT</t>
  </si>
  <si>
    <t>[('CREATED', '2003-06-25 06:22 EDT'), ('adam_kiezun', '2003-07-13 10:44:31 EDT', 'dirk_baeumer'), ('refactor/change method signature need polish [refactoring]', '2003-07-13 10:44:31 EDT', 'dirk_baeumer'), ('3.0 M3', '2003-07-13 10:44:31 EDT', 'dirk_baeumer'), ('dirk_baeumer', '2003-07-15 11:16:31 EDT', 'akiezun'), ('ASSIGNED', '2003-07-15 11:16:31 EDT', 'akiezun'), ('DUPLICATE', '2003-08-15 08:22:25 EDT', 'akiezun'), ('RESOLVED', '2003-08-15 08:22:25 EDT', 'akiezun')]</t>
  </si>
  <si>
    <t>2004-05-25 03:53:30 EDT</t>
  </si>
  <si>
    <t>2004-05-28 09:30:05 EDT</t>
  </si>
  <si>
    <t>2003-06-25 10:59 EDT</t>
  </si>
  <si>
    <t>2003-06-25 13:35:34 EDT</t>
  </si>
  <si>
    <t>[('CREATED', '2003-06-25 10:59 EDT'), ('ASSIGNED', '2003-06-25 13:35:34 EDT', 'dirk_baeumer'), ('FIXED', '2004-05-25 03:53:30 EDT', 'markus.kell.r'), ('3.0 RC1', '2004-05-25 03:53:30 EDT', 'markus.kell.r'), ('RESOLVED', '2004-05-25 03:53:30 EDT', 'markus.kell.r'), ('VERIFIED', '2004-05-28 09:30:05 EDT', 'eclipse')]</t>
  </si>
  <si>
    <t>2003-06-25 13:31:21 EDT</t>
  </si>
  <si>
    <t>2003-06-25 12:12 EDT</t>
  </si>
  <si>
    <t>[('CREATED', '2003-06-25 12:12 EDT'), ('RESOLVED', '2003-06-25 13:31:21 EDT', 'dirk_baeumer'), ('DUPLICATE', '2003-06-25 13:31:21 EDT', 'dirk_baeumer')]</t>
  </si>
  <si>
    <t>2003-07-08 12:55:20 EDT</t>
  </si>
  <si>
    <t>2003-06-26 07:33 EDT</t>
  </si>
  <si>
    <t>2003-06-26 11:30:50 EDT</t>
  </si>
  <si>
    <t>[('CREATED', '2003-06-26 07:33 EDT'), ('adam_kiezun', '2003-06-26 11:30:50 EDT', 'akiezun'), ('ASSIGNED', '2003-07-08 09:57:02 EDT', 'akiezun'), ('3.0 M3', '2003-07-08 09:57:02 EDT', 'akiezun'), ('RESOLVED', '2003-07-08 12:55:20 EDT', 'akiezun'), ('FIXED', '2003-07-08 12:55:20 EDT', 'akiezun'), ('3.0 M2', '2003-07-08 12:55:20 EDT', 'akiezun')]</t>
  </si>
  <si>
    <t>2003-07-13 13:35:55 EDT</t>
  </si>
  <si>
    <t>2003-07-17 10:11:26 EDT</t>
  </si>
  <si>
    <t>2003-06-26 11:16 EDT</t>
  </si>
  <si>
    <t>2003-06-26 11:44:58 EDT</t>
  </si>
  <si>
    <t>[('CREATED', '2003-06-26 11:16 EDT'), ('dirk_baeumer', '2003-06-26 11:44:58 EDT', 'martinae'), ('adam_kiezun', '2003-06-27 08:49:30 EDT', 'akiezun'), ('major', '2003-06-27 10:33:30 EDT', 'akiezun'), ('RESOLVED', '2003-07-13 13:35:55 EDT', 'dirk_baeumer'), ('FIXED', '2003-07-13 13:35:55 EDT', 'dirk_baeumer'), ('3.0 M2', '2003-07-13 13:35:55 EDT', 'dirk_baeumer'), ('VERIFIED', '2003-07-17 10:11:26 EDT', 'akiezun')]</t>
  </si>
  <si>
    <t>2003-06-27 05:09:45 EDT</t>
  </si>
  <si>
    <t>2003-06-26 21:54 EDT</t>
  </si>
  <si>
    <t>[('CREATED', '2003-06-26 21:54 EDT'), ('adam_kiezun', '2003-06-27 05:09:45 EDT', 'akiezun'), ('RESOLVED', '2003-06-27 05:09:45 EDT', 'akiezun'), ('WONTFIX', '2003-06-27 05:09:45 EDT', 'akiezun')]</t>
  </si>
  <si>
    <t>2003-07-02 07:33:03 EDT</t>
  </si>
  <si>
    <t>2003-06-27 05:43 EDT</t>
  </si>
  <si>
    <t>2003-06-27 05:55:34 EDT</t>
  </si>
  <si>
    <t>[('CREATED', '2003-06-27 05:43 EDT'), ('adam_kiezun', '2003-06-27 05:55:34 EDT', 'akiezun'), ('adam_kiezun', '2003-06-27 10:44:10 EDT', 'dirk_baeumer'), ('Pull up could add import statements as necessary [refactoring]', '2003-06-27 10:44:10 EDT', 'dirk_baeumer'), ('3.0 M2', '2003-06-27 10:44:10 EDT', 'dirk_baeumer'), ('ASSIGNED', '2003-06-27 11:17:27 EDT', 'akiezun'), ('3.0 M3', '2003-06-27 11:17:27 EDT', 'akiezun'), ('RESOLVED', '2003-07-02 07:33:03 EDT', 'akiezun'), ('FIXED', '2003-07-02 07:33:03 EDT', 'akiezun'), ('3.0 M2', '2003-07-02 07:33:03 EDT', 'akiezun')]</t>
  </si>
  <si>
    <t>2003-07-11 09:19:43 EDT</t>
  </si>
  <si>
    <t>2003-06-27 07:49 EDT</t>
  </si>
  <si>
    <t>2003-06-27 10:43:24 EDT</t>
  </si>
  <si>
    <t>[('CREATED', '2003-06-27 07:49 EDT'), ('ASSIGNED', '2003-06-27 10:43:24 EDT', 'dirk_baeumer'), ('Add support for pulling up static fields [refactoring]', '2003-06-27 10:43:24 EDT', 'dirk_baeumer'), ('3.0', '2003-06-27 10:43:24 EDT', 'dirk_baeumer'), ('RESOLVED', '2003-07-11 09:19:43 EDT', 'akiezun'), ('DUPLICATE', '2003-07-11 09:19:43 EDT', 'akiezun')]</t>
  </si>
  <si>
    <t>2003-06-30 12:20:54 EDT</t>
  </si>
  <si>
    <t>2003-06-27 08:55 EDT</t>
  </si>
  <si>
    <t>2003-06-27 10:30:18 EDT</t>
  </si>
  <si>
    <t>2003-06-30 12:21:07 EDT</t>
  </si>
  <si>
    <t>[('CREATED', '2003-06-27 08:55 EDT'), ('adam_kiezun', '2003-06-27 10:30:18 EDT', 'dirk_baeumer'), ('The members list in push down menu does not fill the requester [refactoring]', '2003-06-27 10:30:18 EDT', 'dirk_baeumer'), ('adam_kiezun', '2003-06-30 12:20:41 EDT', 'akiezun'), ('RESOLVED', '2003-06-30 12:20:54 EDT', 'akiezun'), ('FIXED', '2003-06-30 12:20:54 EDT', 'akiezun'), ('3.0 M2', '2003-06-30 12:21:07 EDT', 'akiezun')]</t>
  </si>
  <si>
    <t>2006-05-24 16:44:21 EDT</t>
  </si>
  <si>
    <t>2009-08-30 02:05:05 EDT</t>
  </si>
  <si>
    <t>2006-05-24 16:44:02 EDT</t>
  </si>
  <si>
    <t>2003-06-27 19:00 EDT</t>
  </si>
  <si>
    <t>2003-06-27 19:43:47 EDT</t>
  </si>
  <si>
    <t>[('CREATED', '2003-06-27 19:00 EDT'), ('major', '2003-06-27 19:43:47 EDT', 'chris'), ('jdt-ui-inbox', '2003-06-30 06:16:52 EDT', 'philippe_mulet'), ('UI', '2003-06-30 06:16:52 EDT', 'philippe_mulet'), ('erich_gamma', '2003-07-07 05:22:30 EDT', 'erich_gamma'), ('erimurph', '2005-12-08 13:41:20 EST', 'erimurph'), ('3.2', '2006-05-24 05:48:23 EDT', 'erich_gamma'), ('jdt-ui-inbox', '2006-05-24 05:48:23 EDT', 'erich_gamma'), ('RESOLVED', '2006-05-24 16:43:42 EDT', 'martinae'), ('LATER', '2006-05-24 16:43:42 EDT', 'martinae'), ('[Junit] When run as JUnit Test, Specific Class Name cause NoClassDefFoundError (copy with other name is working!)', '2006-05-24 16:43:42 EDT', 'martinae'), ('REOPENED', '2006-05-24 16:44:02 EDT', 'martinae'), ('---', '2006-05-24 16:44:02 EDT', 'martinae'), ('RESOLVED', '2006-05-24 16:44:21 EDT', 'martinae'), ('REMIND', '2006-05-24 16:44:21 EDT', 'martinae'), ('needinfo', '2009-08-30 02:05:05 EDT', 'denis.roy'), ('INVALID', '2009-08-30 02:05:05 EDT', 'denis.roy')]</t>
  </si>
  <si>
    <t>424452 (view as bug list)</t>
  </si>
  <si>
    <t>2003-07-13 10:46:40 EDT</t>
  </si>
  <si>
    <t>2003-06-28 17:18 EDT</t>
  </si>
  <si>
    <t>2003-06-30 04:32:15 EDT</t>
  </si>
  <si>
    <t>2014-01-28 08:14:29 EST</t>
  </si>
  <si>
    <t>[('CREATED', '2003-06-28 17:18 EDT'), ('jdt-ui-inbox', '2003-06-30 04:32:15 EDT', 'philippe_mulet'), ('UI', '2003-06-30 04:32:15 EDT', 'philippe_mulet'), ('RESOLVED', '2003-07-13 10:46:40 EDT', 'dirk_baeumer'), ('WORKSFORME', '2003-07-13 10:46:40 EDT', 'dirk_baeumer'), ('mb6502', '2013-12-20 00:25:48 EST', 'manju656'), ('eero.aaltonen', '2014-01-28 08:14:29 EST', 'daniel_megert')]</t>
  </si>
  <si>
    <t>2003-07-02 06:01:35 EDT</t>
  </si>
  <si>
    <t>2003-07-02 04:05 EDT</t>
  </si>
  <si>
    <t>2003-07-02 05:17:34 EDT</t>
  </si>
  <si>
    <t>[('CREATED', '2003-07-02 04:05 EDT'), ('adam_kiezun', '2003-07-02 05:17:34 EDT', 'akiezun'), (nan, '2003-07-02 05:28:54 EDT', 'daniel_megert'), ('adam_kiezun', '2003-07-02 05:28:54 EDT', 'daniel_megert'), ('3.0 M2', '2003-07-02 05:28:54 EDT', 'daniel_megert'), ('RESOLVED', '2003-07-02 06:01:35 EDT', 'akiezun'), ('FIXED', '2003-07-02 06:01:35 EDT', 'akiezun')]</t>
  </si>
  <si>
    <t>2003-08-20 13:39:49 EDT</t>
  </si>
  <si>
    <t>2003-07-02 06:09 EDT</t>
  </si>
  <si>
    <t>2003-07-13 10:51:56 EDT</t>
  </si>
  <si>
    <t>[('CREATED', '2003-07-02 06:09 EDT'), ('dirk_baeumer', '2003-07-13 10:51:56 EDT', 'dirk_baeumer'), ('3.0 M3', '2003-07-13 10:51:56 EDT', 'dirk_baeumer'), ('RESOLVED', '2003-08-20 13:39:49 EDT', 'dirk_baeumer'), ('FIXED', '2003-08-20 13:39:49 EDT', 'dirk_baeumer')]</t>
  </si>
  <si>
    <t>RESOLVED  DUPLICATE  of bug 135057</t>
  </si>
  <si>
    <t>2006-04-06 03:18:14 EDT</t>
  </si>
  <si>
    <t>2003-07-04 06:53 EDT</t>
  </si>
  <si>
    <t>2003-07-04 09:36:32 EDT</t>
  </si>
  <si>
    <t>[('CREATED', '2003-07-04 06:53 EDT'), ('dirk_baeumer', '2003-07-04 09:36:32 EDT', 'dirk_baeumer'), ('CompilationUnitChange cannot handle in-memory-only compilation units [refactoring]', '2003-07-04 09:36:32 EDT', 'dirk_baeumer'), ('3.0', '2003-07-04 09:36:32 EDT', 'dirk_baeumer'), ('---', '2004-04-27 08:18:37 EDT', 'dirk_baeumer'), ('enhancement', '2004-12-22 06:04:47 EST', 'dirk_baeumer'), ('tobias_widmer', '2006-04-05 14:10:12 EDT', 'dirk_baeumer'), ('[refactoring] CompilationUnitChange cannot handle in-memory-only compilation units [refactoring]', '2006-04-05 14:10:12 EDT', 'dirk_baeumer'), ('RESOLVED', '2006-04-06 03:18:14 EDT', 'tobias_widmer'), ('DUPLICATE', '2006-04-06 03:18:14 EDT', 'tobias_widmer')]</t>
  </si>
  <si>
    <t>2003-07-04 15:00:39 EDT</t>
  </si>
  <si>
    <t>2003-07-04 07:29 EDT</t>
  </si>
  <si>
    <t>2003-07-04 08:04:40 EDT</t>
  </si>
  <si>
    <t>[('CREATED', '2003-07-04 07:29 EDT'), ('jdt-ui-inbox', '2003-07-04 08:04:40 EDT', 'philippe_mulet'), ('UI', '2003-07-04 08:04:40 EDT', 'philippe_mulet'), ('adam_kiezun', '2003-07-04 09:29:26 EDT', 'dirk_baeumer'), ('classcast exception when refactoring change method signature [refactoring]', '2003-07-04 09:29:26 EDT', 'dirk_baeumer'), ('3.0 M2', '2003-07-04 09:29:26 EDT', 'dirk_baeumer'), ('ASSIGNED', '2003-07-04 09:38:05 EDT', 'akiezun'), ('RESOLVED', '2003-07-04 15:00:39 EDT', 'akiezun'), ('FIXED', '2003-07-04 15:00:39 EDT', 'akiezun')]</t>
  </si>
  <si>
    <t>2003-08-13 14:24:08 EDT</t>
  </si>
  <si>
    <t>2003-07-04 09:35 EDT</t>
  </si>
  <si>
    <t>2003-07-04 09:36:05 EDT</t>
  </si>
  <si>
    <t>[('CREATED', '2003-07-04 09:35 EDT'), ('adam_kiezun', '2003-07-04 09:36:05 EDT', 'dirk_baeumer'), ('3.0 M2', '2003-07-04 09:36:05 EDT', 'dirk_baeumer'), ('ASSIGNED', '2003-07-04 09:38:55 EDT', 'akiezun'), ('3.0 M3', '2003-07-04 09:38:55 EDT', 'akiezun'), ('P2', '2003-08-05 09:17:46 EDT', 'dirk_baeumer'), ('RESOLVED', '2003-08-13 14:24:08 EDT', 'akiezun'), ('FIXED', '2003-08-13 14:24:08 EDT', 'akiezun')]</t>
  </si>
  <si>
    <t>2003-07-04 15:30 EDT</t>
  </si>
  <si>
    <t>2003-07-04 17:22:54 EDT</t>
  </si>
  <si>
    <t>2007-06-14 10:46:44 EDT</t>
  </si>
  <si>
    <t>[('CREATED', '2003-07-04 15:30 EDT'), ('jdt-ui-inbox', '2003-07-04 17:22:54 EDT', 'philippe_mulet'), ('UI', '2003-07-04 17:22:54 EDT', 'philippe_mulet'), ('enhancement', '2003-07-07 05:34:31 EDT', 'akiezun'), ('ASSIGNED', '2003-07-07 06:28:48 EDT', 'dirk_baeumer'), ('[refactoring] Push down does NOT allow subtype selection. [refactoring]', '2003-07-07 06:28:48 EDT', 'dirk_baeumer'), ('dcorbin', '2004-07-08 19:58:51 EDT', 'dcorbin'), ('tobias_widmer', '2006-06-15 02:03:16 EDT', 'martinae'), ('NEW', '2006-06-15 02:03:16 EDT', 'martinae'), ('[push down] Push down does NOT allow subtype selection. [refactoring]', '2006-06-15 02:03:16 EDT', 'martinae'), ('jdt-ui-inbox', '2007-06-14 10:46:44 EDT', 'martinae')]</t>
  </si>
  <si>
    <t>RESOLVED  DUPLICATE  of bug 24379</t>
  </si>
  <si>
    <t>2007-07-24 11:43:16 EDT</t>
  </si>
  <si>
    <t>2007-07-24 11:42:54 EDT</t>
  </si>
  <si>
    <t>2003-07-07 18:11 EDT</t>
  </si>
  <si>
    <t>2003-07-08 04:42:36 EDT</t>
  </si>
  <si>
    <t>[('CREATED', '2003-07-07 18:11 EDT'), ('UI', '2003-07-08 04:42:36 EDT', 'akiezun'), ('jdt-ui-inbox', '2003-07-08 04:42:46 EDT', 'akiezun'), ('RESOLVED', '2003-07-08 10:08:14 EDT', 'dirk_baeumer'), ('LATER', '2003-07-08 10:08:14 EDT', 'dirk_baeumer'), ('Add Refactor/Remove interface method and all impls. [refactoring]', '2003-07-08 10:08:14 EDT', 'dirk_baeumer'), ('REOPENED', '2007-07-24 11:42:54 EDT', 'benno.baumgartner'), ('---', '2007-07-24 11:42:54 EDT', 'benno.baumgartner'), ('RESOLVED', '2007-07-24 11:43:16 EDT', 'benno.baumgartner'), ('DUPLICATE', '2007-07-24 11:43:16 EDT', 'benno.baumgartner')]</t>
  </si>
  <si>
    <t>2003-07-08 09:46:52 EDT</t>
  </si>
  <si>
    <t>2003-07-07 18:27 EDT</t>
  </si>
  <si>
    <t>2003-07-08 04:43:21 EDT</t>
  </si>
  <si>
    <t>[('CREATED', '2003-07-07 18:27 EDT'), ('jdt-ui-inbox', '2003-07-08 04:43:21 EDT', 'akiezun'), ('UI', '2003-07-08 04:43:21 EDT', 'akiezun'), ('adam_kiezun', '2003-07-08 04:44:43 EDT', 'akiezun'), ('3.0 M3', '2003-07-08 04:44:43 EDT', 'akiezun'), ('Refactor of nested type broken for default package [refactoring]', '2003-07-08 04:45:55 EDT', 'akiezun'), ('ASSIGNED', '2003-07-08 06:32:21 EDT', 'akiezun'), ('3.0 M2', '2003-07-08 06:32:21 EDT', 'akiezun'), ('RESOLVED', '2003-07-08 09:46:52 EDT', 'akiezun'), ('FIXED', '2003-07-08 09:46:52 EDT', 'akiezun')]</t>
  </si>
  <si>
    <t>2004-09-15 13:30:17 EDT</t>
  </si>
  <si>
    <t>2003-07-08 04:42 EDT</t>
  </si>
  <si>
    <t>2003-07-08 04:42:37 EDT</t>
  </si>
  <si>
    <t>[('CREATED', '2003-07-08 04:42 EDT'), ('adam_kiezun', '2003-07-08 04:42:37 EDT', 'dirk_baeumer'), ('3.0 M3', '2003-07-08 04:42:37 EDT', 'dirk_baeumer'), ('P4', '2003-08-05 08:20:45 EDT', 'dirk_baeumer'), ('adam_kiezun', '2003-08-21 10:57:38 EDT', 'akiezun'), ('jdt-ui-inbox', '2003-08-21 10:57:38 EDT', 'akiezun'), ('3.0', '2003-08-21 10:57:38 EDT', 'akiezun'), ('ASSIGNED', '2003-08-21 11:37:34 EDT', 'dirk_baeumer'), ('---', '2004-04-27 08:19:42 EDT', 'dirk_baeumer'), ('RESOLVED', '2004-09-15 13:30:17 EDT', 'dirk_baeumer'), ('WONTFIX', '2004-09-15 13:30:17 EDT', 'dirk_baeumer')]</t>
  </si>
  <si>
    <t>39756 (view as bug list)</t>
  </si>
  <si>
    <t>2003-07-08 10:17:53 EDT</t>
  </si>
  <si>
    <t>2003-07-08 06:29 EDT</t>
  </si>
  <si>
    <t>2003-07-08 10:17:41 EDT</t>
  </si>
  <si>
    <t>2003-07-08 10:53:27 EDT</t>
  </si>
  <si>
    <t>[('CREATED', '2003-07-08 06:29 EDT'), ('dirk_baeumer', '2003-07-08 10:17:41 EDT', 'dirk_baeumer'), ('RESOLVED', '2003-07-08 10:17:53 EDT', 'dirk_baeumer'), ('FIXED', '2003-07-08 10:17:53 EDT', 'dirk_baeumer'), ('3.0 M2', '2003-07-08 10:17:53 EDT', 'dirk_baeumer'), ('martin_aeschlimann', '2003-07-08 10:53:27 EDT', 'dirk_baeumer')]</t>
  </si>
  <si>
    <t>2003-07-08 09:07:30 EDT</t>
  </si>
  <si>
    <t>2003-07-08 07:04 EDT</t>
  </si>
  <si>
    <t>2003-07-08 07:15:48 EDT</t>
  </si>
  <si>
    <t>[('CREATED', '2003-07-08 07:04 EDT'), ('NPE in InstanceMethodMover while organizing imports [refactoring]', '2003-07-08 07:15:48 EDT', 'akiezun'), ('adam_kiezun', '2003-07-08 07:35:33 EDT', 'akiezun'), ('3.0 M2', '2003-07-08 09:02:34 EDT', 'dirk_baeumer'), ('RESOLVED', '2003-07-08 09:07:30 EDT', 'akiezun'), ('FIXED', '2003-07-08 09:07:30 EDT', 'akiezun')]</t>
  </si>
  <si>
    <t>2004-04-27 08:22:00 EDT</t>
  </si>
  <si>
    <t>2003-07-08 07:06 EDT</t>
  </si>
  <si>
    <t>2003-07-08 11:59:20 EDT</t>
  </si>
  <si>
    <t>[('CREATED', '2003-07-08 07:06 EDT'), ('dirk_baeumer', '2003-07-08 11:59:20 EDT', 'dirk_baeumer'), ('3.0 M2', '2003-07-08 11:59:20 EDT', 'dirk_baeumer'), ('log filled by Refactoring/Core when changing selecting in changed file [refactoring]', '2003-07-14 12:56:06 EDT', 'dirk_baeumer'), ('3.0 M3', '2003-07-14 12:56:06 EDT', 'dirk_baeumer'), ('3.0 M4', '2003-08-20 11:49:22 EDT', 'dirk_baeumer'), ('3.0 M5', '2003-10-02 13:57:09 EDT', 'dirk_baeumer'), ('3.0', '2003-11-17 11:59:47 EST', 'dirk_baeumer'), ('RESOLVED', '2004-04-27 08:22:00 EDT', 'dirk_baeumer'), ('FIXED', '2004-04-27 08:22:00 EDT', 'dirk_baeumer')]</t>
  </si>
  <si>
    <t>RESOLVED  DUPLICATE  of bug 39738</t>
  </si>
  <si>
    <t>2003-07-08 10:48 EDT</t>
  </si>
  <si>
    <t>[('CREATED', '2003-07-08 10:48 EDT'), ('RESOLVED', '2003-07-08 10:53:27 EDT', 'dirk_baeumer'), ('DUPLICATE', '2003-07-08 10:53:27 EDT', 'dirk_baeumer')]</t>
  </si>
  <si>
    <t>2003-07-09 13:00:05 EDT</t>
  </si>
  <si>
    <t>2003-07-09 05:45 EDT</t>
  </si>
  <si>
    <t>2003-07-09 05:55:47 EDT</t>
  </si>
  <si>
    <t>[('CREATED', '2003-07-09 05:45 EDT'), ('adam_kiezun', '2003-07-09 05:55:47 EDT', 'dirk_baeumer'), ('pasting should not ask for saving files [reorg] [refactoring]', '2003-07-09 05:55:47 EDT', 'dirk_baeumer'), ('3.0 M2', '2003-07-09 05:55:47 EDT', 'dirk_baeumer'), ('RESOLVED', '2003-07-09 13:00:05 EDT', 'akiezun'), ('FIXED', '2003-07-09 13:00:05 EDT', 'akiezun')]</t>
  </si>
  <si>
    <t>2003-07-09 10:39:38 EDT</t>
  </si>
  <si>
    <t>2003-07-17 10:09:40 EDT</t>
  </si>
  <si>
    <t>2003-07-09 06:57 EDT</t>
  </si>
  <si>
    <t>2003-07-09 10:37:37 EDT</t>
  </si>
  <si>
    <t>[('CREATED', '2003-07-09 06:57 EDT'), ('dirk_baeumer', '2003-07-09 10:37:37 EDT', 'dirk_baeumer'), ('RESOLVED', '2003-07-09 10:39:38 EDT', 'dirk_baeumer'), ('FIXED', '2003-07-09 10:39:38 EDT', 'dirk_baeumer'), ('rename method does not ask for saving, misses refs [refactoring]', '2003-07-09 10:39:38 EDT', 'dirk_baeumer'), ('3.0 M2', '2003-07-09 10:39:38 EDT', 'dirk_baeumer'), ('VERIFIED', '2003-07-17 10:09:40 EDT', 'akiezun')]</t>
  </si>
  <si>
    <t>2003-07-09 10:41:52 EDT</t>
  </si>
  <si>
    <t>2003-07-09 06:59 EDT</t>
  </si>
  <si>
    <t>2003-07-09 10:40:12 EDT</t>
  </si>
  <si>
    <t>[('CREATED', '2003-07-09 06:59 EDT'), ('dirk_baeumer', '2003-07-09 10:40:12 EDT', 'dirk_baeumer'), ("rename resource shows the 'preview' button [refactoring]", '2003-07-09 10:40:12 EDT', 'dirk_baeumer'), ('3.0 M2', '2003-07-09 10:40:12 EDT', 'dirk_baeumer'), ('RESOLVED', '2003-07-09 10:41:52 EDT', 'dirk_baeumer'), ('FIXED', '2003-07-09 10:41:52 EDT', 'dirk_baeumer')]</t>
  </si>
  <si>
    <t>2003-07-09 10:45:56 EDT</t>
  </si>
  <si>
    <t>2003-07-09 10:37 EDT</t>
  </si>
  <si>
    <t>2003-07-09 10:42:47 EDT</t>
  </si>
  <si>
    <t>[('CREATED', '2003-07-09 10:37 EDT'), ('jdt-ui-inbox', '2003-07-09 10:42:47 EDT', 'akiezun'), ('UI', '2003-07-09 10:42:47 EDT', 'akiezun'), ('RESOLVED', '2003-07-09 10:45:56 EDT', 'dirk_baeumer'), ('DUPLICATE', '2003-07-09 10:45:56 EDT', 'dirk_baeumer')]</t>
  </si>
  <si>
    <t>2003-07-14 14:23:57 EDT</t>
  </si>
  <si>
    <t>2003-07-10 06:31 EDT</t>
  </si>
  <si>
    <t>2003-07-13 11:00:55 EDT</t>
  </si>
  <si>
    <t>[('CREATED', '2003-07-10 06:31 EDT'), ('dirk_baeumer', '2003-07-13 11:00:55 EDT', 'dirk_baeumer'), ('3.0 M3', '2003-07-13 11:00:55 EDT', 'dirk_baeumer'), ('RESOLVED', '2003-07-14 14:23:57 EDT', 'dirk_baeumer'), ('FIXED', '2003-07-14 14:23:57 EDT', 'dirk_baeumer'), ('3.0 M2', '2003-07-14 14:23:57 EDT', 'dirk_baeumer')]</t>
  </si>
  <si>
    <t>39861 (view as bug list)</t>
  </si>
  <si>
    <t>2003-07-14 14:11:40 EDT</t>
  </si>
  <si>
    <t>2003-07-10 06:41 EDT</t>
  </si>
  <si>
    <t>2003-07-10 07:38:48 EDT</t>
  </si>
  <si>
    <t>[('CREATED', '2003-07-10 06:41 EDT'), ('philippe_mulet', '2003-07-10 07:38:48 EDT', 'akiezun'), ('dirk_baeumer', '2003-07-13 11:01:31 EDT', 'dirk_baeumer'), ('3.0 M3', '2003-07-13 11:01:31 EDT', 'dirk_baeumer'), ('RESOLVED', '2003-07-14 14:11:40 EDT', 'dirk_baeumer'), ('FIXED', '2003-07-14 14:11:40 EDT', 'dirk_baeumer'), ('3.0 M2', '2003-07-14 14:11:40 EDT', 'dirk_baeumer')]</t>
  </si>
  <si>
    <t>RESOLVED  DUPLICATE  of bug 39028</t>
  </si>
  <si>
    <t>2003-07-10 08:20:42 EDT</t>
  </si>
  <si>
    <t>2003-07-10 07:26 EDT</t>
  </si>
  <si>
    <t>[('CREATED', '2003-07-10 07:26 EDT'), ('RESOLVED', '2003-07-10 08:20:42 EDT', 'dirk_baeumer'), ('DUPLICATE', '2003-07-10 08:20:42 EDT', 'dirk_baeumer')]</t>
  </si>
  <si>
    <t>RESOLVED  DUPLICATE  of bug 39859</t>
  </si>
  <si>
    <t>2003-07-10 07:28 EDT</t>
  </si>
  <si>
    <t>[('CREATED', '2003-07-10 07:28 EDT'), ('RESOLVED', '2003-07-10 07:38:48 EDT', 'akiezun'), ('DUPLICATE', '2003-07-10 07:38:48 EDT', 'akiezun')]</t>
  </si>
  <si>
    <t>39947 (view as bug list)</t>
  </si>
  <si>
    <t>2005-03-11 05:26:20 EST</t>
  </si>
  <si>
    <t>2003-07-10 07:37 EDT</t>
  </si>
  <si>
    <t>2003-07-10 07:37:57 EDT</t>
  </si>
  <si>
    <t>[('CREATED', '2003-07-10 07:37 EDT'), ('ASSIGNED', '2003-07-10 07:37:57 EDT', 'akiezun'), ('3.0 M3', '2003-07-10 07:37:57 EDT', 'akiezun'), ('P2', '2003-07-15 11:10:18 EDT', 'akiezun'), ('3.0', '2003-08-21 11:04:39 EDT', 'akiezun'), ('use supertype: cannot control whether instanceof references are updated [refactoring]', '2004-03-18 05:15:35 EST', 'dirk_baeumer'), ('---', '2004-03-18 05:15:35 EST', 'dirk_baeumer'), ('dirk_baeumer', '2004-03-18 05:15:35 EST', 'dirk_baeumer'), ('enhancement', '2004-03-18 05:15:35 EST', 'dirk_baeumer'), ('NEW', '2004-03-18 05:15:35 EST', 'dirk_baeumer'), ('P3', '2004-03-18 05:15:35 EST', 'dirk_baeumer'), ('markus_keller', '2004-07-01 11:19:13 EDT', 'markus.kell.r'), ('tobias_widmer', '2004-12-22 06:05:26 EST', 'dirk_baeumer'), ('3.1 M6', '2005-02-10 05:51:15 EST', 'tobias_widmer'), ('RESOLVED', '2005-03-11 05:26:20 EST', 'tobias_widmer'), ('FIXED', '2005-03-11 05:26:20 EST', 'tobias_widmer')]</t>
  </si>
  <si>
    <t>2003-07-11 06:41:24 EDT</t>
  </si>
  <si>
    <t>2003-07-10 10:09 EDT</t>
  </si>
  <si>
    <t>2003-07-10 11:15:05 EDT</t>
  </si>
  <si>
    <t>[('CREATED', '2003-07-10 10:09 EDT'), ('adam_kiezun', '2003-07-10 11:15:05 EDT', 'dirk_baeumer'), ('3.0 M2', '2003-07-10 11:15:05 EDT', 'dirk_baeumer'), ('ASSIGNED', '2003-07-11 06:23:35 EDT', 'akiezun'), ('RESOLVED', '2003-07-11 06:41:24 EDT', 'akiezun'), ('FIXED', '2003-07-11 06:41:24 EDT', 'akiezun')]</t>
  </si>
  <si>
    <t>2004-11-23 11:16:20 EST</t>
  </si>
  <si>
    <t>2003-07-10 16:43 EDT</t>
  </si>
  <si>
    <t>2003-07-11 04:21:24 EDT</t>
  </si>
  <si>
    <t>[('CREATED', '2003-07-10 16:43 EDT'), ('adam_kiezun', '2003-07-11 04:21:24 EDT', 'dirk_baeumer'), ('pull up method error when superclass already contains method called by pulled method [refactoring]', '2003-07-11 04:21:24 EDT', 'dirk_baeumer'), ('N.Metchev', '2003-10-07 05:27:13 EDT', 'nikolaymetchev'), ('matt_lavin', '2004-05-04 10:23:10 EDT', 'matt_lavin'), ('tobias_widmer', '2004-11-23 04:40:59 EST', 'markus.kell.r'), ('RESOLVED', '2004-11-23 11:16:20 EST', 'tobias_widmer'), ('FIXED', '2004-11-23 11:16:20 EST', 'tobias_widmer'), ('3.1 M4', '2004-11-23 11:16:20 EST', 'tobias_widmer')]</t>
  </si>
  <si>
    <t>111811</t>
  </si>
  <si>
    <t>2006-06-16 16:35:49 EDT</t>
  </si>
  <si>
    <t>2009-08-30 02:41:55 EDT</t>
  </si>
  <si>
    <t>2003-07-11 03:55 EDT</t>
  </si>
  <si>
    <t>2003-07-11 04:30:02 EDT</t>
  </si>
  <si>
    <t>[('CREATED', '2003-07-11 03:55 EDT'), ('ASSIGNED', '2003-07-11 04:30:02 EDT', 'dirk_baeumer'), ('convert local variable to field in TestCase [refactoring] [JUnit]', '2003-07-11 04:30:12 EDT', 'dirk_baeumer'), ('N.Metchev', '2003-10-08 12:20:16 EDT', 'nikolaymetchev'), ('dcorbin', '2004-04-17 19:25:08 EDT', 'dcorbin'), ('111811', '2005-10-07 11:22:14 EDT', 'david'), ('saff', '2005-10-07 11:22:43 EDT', 'david'), ('[JUnit] convert local variable to field in TestCase', '2006-06-16 16:35:49 EDT', 'martinae'), ('RESOLVED', '2006-06-16 16:35:49 EDT', 'martinae'), ('LATER', '2006-06-16 16:35:49 EDT', 'martinae'), ('WONTFIX', '2009-08-30 02:41:55 EDT', 'webmaster')]</t>
  </si>
  <si>
    <t>39804 (view as bug list)</t>
  </si>
  <si>
    <t>2003-08-13 11:37:06 EDT</t>
  </si>
  <si>
    <t>2003-07-11 05:30 EDT</t>
  </si>
  <si>
    <t>2003-08-11 08:44:07 EDT</t>
  </si>
  <si>
    <t>[('CREATED', '2003-07-11 05:30 EDT'), ('colinml1', '2003-08-11 08:44:07 EDT', 'rfaust'), ('1', '2003-08-11 10:22:38 EDT', 'rfaust'), ('1', '2003-08-13 09:06:20 EDT', 'rfaust'), ('1', '2003-08-13 09:06:20 EDT', 'rfaust'), ('1', '2003-08-13 09:06:20 EDT', 'rfaust'), ('1', '2003-08-13 11:03:20 EDT', 'rfaust'), ('RESOLVED', '2003-08-13 11:37:06 EDT', 'martinae'), ('FIXED', '2003-08-13 11:37:06 EDT', 'martinae'), ('3.0 M3', '2003-08-13 11:37:06 EDT', 'martinae')]</t>
  </si>
  <si>
    <t>2003-07-14 10:22:07 EDT</t>
  </si>
  <si>
    <t>2003-07-11 09:13 EDT</t>
  </si>
  <si>
    <t>2003-07-13 11:02:45 EDT</t>
  </si>
  <si>
    <t>[('CREATED', '2003-07-11 09:13 EDT'), ('adam_kiezun', '2003-07-13 11:02:45 EDT', 'dirk_baeumer'), ('NPE inlining a variable [refactoring]', '2003-07-13 11:02:45 EDT', 'dirk_baeumer'), ('3.0 M2', '2003-07-13 11:02:45 EDT', 'dirk_baeumer'), ('adam_kiezun', '2003-07-14 05:24:12 EDT', 'akiezun'), ('dirk_baeumer', '2003-07-14 05:24:12 EDT', 'akiezun'), ('RESOLVED', '2003-07-14 10:22:07 EDT', 'dirk_baeumer'), ('FIXED', '2003-07-14 10:22:07 EDT', 'dirk_baeumer')]</t>
  </si>
  <si>
    <t>2003-08-13 09:57:26 EDT</t>
  </si>
  <si>
    <t>2003-07-13 13:44 EDT</t>
  </si>
  <si>
    <t>2003-07-13 13:44:30 EDT</t>
  </si>
  <si>
    <t>[('CREATED', '2003-07-13 13:44 EDT'), ('3.0 M3', '2003-07-13 13:44:30 EDT', 'dirk_baeumer'), ('P2', '2003-08-05 08:22:08 EDT', 'dirk_baeumer'), ('RESOLVED', '2003-08-13 09:57:26 EDT', 'akiezun'), ('FIXED', '2003-08-13 09:57:26 EDT', 'akiezun')]</t>
  </si>
  <si>
    <t>2003-08-20 09:56:11 EDT</t>
  </si>
  <si>
    <t>2003-07-14 14:23 EDT</t>
  </si>
  <si>
    <t>2003-07-14 14:23:26 EDT</t>
  </si>
  <si>
    <t>[('CREATED', '2003-07-14 14:23 EDT'), ('Inline Method should work for empty selection [refactoring]', '2003-07-14 14:23:26 EDT', 'dirk_baeumer'), ('3.0 M3', '2003-07-14 14:23:26 EDT', 'dirk_baeumer'), ('RESOLVED', '2003-08-20 09:56:11 EDT', 'dirk_baeumer'), ('FIXED', '2003-08-20 09:56:11 EDT', 'dirk_baeumer')]</t>
  </si>
  <si>
    <t>2003-07-15 03:44:01 EDT</t>
  </si>
  <si>
    <t>2003-07-15 03:01 EDT</t>
  </si>
  <si>
    <t>[('CREATED', '2003-07-15 03:01 EDT'), ('RESOLVED', '2003-07-15 03:44:01 EDT', 'dirk_baeumer'), ('FIXED', '2003-07-15 03:44:01 EDT', 'dirk_baeumer'), ('3.0 M2', '2003-07-15 03:44:01 EDT', 'dirk_baeumer')]</t>
  </si>
  <si>
    <t>2003-07-16 09:50:22 EDT</t>
  </si>
  <si>
    <t>2003-07-15 06:54 EDT</t>
  </si>
  <si>
    <t>2003-07-16 09:50:08 EDT</t>
  </si>
  <si>
    <t>[('CREATED', '2003-07-15 06:54 EDT'), ('dirk_baeumer', '2003-07-16 09:50:08 EDT', 'dirk_baeumer'), ('NPE in refactoring preview [refactoring]', '2003-07-16 09:50:08 EDT', 'dirk_baeumer'), ('3.0 M2', '2003-07-16 09:50:08 EDT', 'dirk_baeumer'), ('RESOLVED', '2003-07-16 09:50:22 EDT', 'dirk_baeumer'), ('FIXED', '2003-07-16 09:50:22 EDT', 'dirk_baeumer')]</t>
  </si>
  <si>
    <t>RESOLVED  DUPLICATE  of bug 40120</t>
  </si>
  <si>
    <t>2003-07-15 11:56:26 EDT</t>
  </si>
  <si>
    <t>2003-07-15 11:55 EDT</t>
  </si>
  <si>
    <t>[('CREATED', '2003-07-15 11:55 EDT'), ('RESOLVED', '2003-07-15 11:56:26 EDT', 'akiezun'), ('DUPLICATE', '2003-07-15 11:56:26 EDT', 'akiezun')]</t>
  </si>
  <si>
    <t>40119 (view as bug list)</t>
  </si>
  <si>
    <t>2003-08-13 06:30:05 EDT</t>
  </si>
  <si>
    <t>2003-07-15 11:55:45 EDT</t>
  </si>
  <si>
    <t>[('CREATED', '2003-07-15 11:55 EDT'), ('3.0', '2003-07-15 11:55:45 EDT', 'akiezun'), ('1', '2003-08-13 05:50:21 EDT', 'markus.kell.r'), ('RESOLVED', '2003-08-13 06:30:05 EDT', 'akiezun'), ('FIXED', '2003-08-13 06:30:05 EDT', 'akiezun'), ('3.0 M3', '2003-08-13 06:30:05 EDT', 'akiezun')]</t>
  </si>
  <si>
    <t>RESOLVED  DUPLICATE  of bug 40452</t>
  </si>
  <si>
    <t>2003-07-18 05:39:40 EDT</t>
  </si>
  <si>
    <t>2003-07-15 14:59 EDT</t>
  </si>
  <si>
    <t>2003-07-16 04:23:48 EDT</t>
  </si>
  <si>
    <t>[('CREATED', '2003-07-15 14:59 EDT'), ('adam_kiezun', '2003-07-16 04:23:48 EDT', 'dirk_baeumer'), ('Exception during rename of a method declaration [refactoring]', '2003-07-16 04:23:48 EDT', 'dirk_baeumer'), ('3.0 M3', '2003-07-16 04:23:48 EDT', 'dirk_baeumer'), ('RESOLVED', '2003-07-18 05:39:40 EDT', 'akiezun'), ('DUPLICATE', '2003-07-18 05:39:40 EDT', 'akiezun')]</t>
  </si>
  <si>
    <t>2003-07-16 05:25:58 EDT</t>
  </si>
  <si>
    <t>2003-07-15 16:08 EDT</t>
  </si>
  <si>
    <t>2003-07-16 04:16:57 EDT</t>
  </si>
  <si>
    <t>[('CREATED', '2003-07-15 16:08 EDT'), ('adam_kiezun', '2003-07-16 04:16:57 EDT', 'dirk_baeumer'), ('3.0 M2', '2003-07-16 04:16:57 EDT', 'dirk_baeumer'), ('RESOLVED', '2003-07-16 05:25:58 EDT', 'akiezun'), ('WORKSFORME', '2003-07-16 05:25:58 EDT', 'akiezun')]</t>
  </si>
  <si>
    <t>2003-07-16 10:38:57 EDT</t>
  </si>
  <si>
    <t>2003-08-03 06:37:04 EDT</t>
  </si>
  <si>
    <t>2003-07-16 10:20 EDT</t>
  </si>
  <si>
    <t>2003-08-03 06:37:26 EDT</t>
  </si>
  <si>
    <t>avijayr</t>
  </si>
  <si>
    <t>[('CREATED', '2003-07-16 10:20 EDT'), ('RESOLVED', '2003-07-16 10:38:57 EDT', 'dirk_baeumer'), ('FIXED', '2003-07-16 10:38:57 EDT', 'dirk_baeumer'), ('VERIFIED', '2003-08-03 06:37:04 EDT', 'avijayr'), ('CLOSED', '2003-08-03 06:37:26 EDT', 'avijayr')]</t>
  </si>
  <si>
    <t>80839</t>
  </si>
  <si>
    <t>2005-02-07 11:05:56 EST</t>
  </si>
  <si>
    <t>2005-02-18 05:48:10 EST</t>
  </si>
  <si>
    <t>2003-07-16 13:14 EDT</t>
  </si>
  <si>
    <t>2003-07-18 04:41:40 EDT</t>
  </si>
  <si>
    <t>[('CREATED', '2003-07-16 13:14 EDT'), ('dirk_baeumer', '2003-07-18 04:41:40 EDT', 'dirk_baeumer'), ('inline method: loses comments [refactoring]', '2003-07-18 04:41:40 EDT', 'dirk_baeumer'), ('martin_aeschlimann', '2004-05-18 05:16:13 EDT', 'dirk_baeumer'), ('80839', '2004-12-22 06:07:27 EST', 'dirk_baeumer'), ('3.1 M5', '2005-02-04 06:57:18 EST', 'dirk_baeumer'), ('RESOLVED', '2005-02-07 11:05:56 EST', 'dirk_baeumer'), ('FIXED', '2005-02-07 11:05:56 EST', 'dirk_baeumer'), ('daniel_megert', '2005-02-18 05:48:10 EST', 'daniel_megert'), ('VERIFIED', '2005-02-18 05:48:10 EST', 'daniel_megert')]</t>
  </si>
  <si>
    <t>2003-09-22 08:35:20 EDT</t>
  </si>
  <si>
    <t>2003-07-17 06:21 EDT</t>
  </si>
  <si>
    <t>2003-07-17 09:23:55 EDT</t>
  </si>
  <si>
    <t>[('CREATED', '2003-07-17 06:21 EDT'), ('martin_aeschlimann', '2003-07-17 09:23:55 EDT', 'dirk_baeumer'), ('rfaust', '2003-07-17 10:27:59 EDT', 'martinae'), ('3.0 M4', '2003-08-26 08:20:26 EDT', 'rfaust'), ('dirk_baeumer', '2003-09-05 14:19:01 EDT', 'rfaust'), ('1', '2003-09-09 07:06:08 EDT', 'rfaust'), ('1', '2003-09-09 11:30:16 EDT', 'rfaust'), ('1', '2003-09-19 09:43:35 EDT', 'rfaust'), (nan, '2003-09-19 11:29:04 EDT', 'dirk_baeumer'), ('RESOLVED', '2003-09-22 08:35:20 EDT', 'martinae'), ('FIXED', '2003-09-22 08:35:20 EDT', 'martinae')]</t>
  </si>
  <si>
    <t>2003-07-18 06:02:42 EDT</t>
  </si>
  <si>
    <t>2003-07-17 07:00 EDT</t>
  </si>
  <si>
    <t>2003-07-17 12:04:39 EDT</t>
  </si>
  <si>
    <t>[('CREATED', '2003-07-17 07:00 EDT'), ('dirk_baeumer', '2003-07-17 12:04:39 EDT', 'dirk_baeumer'), ('3.0 M3', '2003-07-17 12:04:39 EDT', 'dirk_baeumer'), ('RESOLVED', '2003-07-18 06:02:42 EDT', 'dirk_baeumer'), ('FIXED', '2003-07-18 06:02:42 EDT', 'dirk_baeumer')]</t>
  </si>
  <si>
    <t>2003-07-18 06:12:08 EDT</t>
  </si>
  <si>
    <t>2003-07-17 07:10 EDT</t>
  </si>
  <si>
    <t>2003-07-18 04:43:06 EDT</t>
  </si>
  <si>
    <t>[('CREATED', '2003-07-17 07:10 EDT'), ('dirk_baeumer', '2003-07-18 04:43:06 EDT', 'dirk_baeumer'), ('extract method: behavior changed after extraction [refactoring]', '2003-07-18 04:43:06 EDT', 'dirk_baeumer'), ('RESOLVED', '2003-07-18 06:12:08 EDT', 'dirk_baeumer'), ('FIXED', '2003-07-18 06:12:08 EDT', 'dirk_baeumer'), ('3.0 M3', '2003-07-18 06:12:08 EDT', 'dirk_baeumer')]</t>
  </si>
  <si>
    <t>2003-07-31 08:16:12 EDT</t>
  </si>
  <si>
    <t>2003-07-17 08:06 EDT</t>
  </si>
  <si>
    <t>2003-07-18 04:44:47 EDT</t>
  </si>
  <si>
    <t>[('CREATED', '2003-07-17 08:06 EDT'), ('dirk_baeumer', '2003-07-18 04:44:47 EDT', 'dirk_baeumer'), ('P4', '2003-07-18 04:44:47 EDT', 'dirk_baeumer'), ('extract method: compile error (static member classes and dup replacement) [refactoring]', '2003-07-18 04:44:47 EDT', 'dirk_baeumer'), ('RESOLVED', '2003-07-31 08:16:12 EDT', 'dirk_baeumer'), ('FIXED', '2003-07-31 08:16:12 EDT', 'dirk_baeumer'), ('3.0 M3', '2003-07-31 08:16:12 EDT', 'dirk_baeumer')]</t>
  </si>
  <si>
    <t>2003-07-31 10:23:29 EDT</t>
  </si>
  <si>
    <t>2003-07-17 09:10 EDT</t>
  </si>
  <si>
    <t>2003-07-17 12:50:25 EDT</t>
  </si>
  <si>
    <t>[('CREATED', '2003-07-17 09:10 EDT'), ('dirk_baeumer', '2003-07-17 12:50:25 EDT', 'dirk_baeumer'), ('3.0 M2', '2003-07-17 12:50:25 EDT', 'dirk_baeumer'), ('3.0 M3', '2003-07-17 12:52:30 EDT', 'dirk_baeumer'), ('RESOLVED', '2003-07-31 10:23:29 EDT', 'dirk_baeumer'), ('FIXED', '2003-07-31 10:23:29 EDT', 'dirk_baeumer'), ('extract method: assertion failed [refactoring]', '2003-07-31 10:23:29 EDT', 'dirk_baeumer')]</t>
  </si>
  <si>
    <t>2003-07-31 10:39:21 EDT</t>
  </si>
  <si>
    <t>2003-07-17 09:15 EDT</t>
  </si>
  <si>
    <t>2003-07-17 11:48:45 EDT</t>
  </si>
  <si>
    <t>[('CREATED', '2003-07-17 09:15 EDT'), ('dirk_baeumer', '2003-07-17 11:48:45 EDT', 'dirk_baeumer'), ('3.0', '2003-07-17 11:48:45 EDT', 'dirk_baeumer'), ('Rafael_Chaves', '2003-07-18 15:50:49 EDT', 'eclipse'), ('P2', '2003-07-21 11:02:53 EDT', 'akiezun'), ('3.0 M3', '2003-07-28 05:02:59 EDT', 'dirk_baeumer'), ('FIXED', '2003-07-31 10:39:21 EDT', 'dirk_baeumer'), ('RESOLVED', '2003-07-31 10:39:21 EDT', 'dirk_baeumer')]</t>
  </si>
  <si>
    <t>2003-08-13 12:14:36 EDT</t>
  </si>
  <si>
    <t>2003-07-17 09:20 EDT</t>
  </si>
  <si>
    <t>2003-07-17 09:42:36 EDT</t>
  </si>
  <si>
    <t>2003-08-13 12:14:47 EDT</t>
  </si>
  <si>
    <t>[('CREATED', '2003-07-17 09:20 EDT'), ('adam_kiezun', '2003-07-17 09:42:36 EDT', 'dirk_baeumer'), ("extract temp: should be dissallowed in increment part of 'for' [refactoring]", '2003-07-17 09:42:36 EDT', 'dirk_baeumer'), ('3.0 M3', '2003-07-17 09:42:36 EDT', 'dirk_baeumer'), ('markus_keller', '2003-07-21 12:49:06 EDT', 'akiezun'), ('3.0', '2003-07-21 12:49:06 EDT', 'akiezun'), ('jdt-ui-inbox', '2003-07-31 10:52:22 EDT', 'markus.kell.r'), ('dirk_baeumer', '2003-07-31 11:35:31 EDT', 'dirk_baeumer'), ('markus_keller', '2003-07-31 11:35:31 EDT', 'dirk_baeumer'), ('1', '2003-08-07 13:48:45 EDT', 'markus.kell.r'), ('1', '2003-08-07 13:50:08 EDT', 'markus.kell.r'), ('adam_kiezun', '2003-08-08 05:07:52 EDT', 'dirk_baeumer'), ('1', '2003-08-13 08:50:52 EDT', 'markus.kell.r'), ('RESOLVED', '2003-08-13 12:14:36 EDT', 'akiezun'), ('FIXED', '2003-08-13 12:14:36 EDT', 'akiezun'), ('3.0 M3', '2003-08-13 12:14:47 EDT', 'akiezun')]</t>
  </si>
  <si>
    <t>RESOLVED  DUPLICATE  of bug 179281</t>
  </si>
  <si>
    <t>2004-05-18 09:39:07 EDT</t>
  </si>
  <si>
    <t>2009-08-30 02:41:28 EDT</t>
  </si>
  <si>
    <t>2010-01-25 10:00:31 EST</t>
  </si>
  <si>
    <t>2003-07-17 09:45 EDT</t>
  </si>
  <si>
    <t>2003-07-18 04:45:24 EDT</t>
  </si>
  <si>
    <t>[('CREATED', '2003-07-17 09:45 EDT'), ('dirk_baeumer', '2003-07-18 04:45:24 EDT', 'dirk_baeumer'), ('P4', '2003-07-18 04:45:24 EDT', 'dirk_baeumer'), ('extract method: compile error (blank finals left uninitialized) [refactoring]', '2003-07-18 04:45:24 EDT', 'dirk_baeumer'), ('RESOLVED', '2004-05-18 09:39:07 EDT', 'dirk_baeumer'), ('LATER', '2004-05-18 09:39:07 EDT', 'dirk_baeumer'), ('WONTFIX', '2009-08-30 02:41:28 EDT', 'webmaster'), ('jdt-ui-inbox', '2009-08-30 02:41:28 EDT', 'webmaster'), ('markus_keller', '2010-01-25 10:00:31 EST', 'markus.kell.r'), ('DUPLICATE', '2010-01-25 10:00:31 EST', 'markus.kell.r')]</t>
  </si>
  <si>
    <t>2003-08-20 11:42:42 EDT</t>
  </si>
  <si>
    <t>2003-07-17 09:49 EDT</t>
  </si>
  <si>
    <t>2003-07-17 10:03:08 EDT</t>
  </si>
  <si>
    <t>[('CREATED', '2003-07-17 09:49 EDT'), ('dirk_baeumer', '2003-07-17 10:03:08 EDT', 'dirk_baeumer'), ('inline method into another class forgets to qualify field access [refactoring]', '2003-07-17 10:03:08 EDT', 'dirk_baeumer'), ('3.0 M3', '2003-07-17 10:03:08 EDT', 'dirk_baeumer'), ('RESOLVED', '2003-08-20 11:42:42 EDT', 'dirk_baeumer'), ('FIXED', '2003-08-20 11:42:42 EDT', 'dirk_baeumer')]</t>
  </si>
  <si>
    <t>2003-07-31 08:14:57 EDT</t>
  </si>
  <si>
    <t>2003-07-17 09:56 EDT</t>
  </si>
  <si>
    <t>2003-07-18 05:19:28 EDT</t>
  </si>
  <si>
    <t>[('CREATED', '2003-07-17 09:56 EDT'), ('dirk_baeumer', '2003-07-18 05:19:28 EDT', 'dirk_baeumer'), ('extract method: compile error (some methods must be static) [refactoring]', '2003-07-18 05:19:28 EDT', 'dirk_baeumer'), ('WONTFIX', '2003-07-31 08:14:57 EDT', 'dirk_baeumer'), ('RESOLVED', '2003-07-31 08:14:57 EDT', 'dirk_baeumer'), ('P4', '2003-07-31 08:14:57 EDT', 'dirk_baeumer')]</t>
  </si>
  <si>
    <t>2003-07-17 10:22:08 EDT</t>
  </si>
  <si>
    <t>2003-07-17 10:03 EDT</t>
  </si>
  <si>
    <t>2003-07-17 10:21:46 EDT</t>
  </si>
  <si>
    <t>[('CREATED', '2003-07-17 10:03 EDT'), ('dirk_baeumer', '2003-07-17 10:21:46 EDT', 'dirk_baeumer'), ('3.0 M2', '2003-07-17 10:21:46 EDT', 'dirk_baeumer'), ('RESOLVED', '2003-07-17 10:22:08 EDT', 'dirk_baeumer'), ('FIXED', '2003-07-17 10:22:08 EDT', 'dirk_baeumer')]</t>
  </si>
  <si>
    <t>2005-01-17 06:48:28 EST</t>
  </si>
  <si>
    <t>2003-07-17 10:04 EDT</t>
  </si>
  <si>
    <t>2003-07-17 10:09:11 EDT</t>
  </si>
  <si>
    <t>[('CREATED', '2003-07-17 10:04 EDT'), ('adam_kiezun', '2003-07-17 10:09:11 EDT', 'dirk_baeumer'), ('extract interface: preview compare ranges wrong [refactoring]', '2003-07-17 10:09:11 EDT', 'dirk_baeumer'), ('3.0 M3', '2003-07-17 10:09:11 EDT', 'dirk_baeumer'), ('---', '2003-08-05 08:24:34 EDT', 'dirk_baeumer'), ('minor', '2003-08-22 09:04:30 EDT', 'akiezun'), ('P4', '2003-08-22 09:04:30 EDT', 'akiezun'), ('RESOLVED', '2005-01-17 06:48:28 EST', 'tobias_widmer'), ('FIXED', '2005-01-17 06:48:28 EST', 'tobias_widmer')]</t>
  </si>
  <si>
    <t>2003-08-22 12:45:03 EDT</t>
  </si>
  <si>
    <t>2003-07-17 10:09 EDT</t>
  </si>
  <si>
    <t>2003-07-17 11:35:45 EDT</t>
  </si>
  <si>
    <t>[('CREATED', '2003-07-17 10:09 EDT'), ('dirk_baeumer', '2003-07-17 11:35:45 EDT', 'dirk_baeumer'), ('3.0 M2', '2003-07-17 11:35:45 EDT', 'dirk_baeumer'), ('normal', '2003-07-17 11:37:14 EDT', 'dirk_baeumer'), ('3.0 M3', '2003-07-17 11:37:14 EDT', 'dirk_baeumer'), ('Assertion failed during rename refactoring (method) [refactoring]', '2003-07-17 11:37:30 EDT', 'dirk_baeumer'), ('N.Metchev', '2003-07-24 04:57:03 EDT', 'nikolaymetchev'), ('RESOLVED', '2003-08-22 12:45:03 EDT', 'dirk_baeumer'), ('FIXED', '2003-08-22 12:45:03 EDT', 'dirk_baeumer')]</t>
  </si>
  <si>
    <t>2003-07-17 11:13:21 EDT</t>
  </si>
  <si>
    <t>2003-07-17 10:13 EDT</t>
  </si>
  <si>
    <t>2003-07-17 10:58:41 EDT</t>
  </si>
  <si>
    <t>[('CREATED', '2003-07-17 10:13 EDT'), ('dirk_baeumer', '2003-07-17 10:58:41 EDT', 'dirk_baeumer'), ('3.0 M2', '2003-07-17 10:58:41 EDT', 'dirk_baeumer'), ('RESOLVED', '2003-07-17 11:13:21 EDT', 'dirk_baeumer'), ('FIXED', '2003-07-17 11:13:21 EDT', 'dirk_baeumer')]</t>
  </si>
  <si>
    <t>2003-07-17 12:45:43 EDT</t>
  </si>
  <si>
    <t>2003-07-17 10:14 EDT</t>
  </si>
  <si>
    <t>2003-07-17 10:20:16 EDT</t>
  </si>
  <si>
    <t>[('CREATED', '2003-07-17 10:14 EDT'), ('adam_kiezun', '2003-07-17 10:20:16 EDT', 'dirk_baeumer'), ('3.0 M2', '2003-07-17 10:20:16 EDT', 'dirk_baeumer'), ('RESOLVED', '2003-07-17 12:45:43 EDT', 'akiezun'), ('FIXED', '2003-07-17 12:45:43 EDT', 'akiezun')]</t>
  </si>
  <si>
    <t>2003-07-31 11:19:15 EDT</t>
  </si>
  <si>
    <t>2003-07-17 10:29 EDT</t>
  </si>
  <si>
    <t>2003-07-18 05:26:15 EDT</t>
  </si>
  <si>
    <t>[('CREATED', '2003-07-17 10:29 EDT'), ('dirk_baeumer', '2003-07-18 05:26:15 EDT', 'dirk_baeumer'), ('Extract Method dialog should have param table at end [refactoring]', '2003-07-18 05:26:15 EDT', 'dirk_baeumer'), ('RESOLVED', '2003-07-31 11:19:15 EDT', 'dirk_baeumer'), ('WONTFIX', '2003-07-31 11:19:15 EDT', 'dirk_baeumer')]</t>
  </si>
  <si>
    <t>2003-08-13 11:37:36 EDT</t>
  </si>
  <si>
    <t>2003-07-21 12:46:26 EDT</t>
  </si>
  <si>
    <t>2003-08-11 06:46:23 EDT</t>
  </si>
  <si>
    <t>2003-07-17 10:33 EDT</t>
  </si>
  <si>
    <t>2003-07-17 10:56:21 EDT</t>
  </si>
  <si>
    <t>[('CREATED', '2003-07-17 10:33 EDT'), ('adam_kiezun', '2003-07-17 10:56:21 EDT', 'dirk_baeumer'), ('3.0 M3', '2003-07-17 10:56:21 EDT', 'dirk_baeumer'), ('ASSIGNED', '2003-07-17 11:50:18 EDT', 'akiezun'), ('RESOLVED', '2003-07-21 12:46:26 EDT', 'akiezun'), ('WORKSFORME', '2003-07-21 12:46:26 EDT', 'akiezun'), ('---', '2003-08-11 06:46:23 EDT', 'eclipse'), ('REOPENED', '2003-08-11 06:46:23 EDT', 'eclipse'), ('ASSIGNED', '2003-08-13 10:42:37 EDT', 'akiezun'), ('RESOLVED', '2003-08-13 11:37:36 EDT', 'akiezun'), ('FIXED', '2003-08-13 11:37:36 EDT', 'akiezun')]</t>
  </si>
  <si>
    <t>2003-07-17 11:18:35 EDT</t>
  </si>
  <si>
    <t>2003-07-17 11:16 EDT</t>
  </si>
  <si>
    <t>[('CREATED', '2003-07-17 11:16 EDT'), ('RESOLVED', '2003-07-17 11:18:35 EDT', 'dirk_baeumer'), ('FIXED', '2003-07-17 11:18:35 EDT', 'dirk_baeumer'), ('3.0 M2', '2003-07-17 11:18:35 EDT', 'dirk_baeumer')]</t>
  </si>
  <si>
    <t>2003-08-20 13:15:49 EDT</t>
  </si>
  <si>
    <t>2003-07-17 12:06 EDT</t>
  </si>
  <si>
    <t>2003-07-17 12:06:46 EDT</t>
  </si>
  <si>
    <t>[('CREATED', '2003-07-17 12:06 EDT'), ('Bogus error message when selecting String in editor and trying to rename it [refactoring]', '2003-07-17 12:06:46 EDT', 'dirk_baeumer'), ('3.0 M3', '2003-07-17 12:06:46 EDT', 'dirk_baeumer'), ('RESOLVED', '2003-08-20 13:15:49 EDT', 'dirk_baeumer'), ('FIXED', '2003-08-20 13:15:49 EDT', 'dirk_baeumer')]</t>
  </si>
  <si>
    <t>2003-08-14 11:42:07 EDT</t>
  </si>
  <si>
    <t>2003-07-17 12:23 EDT</t>
  </si>
  <si>
    <t>2003-07-17 12:28:56 EDT</t>
  </si>
  <si>
    <t>[('CREATED', '2003-07-17 12:23 EDT'), ('adam_kiezun', '2003-07-17 12:28:56 EDT', 'dirk_baeumer'), ('3.0 M2', '2003-07-17 12:28:56 EDT', 'dirk_baeumer'), ('ASSIGNED', '2003-07-17 12:42:17 EDT', 'akiezun'), ('3.0 M3', '2003-07-17 12:42:17 EDT', 'akiezun'), ('P2', '2003-08-05 08:25:23 EDT', 'dirk_baeumer'), ('RESOLVED', '2003-08-14 11:42:07 EDT', 'akiezun'), ('FIXED', '2003-08-14 11:42:07 EDT', 'akiezun')]</t>
  </si>
  <si>
    <t>2003-08-14 08:44:47 EDT</t>
  </si>
  <si>
    <t>2003-07-17 12:45 EDT</t>
  </si>
  <si>
    <t>2003-07-17 12:47:43 EDT</t>
  </si>
  <si>
    <t>[('CREATED', '2003-07-17 12:45 EDT'), ('adam_kiezun', '2003-07-17 12:47:43 EDT', 'dirk_baeumer'), ('3.0 M2', '2003-07-17 12:47:43 EDT', 'dirk_baeumer'), ('ASSIGNED', '2003-07-17 13:10:19 EDT', 'akiezun'), ('3.0 M3', '2003-07-17 13:10:19 EDT', 'akiezun'), ('P2', '2003-08-05 08:26:10 EDT', 'dirk_baeumer'), ('FIXED', '2003-08-14 08:44:47 EDT', 'akiezun'), ('RESOLVED', '2003-08-14 08:44:47 EDT', 'akiezun')]</t>
  </si>
  <si>
    <t>40135 41001 (view as bug list)</t>
  </si>
  <si>
    <t>2003-08-11 09:31:43 EDT</t>
  </si>
  <si>
    <t>2003-07-18 05:28 EDT</t>
  </si>
  <si>
    <t>2003-07-18 05:36:13 EDT</t>
  </si>
  <si>
    <t>2003-08-11 10:10:02 EDT</t>
  </si>
  <si>
    <t>[('CREATED', '2003-07-18 05:28 EDT'), ('jdt-ui-inbox', '2003-07-18 05:36:13 EDT', 'akiezun'), ('UI', '2003-07-18 05:36:13 EDT', 'akiezun'), ('Olivier_Thomann', '2003-07-18 05:39:40 EDT', 'akiezun'), ('adam_kiezun', '2003-07-18 05:40:00 EDT', 'akiezun'), ('P2', '2003-07-18 05:40:00 EDT', 'akiezun'), ('3.0 M3', '2003-07-18 05:40:00 EDT', 'akiezun'), ('RESOLVED', '2003-08-11 09:31:43 EDT', 'akiezun'), ('FIXED', '2003-08-11 09:31:43 EDT', 'akiezun'), ('Nick.Entin', '2003-08-11 10:10:02 EDT', 'akiezun')]</t>
  </si>
  <si>
    <t>2003-07-31 09:44:19 EDT</t>
  </si>
  <si>
    <t>2003-07-18 11:23 EDT</t>
  </si>
  <si>
    <t>2003-07-18 11:23:50 EDT</t>
  </si>
  <si>
    <t>[('CREATED', '2003-07-18 11:23 EDT'), ('Extract Method: typo in dialog [refactoring]', '2003-07-18 11:23:50 EDT', 'dirk_baeumer'), ('3.0 M3', '2003-07-18 11:23:50 EDT', 'dirk_baeumer'), ('RESOLVED', '2003-07-31 09:44:19 EDT', 'dirk_baeumer'), ('FIXED', '2003-07-31 09:44:19 EDT', 'dirk_baeumer')]</t>
  </si>
  <si>
    <t>2006-11-15 11:04:51 EST</t>
  </si>
  <si>
    <t>2006-11-15 11:03:28 EST</t>
  </si>
  <si>
    <t>2003-07-18 12:02 EDT</t>
  </si>
  <si>
    <t>2003-07-18 12:38:28 EDT</t>
  </si>
  <si>
    <t>[('CREATED', '2003-07-18 12:02 EDT'), ('adam_kiezun', '2003-07-18 12:38:28 EDT', 'akiezun'), ('3.0 M3', '2003-07-18 12:38:28 EDT', 'akiezun'), ('enhancement', '2003-08-05 08:28:52 EDT', 'dirk_baeumer'), ('---', '2003-08-05 08:28:52 EDT', 'dirk_baeumer'), ('ASSIGNED', '2003-08-22 09:04:03 EDT', 'akiezun'), ('3.0', '2003-08-22 09:04:03 EDT', 'akiezun'), ('jdt-ui-inbox', '2004-04-27 08:25:29 EDT', 'dirk_baeumer'), ('NEW', '2004-04-27 08:25:29 EDT', 'dirk_baeumer'), ('---', '2004-04-27 08:25:29 EDT', 'dirk_baeumer'), ('RESOLVED', '2004-05-06 17:38:52 EDT', 'dirk_baeumer'), ('LATER', '2004-05-06 17:38:52 EDT', 'dirk_baeumer'), ('convert local variable to field can declare field as final if method is construtor [refactoring]', '2004-05-06 17:38:52 EDT', 'dirk_baeumer'), ('REOPENED', '2006-11-15 11:03:28 EST', 'martinae'), ('---', '2006-11-15 11:03:28 EST', 'martinae'), ('RESOLVED', '2006-11-15 11:04:51 EST', 'martinae'), ('FIXED', '2006-11-15 11:04:51 EST', 'martinae'), ('[convert local] convert local variable to field can declare field as final if method is construtor [refactoring]', '2006-11-15 11:04:51 EST', 'martinae'), ('3.3 M4', '2006-11-15 11:04:51 EST', 'martinae')]</t>
  </si>
  <si>
    <t>2003-07-22 06:23:05 EDT</t>
  </si>
  <si>
    <t>2003-07-18 12:16 EDT</t>
  </si>
  <si>
    <t>2003-07-22 05:24:29 EDT</t>
  </si>
  <si>
    <t>[('CREATED', '2003-07-18 12:16 EDT'), ('martin_aeschlimann', '2003-07-22 05:24:29 EDT', 'martinae'), ('RESOLVED', '2003-07-22 06:23:05 EDT', 'martinae'), ('INVALID', '2003-07-22 06:23:05 EDT', 'martinae')]</t>
  </si>
  <si>
    <t>2004-09-15 13:32:01 EDT</t>
  </si>
  <si>
    <t>2003-07-18 12:22 EDT</t>
  </si>
  <si>
    <t>2003-07-21 09:08:18 EDT</t>
  </si>
  <si>
    <t>[('CREATED', '2003-07-18 12:22 EDT'), ('adam_kiezun', '2003-07-21 09:08:18 EDT', 'daniel_megert'), ('UI', '2003-07-21 09:08:18 EDT', 'daniel_megert'), ('P2', '2003-07-21 09:08:18 EDT', 'daniel_megert'), ('ASSIGNED', '2003-07-21 09:09:56 EDT', 'akiezun'), ('3.0 M3', '2003-07-21 09:09:56 EDT', 'akiezun'), ('adam_kiezun', '2003-08-13 11:07:26 EDT', 'akiezun'), ('jdt-ui-inbox', '2003-08-13 11:07:26 EDT', 'akiezun'), ('NEW', '2003-08-13 11:07:26 EDT', 'akiezun'), ('ASSIGNED', '2003-08-13 12:00:08 EDT', 'dirk_baeumer'), ('Outline view allows operations on non-existent members [general issue]', '2003-08-13 12:00:08 EDT', 'dirk_baeumer'), ('3.0', '2003-08-26 05:34:10 EDT', 'dirk_baeumer'), ('P3', '2004-03-18 05:22:10 EST', 'dirk_baeumer'), ('---', '2004-03-18 05:22:10 EST', 'dirk_baeumer'), ('RESOLVED', '2004-09-15 13:32:01 EDT', 'dirk_baeumer'), ('WORKSFORME', '2004-09-15 13:32:01 EDT', 'dirk_baeumer')]</t>
  </si>
  <si>
    <t>2003-08-11 10:06:56 EDT</t>
  </si>
  <si>
    <t>2003-07-21 12:06 EDT</t>
  </si>
  <si>
    <t>2003-07-21 12:06:33 EDT</t>
  </si>
  <si>
    <t>[('CREATED', '2003-07-21 12:06 EDT'), ('adam_kiezun', '2003-07-21 12:06:33 EDT', 'akiezun'), ('3.0 M3', '2003-07-21 12:06:33 EDT', 'akiezun'), ('P2', '2003-08-05 09:01:31 EDT', 'dirk_baeumer'), ('RESOLVED', '2003-08-11 10:06:56 EDT', 'akiezun'), ('FIXED', '2003-08-11 10:06:56 EDT', 'akiezun')]</t>
  </si>
  <si>
    <t>RESOLVED  DUPLICATE  of bug 36205</t>
  </si>
  <si>
    <t>2003-07-22 10:23:44 EDT</t>
  </si>
  <si>
    <t>2003-07-22 10:17 EDT</t>
  </si>
  <si>
    <t>2003-07-22 10:21:44 EDT</t>
  </si>
  <si>
    <t>[('CREATED', '2003-07-22 10:17 EDT'), ('UI', '2003-07-22 10:21:44 EDT', 'akiezun'), ('jdt-ui-inbox', '2003-07-22 10:21:54 EDT', 'akiezun'), ('DUPLICATE', '2003-07-22 10:23:44 EDT', 'akiezun'), ('RESOLVED', '2003-07-22 10:23:44 EDT', 'akiezun')]</t>
  </si>
  <si>
    <t>RESOLVED  DUPLICATE  of bug 38797</t>
  </si>
  <si>
    <t>2003-07-23 04:52:03 EDT</t>
  </si>
  <si>
    <t>2003-07-22 18:17 EDT</t>
  </si>
  <si>
    <t>[('CREATED', '2003-07-22 18:17 EDT'), ('RESOLVED', '2003-07-23 04:52:03 EDT', 'akiezun'), ('DUPLICATE', '2003-07-23 04:52:03 EDT', 'akiezun')]</t>
  </si>
  <si>
    <t>2003-07-29 09:47:07 EDT</t>
  </si>
  <si>
    <t>2009-08-30 02:22:18 EDT</t>
  </si>
  <si>
    <t>2003-07-23 08:17 EDT</t>
  </si>
  <si>
    <t>2003-07-23 08:34:49 EDT</t>
  </si>
  <si>
    <t>[('CREATED', '2003-07-23 08:17 EDT'), ('adam_kiezun', '2003-07-23 08:34:49 EDT', 'akiezun'), ('enhancement', '2003-07-23 09:08:31 EDT', 'jean-michel_lemieux'), ('NLS tool for shortening keynames', '2003-07-23 09:08:31 EDT', 'jean-michel_lemieux'), ('NLS tool for shortening keynames [refactoring]', '2003-07-29 09:47:07 EDT', 'dirk_baeumer'), ('RESOLVED', '2003-07-29 09:47:07 EDT', 'dirk_baeumer'), ('P4', '2003-07-29 09:47:07 EDT', 'dirk_baeumer'), ('LATER', '2003-07-29 09:47:07 EDT', 'dirk_baeumer'), ('WONTFIX', '2009-08-30 02:22:18 EDT', 'denis.roy')]</t>
  </si>
  <si>
    <t>2003-08-19 12:57:47 EDT</t>
  </si>
  <si>
    <t>2003-07-23 08:38 EDT</t>
  </si>
  <si>
    <t>2003-08-11 05:46:54 EDT</t>
  </si>
  <si>
    <t>[('CREATED', '2003-07-23 08:38 EDT'), ('ASSIGNED', '2003-08-11 05:46:54 EDT', 'akiezun'), ('3.0 M3', '2003-08-11 05:46:54 EDT', 'akiezun'), ('adam_kiezun', '2003-08-13 09:42:03 EDT', 'akiezun'), ('markus_keller', '2003-08-13 09:42:03 EDT', 'akiezun'), ('NEW', '2003-08-13 09:42:03 EDT', 'akiezun'), ('RESOLVED', '2003-08-19 12:57:47 EDT', 'akiezun'), ('FIXED', '2003-08-19 12:57:47 EDT', 'akiezun')]</t>
  </si>
  <si>
    <t>2003-08-11 11:51:08 EDT</t>
  </si>
  <si>
    <t>2003-07-23 09:37 EDT</t>
  </si>
  <si>
    <t>2003-07-23 09:43:34 EDT</t>
  </si>
  <si>
    <t>2006-01-23 04:33:35 EST</t>
  </si>
  <si>
    <t>max.gilead</t>
  </si>
  <si>
    <t>[('CREATED', '2003-07-23 09:37 EDT'), ('jdt-ui-inbox', '2003-07-23 09:43:34 EDT', 'kai-uwe_maetzel'), ('UI', '2003-07-23 09:43:34 EDT', 'kai-uwe_maetzel'), ('adam_kiezun', '2003-07-23 09:45:27 EDT', 'martinae'), ('P2', '2003-08-05 09:03:13 EDT', 'dirk_baeumer'), ('3.0 M3', '2003-08-05 09:03:13 EDT', 'dirk_baeumer'), ('"move member type to new file" causes exception [refactoring]', '2003-08-05 09:03:28 EDT', 'dirk_baeumer'), ('RESOLVED', '2003-08-11 11:51:08 EDT', 'akiezun'), ('WORKSFORME', '2003-08-11 11:51:08 EDT', 'akiezun'), ('gilead', '2006-01-23 04:33:35 EST', 'max.gilead')]</t>
  </si>
  <si>
    <t>2013-02-15 05:20:06 EST</t>
  </si>
  <si>
    <t>2003-07-23 12:54 EDT</t>
  </si>
  <si>
    <t>2003-07-23 14:07:43 EDT</t>
  </si>
  <si>
    <t>[('CREATED', '2003-07-23 12:54 EDT'), ('jdt-ui-inbox', '2003-07-23 14:07:43 EDT', 'eclipse'), ('UI', '2003-07-23 14:07:43 EDT', 'eclipse'), ('JDT', '2003-07-23 14:07:43 EDT', 'eclipse'), ('adam_kiezun', '2003-07-24 04:22:57 EDT', 'martinae'), ('[Extract interface] Type mismatch [refactoring]', '2003-07-24 04:22:57 EDT', 'martinae'), ('P4', '2003-08-22 09:02:09 EDT', 'akiezun'), ('tobias_widmer', '2006-06-02 06:36:05 EDT', 'martinae'), ('[extract interface] Type mismatch [refactoring]', '2006-06-02 06:36:05 EDT', 'martinae'), ('jdt-ui-inbox', '2007-06-14 10:42:53 EDT', 'martinae'), ('Jesse.Weinstein', '2013-02-14 14:48:39 EST', 'Jesse.Weinstein'), ('daniel_megert', '2013-02-15 05:20:06 EST', 'daniel_megert'), ('WORKSFORME', '2013-02-15 05:20:06 EST', 'daniel_megert'), ('RESOLVED', '2013-02-15 05:20:06 EST', 'daniel_megert')]</t>
  </si>
  <si>
    <t>2003-08-11 10:38:25 EDT</t>
  </si>
  <si>
    <t>2003-07-24 08:49 EDT</t>
  </si>
  <si>
    <t>2003-07-24 09:11:49 EDT</t>
  </si>
  <si>
    <t>[('CREATED', '2003-07-24 08:49 EDT'), ('jdt-ui-inbox', '2003-07-24 09:11:49 EDT', 'kai-uwe_maetzel'), ('UI', '2003-07-24 09:11:49 EDT', 'kai-uwe_maetzel'), ('adam_kiezun', '2003-07-29 09:51:18 EDT', 'dirk_baeumer'), ('Error in the log &amp; error dialog [refactoring] [ccp]', '2003-07-29 09:51:18 EDT', 'dirk_baeumer'), ('3.0 M3', '2003-07-29 09:51:18 EDT', 'dirk_baeumer'), ('P2', '2003-08-05 09:05:00 EDT', 'dirk_baeumer'), ('RESOLVED', '2003-08-11 10:38:25 EDT', 'akiezun'), ('FIXED', '2003-08-11 10:38:25 EDT', 'akiezun')]</t>
  </si>
  <si>
    <t>RESOLVED  DUPLICATE  of bug 41468</t>
  </si>
  <si>
    <t>2003-08-21 10:24:33 EDT</t>
  </si>
  <si>
    <t>2003-07-24 10:34 EDT</t>
  </si>
  <si>
    <t>2003-07-25 13:58:44 EDT</t>
  </si>
  <si>
    <t>[('CREATED', '2003-07-24 10:34 EDT'), ('P2', '2003-07-25 13:58:44 EDT', 'martinae'), ('adam_kiezun', '2003-07-25 13:58:44 EDT', 'martinae'), ('major', '2003-07-25 13:58:44 EDT', 'martinae'), ('jdt-ui-inbox', '2003-08-05 09:06:32 EDT', 'dirk_baeumer'), ('"Move instance method" leaves out parameters on "this" calls. [refactoring]', '2003-08-05 09:06:32 EDT', 'dirk_baeumer'), ('P3', '2003-08-05 09:06:52 EDT', 'dirk_baeumer'), ('adam_kiezun', '2003-08-11 05:41:47 EDT', 'akiezun'), ('RESOLVED', '2003-08-21 10:24:33 EDT', 'akiezun'), ('DUPLICATE', '2003-08-21 10:24:33 EDT', 'akiezun')]</t>
  </si>
  <si>
    <t>2003-08-20 13:18:15 EDT</t>
  </si>
  <si>
    <t>2003-07-25 06:15 EDT</t>
  </si>
  <si>
    <t>2003-07-25 06:16:11 EDT</t>
  </si>
  <si>
    <t>[('CREATED', '2003-07-25 06:15 EDT'), ('P2', '2003-07-25 06:16:11 EDT', 'erich_gamma'), ('jdt-ui-inbox', '2003-08-05 09:09:00 EDT', 'dirk_baeumer'), ('Ensure that refactorings operate on empty selections [refactoring]', '2003-08-05 09:09:00 EDT', 'dirk_baeumer'), (nan, '2003-08-05 09:24:48 EDT', 'dirk_baeumer'), ('dirk_baeumer', '2003-08-05 09:24:48 EDT', 'dirk_baeumer'), ('3.0 M3', '2003-08-05 09:24:48 EDT', 'dirk_baeumer'), ('3.0 M4', '2003-08-20 11:52:08 EDT', 'dirk_baeumer'), ('RESOLVED', '2003-08-20 13:18:15 EDT', 'dirk_baeumer'), ('FIXED', '2003-08-20 13:18:15 EDT', 'dirk_baeumer'), ('3.0 M3', '2003-08-20 13:18:15 EDT', 'dirk_baeumer')]</t>
  </si>
  <si>
    <t>2003-07-25 12:31:11 EDT</t>
  </si>
  <si>
    <t>2003-07-25 06:51 EDT</t>
  </si>
  <si>
    <t>2003-07-25 08:43:47 EDT</t>
  </si>
  <si>
    <t>[('CREATED', '2003-07-25 06:51 EDT'), ('jdt-ui-inbox', '2003-07-25 08:43:47 EDT', 'philippe_mulet'), ('UI', '2003-07-25 08:43:47 EDT', 'philippe_mulet'), ('RESOLVED', '2003-07-25 12:31:11 EDT', 'martinae'), ('WONTFIX', '2003-07-25 12:31:11 EDT', 'martinae')]</t>
  </si>
  <si>
    <t>41095 (view as bug list)</t>
  </si>
  <si>
    <t>2003-08-21 14:04:42 EDT</t>
  </si>
  <si>
    <t>2003-07-25 10:42 EDT</t>
  </si>
  <si>
    <t>2003-07-25 12:26:22 EDT</t>
  </si>
  <si>
    <t>[('CREATED', '2003-07-25 10:42 EDT'), ('adam_kiezun', '2003-07-25 12:26:22 EDT', 'martinae'), ('P2', '2003-07-25 12:26:22 EDT', 'martinae'), ('dirk_baeumer', '2003-08-05 09:10:14 EDT', 'dirk_baeumer'), ('refactor rename method failure [refactoring]', '2003-08-05 09:10:45 EDT', 'dirk_baeumer'), ('ASSIGNED', '2003-08-21 13:55:32 EDT', 'akiezun'), ('3.0 M3', '2003-08-21 13:55:32 EDT', 'akiezun'), ('RESOLVED', '2003-08-21 14:04:42 EDT', 'akiezun'), ('FIXED', '2003-08-21 14:04:42 EDT', 'akiezun')]</t>
  </si>
  <si>
    <t>2003-08-06 11:40:48 EDT</t>
  </si>
  <si>
    <t>2003-07-28 07:59 EDT</t>
  </si>
  <si>
    <t>2003-07-29 09:33:16 EDT</t>
  </si>
  <si>
    <t>[('CREATED', '2003-07-28 07:59 EDT'), ('martin_aeschlimann', '2003-07-29 09:33:16 EDT', 'dirk_baeumer'), ('hierarchy view not up to date after rename [type hierarchy]', '2003-07-29 09:33:16 EDT', 'dirk_baeumer'), ('3.0 M3', '2003-07-29 09:33:16 EDT', 'dirk_baeumer'), ('RESOLVED', '2003-08-06 11:40:48 EDT', 'martinae'), ('FIXED', '2003-08-06 11:40:48 EDT', 'martinae')]</t>
  </si>
  <si>
    <t>2003-07-31 11:17:34 EDT</t>
  </si>
  <si>
    <t>2003-07-29 06:42 EDT</t>
  </si>
  <si>
    <t>2003-07-29 09:43:09 EDT</t>
  </si>
  <si>
    <t>[('CREATED', '2003-07-29 06:42 EDT'), ('dirk_baeumer', '2003-07-29 09:43:09 EDT', 'dirk_baeumer'), ('Extract Method Dialog: NPE from keyhandler in "Parameters" table [refactoring]', '2003-07-29 09:43:09 EDT', 'dirk_baeumer'), ('3.0', '2003-07-29 09:43:09 EDT', 'dirk_baeumer'), ('FIXED', '2003-07-31 11:17:34 EDT', 'dirk_baeumer'), ('3.0 M3', '2003-07-31 11:17:34 EDT', 'dirk_baeumer'), ('RESOLVED', '2003-07-31 11:17:34 EDT', 'dirk_baeumer')]</t>
  </si>
  <si>
    <t>RESOLVED  DUPLICATE  of bug 39260</t>
  </si>
  <si>
    <t>2003-07-31 04:47:05 EDT</t>
  </si>
  <si>
    <t>2003-07-29 23:09 EDT</t>
  </si>
  <si>
    <t>2003-07-30 04:23:25 EDT</t>
  </si>
  <si>
    <t>[('CREATED', '2003-07-29 23:09 EDT'), ('jdt-ui-inbox', '2003-07-30 04:23:25 EDT', 'kai-uwe_maetzel'), ('UI', '2003-07-30 04:23:25 EDT', 'kai-uwe_maetzel'), ('JDT', '2003-07-30 04:23:25 EDT', 'kai-uwe_maetzel'), ('RESOLVED', '2003-07-31 04:47:05 EDT', 'dirk_baeumer'), ('DUPLICATE', '2003-07-31 04:47:05 EDT', 'dirk_baeumer')]</t>
  </si>
  <si>
    <t>2003-09-15 08:59:22 EDT</t>
  </si>
  <si>
    <t>2003-07-31 05:06:44 EDT</t>
  </si>
  <si>
    <t>2003-07-31 07:10:30 EDT</t>
  </si>
  <si>
    <t>2003-07-30 11:39 EDT</t>
  </si>
  <si>
    <t>2003-07-30 11:42:39 EDT</t>
  </si>
  <si>
    <t>[('CREATED', '2003-07-30 11:39 EDT'), ('jdt-ui-inbox', '2003-07-30 11:42:39 EDT', 'kai-uwe_maetzel'), ('UI', '2003-07-30 11:42:39 EDT', 'kai-uwe_maetzel'), ('RESOLVED', '2003-07-31 05:06:44 EDT', 'dirk_baeumer'), ('WORKSFORME', '2003-07-31 05:06:44 EDT', 'dirk_baeumer'), ('REOPENED', '2003-07-31 07:10:30 EDT', 'mhilpert'), ('---', '2003-07-31 07:10:30 EDT', 'mhilpert'), ('martin_aeschlimann', '2003-08-04 05:35:31 EDT', 'dirk_baeumer'), ('NEW', '2003-08-06 03:43:08 EDT', 'martinae'), ('rfaust', '2003-08-06 03:43:08 EDT', 'martinae'), ('dirk_baeumer', '2003-09-01 10:57:48 EDT', 'rfaust'), (nan, '2003-09-02 11:32:39 EDT', 'dirk_baeumer'), ('RESOLVED', '2003-09-15 08:59:22 EDT', 'martinae'), ('FIXED', '2003-09-15 08:59:22 EDT', 'martinae'), ('3.0 M4', '2003-09-15 08:59:22 EDT', 'martinae')]</t>
  </si>
  <si>
    <t>2003-07-31 05:45:22 EDT</t>
  </si>
  <si>
    <t>2003-07-30 15:43 EDT</t>
  </si>
  <si>
    <t>2003-07-31 05:45:09 EDT</t>
  </si>
  <si>
    <t>[('CREATED', '2003-07-30 15:43 EDT'), ('dirk_baeumer', '2003-07-31 05:45:09 EDT', 'dirk_baeumer'), ('3.0 M3', '2003-07-31 05:45:09 EDT', 'dirk_baeumer'), ('RESOLVED', '2003-07-31 05:45:22 EDT', 'dirk_baeumer'), ('FIXED', '2003-07-31 05:45:22 EDT', 'dirk_baeumer')]</t>
  </si>
  <si>
    <t>2006-06-06 12:30:30 EDT</t>
  </si>
  <si>
    <t>2003-07-31 08:37 EDT</t>
  </si>
  <si>
    <t>2003-07-31 08:37:44 EDT</t>
  </si>
  <si>
    <t>[('CREATED', '2003-07-31 08:37 EDT'), ('minor', '2003-07-31 08:37:44 EDT', 'preuss'), ('ASSIGNED', '2003-08-04 06:24:04 EDT', 'dirk_baeumer'), ("refactoring doesn't handle $NON-NLS comments [refactoring]", '2003-08-04 06:24:04 EDT', 'dirk_baeumer'), ('martin_aeschlimann', '2004-09-15 13:33:35 EDT', 'dirk_baeumer'), ('tei', '2006-06-01 05:55:34 EDT', 'tom'), ('RESOLVED', '2006-06-06 12:30:30 EDT', 'martinae'), ('WONTFIX', '2006-06-06 12:30:30 EDT', 'martinae')]</t>
  </si>
  <si>
    <t>2003-07-31 09:20 EDT</t>
  </si>
  <si>
    <t>2003-07-31 10:06:03 EDT</t>
  </si>
  <si>
    <t>[('CREATED', '2003-07-31 09:20 EDT'), ('adam_kiezun', '2003-07-31 10:06:03 EDT', 'dirk_baeumer'), ('StringIndexOutOfBoundsException on rename of a method [refactoring]', '2003-07-31 10:06:03 EDT', 'dirk_baeumer'), ('3.0 M3', '2003-07-31 10:06:03 EDT', 'dirk_baeumer'), ('P2', '2003-08-05 09:11:09 EDT', 'dirk_baeumer'), ('RESOLVED', '2003-08-11 10:10:02 EDT', 'akiezun'), ('DUPLICATE', '2003-08-11 10:10:02 EDT', 'akiezun')]</t>
  </si>
  <si>
    <t>2004-05-13 04:04:25 EDT</t>
  </si>
  <si>
    <t>2003-07-31 12:40 EDT</t>
  </si>
  <si>
    <t>2003-08-04 06:09:29 EDT</t>
  </si>
  <si>
    <t>[('CREATED', '2003-07-31 12:40 EDT'), ('dirk_baeumer', '2003-08-04 06:09:29 EDT', 'dirk_baeumer'), ('3.0', '2003-08-04 06:09:29 EDT', 'dirk_baeumer'), ('Extract Method Refactoring: needs separate FlowAnalysis for each matching fragment [refactoring]', '2003-08-04 06:09:44 EDT', 'dirk_baeumer'), ('FIXED', '2004-05-13 04:04:25 EDT', 'dirk_baeumer'), ('3.0 M9', '2004-05-13 04:04:25 EDT', 'dirk_baeumer'), ('RESOLVED', '2004-05-13 04:04:25 EDT', 'dirk_baeumer')]</t>
  </si>
  <si>
    <t>RESOLVED  DUPLICATE  of bug 40767</t>
  </si>
  <si>
    <t>2003-08-05 09:10:14 EDT</t>
  </si>
  <si>
    <t>2003-08-04 09:33 EDT</t>
  </si>
  <si>
    <t>2003-08-04 09:34:13 EDT</t>
  </si>
  <si>
    <t>[('CREATED', '2003-08-04 09:33 EDT'), ('adam_kiezun', '2003-08-04 09:34:13 EDT', 'dirk_baeumer'), ('P2', '2003-08-04 09:34:13 EDT', 'dirk_baeumer'), ('3.0 M3', '2003-08-04 09:34:13 EDT', 'dirk_baeumer'), ('RESOLVED', '2003-08-05 09:10:14 EDT', 'dirk_baeumer'), ('DUPLICATE', '2003-08-05 09:10:14 EDT', 'dirk_baeumer')]</t>
  </si>
  <si>
    <t>2003-08-20 13:34:54 EDT</t>
  </si>
  <si>
    <t>2003-08-05 11:29 EDT</t>
  </si>
  <si>
    <t>2003-08-05 11:33:51 EDT</t>
  </si>
  <si>
    <t>[('CREATED', '2003-08-05 11:29 EDT'), ('dirk_baeumer', '2003-08-05 11:33:51 EDT', 'dirk_baeumer'), ("Extract Method doesn't check for null type [refactoring]", '2003-08-05 11:33:51 EDT', 'dirk_baeumer'), ('3.0 M3', '2003-08-05 11:33:51 EDT', 'dirk_baeumer'), ('RESOLVED', '2003-08-20 13:34:54 EDT', 'dirk_baeumer'), ('FIXED', '2003-08-20 13:34:54 EDT', 'dirk_baeumer')]</t>
  </si>
  <si>
    <t>2003-08-07 07:52:49 EDT</t>
  </si>
  <si>
    <t>2003-08-06 10:05 EDT</t>
  </si>
  <si>
    <t>2003-08-06 10:08:53 EDT</t>
  </si>
  <si>
    <t>[('CREATED', '2003-08-06 10:05 EDT'), ('jdt-ui-inbox', '2003-08-06 10:08:53 EDT', 'Olivier_Thomann'), ('critical', '2003-08-06 10:08:53 EDT', 'Olivier_Thomann'), ('UI', '2003-08-06 10:08:53 EDT', 'Olivier_Thomann'), ('INVALID', '2003-08-07 07:52:49 EDT', 'dirk_baeumer'), ('RESOLVED', '2003-08-07 07:52:49 EDT', 'dirk_baeumer')]</t>
  </si>
  <si>
    <t>RESOLVED  DUPLICATE  of bug 41245</t>
  </si>
  <si>
    <t>2003-08-26 05:37:38 EDT</t>
  </si>
  <si>
    <t>2003-08-06 15:15 EDT</t>
  </si>
  <si>
    <t>[('CREATED', '2003-08-06 15:15 EDT'), ('RESOLVED', '2003-08-26 05:37:38 EDT', 'dirk_baeumer'), ('DUPLICATE', '2003-08-26 05:37:38 EDT', 'dirk_baeumer')]</t>
  </si>
  <si>
    <t>23727 (view as bug list)</t>
  </si>
  <si>
    <t>2003-09-22 05:27:38 EDT</t>
  </si>
  <si>
    <t>2003-10-08 06:28:06 EDT</t>
  </si>
  <si>
    <t>2003-08-07 04:58 EDT</t>
  </si>
  <si>
    <t>2003-08-07 04:58:21 EDT</t>
  </si>
  <si>
    <t>[('CREATED', '2003-08-07 04:58 EDT'), ('P2', '2003-08-07 04:58:21 EDT', 'dirk_baeumer'), ('3.0 M3', '2003-08-07 04:58:21 EDT', 'dirk_baeumer'), ('enhancement', '2003-08-11 12:07:41 EDT', 'akiezun'), ("enhance 'move static' to handle member types", '2003-08-11 12:07:41 EDT', 'akiezun'), ('3.0', '2003-08-11 12:07:41 EDT', 'akiezun'), ('adam_kiezun', '2003-08-13 09:25:52 EDT', 'akiezun'), ('jdt-ui-inbox', '2003-08-13 09:25:52 EDT', 'akiezun'), ("enhance 'move static' to handle member types [refactoring]", '2003-08-13 12:08:14 EDT', 'dirk_baeumer'), ('markus_keller', '2003-08-26 04:58:42 EDT', 'dirk_baeumer'), ('3.0 M4', '2003-08-26 04:58:42 EDT', 'dirk_baeumer'), ('kenny', '2003-08-27 08:03:25 EDT', 'dirk_baeumer'), ('RESOLVED', '2003-09-22 05:27:38 EDT', 'dirk_baeumer'), ('FIXED', '2003-09-22 05:27:38 EDT', 'dirk_baeumer'), ('VERIFIED', '2003-10-08 06:28:06 EDT', 'daniel_megert')]</t>
  </si>
  <si>
    <t>81784</t>
  </si>
  <si>
    <t>2011-12-23 05:37:50 EST</t>
  </si>
  <si>
    <t>2003-08-07 17:56 EDT</t>
  </si>
  <si>
    <t>2003-08-08 04:31:20 EDT</t>
  </si>
  <si>
    <t>2015-02-09 18:11:58 EST</t>
  </si>
  <si>
    <t>[('CREATED', '2003-08-07 17:56 EDT'), ('dirk_baeumer', '2003-08-08 04:31:20 EDT', 'dirk_baeumer'), ('Calling extract method from a selection [refactoring]', '2003-08-08 04:31:20 EDT', 'dirk_baeumer'), ('Core', '2004-12-22 06:28:47 EST', 'dirk_baeumer'), ('dirk_baeumer', '2004-12-22 06:28:47 EST', 'dirk_baeumer'), ('jdt-core-inbox', '2004-12-22 06:28:47 EST', 'dirk_baeumer'), ('frederic_fusier', '2004-12-22 08:56:02 EST', 'frederic_fusier'), ('[comments] Calling extract method from a selection', '2004-12-22 08:56:02 EST', 'frederic_fusier'), ('frederic_fusier', '2004-12-22 09:02:24 EST', 'frederic_fusier'), ('jdt-ui-inbox', '2004-12-22 09:02:24 EST', 'frederic_fusier'), ('UI', '2004-12-22 09:02:24 EST', 'frederic_fusier'), ('Calling extract method from a selection [refactoring]', '2004-12-22 09:02:24 EST', 'frederic_fusier'), ('81784', '2004-12-22 09:19:40 EST', 'frederic_fusier'), ('dirk_baeumer', '2004-12-22 09:52:59 EST', 'dirk_baeumer'), ('[refactoring] [extract method] Calling extract method from a selection', '2006-04-05 14:13:03 EDT', 'dirk_baeumer'), ('jdt-ui-inbox', '2006-06-02 06:07:35 EDT', 'martinae'), ('[extract method] Calling extract method from a selection', '2006-06-02 06:07:35 EDT', 'martinae'), ('reprogrammer', '2011-11-30 14:14:10 EST', 'reprogrammer'), ('deepak.azad', '2011-12-01 01:27:29 EST', 'deepakazad'), ('deepak.azad', '2011-12-01 01:27:29 EST', 'deepakazad'), ('[quick assist] [extract method] Calling extract method from a selection', '2011-12-01 01:27:29 EST', 'deepakazad'), ('3.8 M5', '2011-12-01 01:28:13 EST', 'deepakazad'), ('markus_keller', '2011-12-01 14:02:08 EST', 'markus.kell.r'), ('RESOLVED', '2011-12-23 05:37:50 EST', 'deepakazad'), ('FIXED', '2011-12-23 05:37:50 EST', 'deepakazad'), ('https://git.eclipse.org/r/41302', '2015-02-09 18:11:58 EST', 'genie')]</t>
  </si>
  <si>
    <t>RESOLVED  DUPLICATE  of bug 40693</t>
  </si>
  <si>
    <t>2003-08-08 08:26:49 EDT</t>
  </si>
  <si>
    <t>2003-08-08 06:53 EDT</t>
  </si>
  <si>
    <t>2003-08-08 08:20:45 EDT</t>
  </si>
  <si>
    <t>[('CREATED', '2003-08-08 06:53 EDT'), ('andre_weinand', '2003-08-08 08:20:45 EDT', 'dirk_baeumer'), ("Extract Constant Refactoring Dialog 'Constant Name' field broken [refactoring]", '2003-08-08 08:20:45 EDT', 'dirk_baeumer'), ('RESOLVED', '2003-08-08 08:26:49 EDT', 'andre_weinand'), ('DUPLICATE', '2003-08-08 08:26:49 EDT', 'andre_weinand')]</t>
  </si>
  <si>
    <t>2003-08-13 09:23:29 EDT</t>
  </si>
  <si>
    <t>2003-08-08 14:00 EDT</t>
  </si>
  <si>
    <t>2003-08-11 05:40:34 EDT</t>
  </si>
  <si>
    <t>[('CREATED', '2003-08-08 14:00 EDT'), ('adam_kiezun', '2003-08-11 05:40:34 EDT', 'akiezun'), ('3.0 M3', '2003-08-11 05:40:34 EDT', 'akiezun'), ('ASSIGNED', '2003-08-12 14:25:32 EDT', 'akiezun'), ('P2', '2003-08-12 14:25:32 EDT', 'akiezun'), ('RESOLVED', '2003-08-13 09:23:29 EDT', 'akiezun'), ('FIXED', '2003-08-13 09:23:29 EDT', 'akiezun')]</t>
  </si>
  <si>
    <t>2003-08-12 06:56:09 EDT</t>
  </si>
  <si>
    <t>2003-08-11 16:23 EDT</t>
  </si>
  <si>
    <t>2003-08-11 16:31:05 EDT</t>
  </si>
  <si>
    <t>[('CREATED', '2003-08-11 16:23 EDT'), ('jdt-ui-inbox', '2003-08-11 16:31:05 EDT', 'Olivier_Thomann'), ('UI', '2003-08-11 16:31:05 EDT', 'Olivier_Thomann'), ('RESOLVED', '2003-08-12 06:56:09 EDT', 'akiezun'), ('DUPLICATE', '2003-08-12 06:56:09 EDT', 'akiezun')]</t>
  </si>
  <si>
    <t>41503 (view as bug list)</t>
  </si>
  <si>
    <t>2003-08-20 08:35:01 EDT</t>
  </si>
  <si>
    <t>2009-08-30 02:21:48 EDT</t>
  </si>
  <si>
    <t>2003-08-12 23:57 EDT</t>
  </si>
  <si>
    <t>2003-08-20 07:32:10 EDT</t>
  </si>
  <si>
    <t>[('CREATED', '2003-08-12 23:57 EDT'), ('jdt-ui-inbox', '2003-08-20 07:32:10 EDT', 'jerome_lanneluc'), ('UI', '2003-08-20 07:32:10 EDT', 'jerome_lanneluc'), ('RESOLVED', '2003-08-20 08:35:01 EDT', 'dirk_baeumer'), ('helpwanted', '2003-08-20 08:35:01 EDT', 'dirk_baeumer'), ('P4', '2003-08-20 08:35:01 EDT', 'dirk_baeumer'), ('LATER', '2003-08-20 08:35:01 EDT', 'dirk_baeumer'), ('Logic refactoriing. [refactoring]', '2003-08-20 08:35:01 EDT', 'dirk_baeumer'), ('WONTFIX', '2009-08-30 02:21:48 EDT', 'denis.roy')]</t>
  </si>
  <si>
    <t>2003-08-13 10:33:43 EDT</t>
  </si>
  <si>
    <t>2003-08-13 04:28 EDT</t>
  </si>
  <si>
    <t>2003-08-13 09:23:26 EDT</t>
  </si>
  <si>
    <t>[('CREATED', '2003-08-13 04:28 EDT'), ('jdt-ui-inbox', '2003-08-13 09:23:26 EDT', 'Olivier_Thomann'), ('UI', '2003-08-13 09:23:26 EDT', 'Olivier_Thomann'), ('RESOLVED', '2003-08-13 10:33:43 EDT', 'dirk_baeumer'), ('DUPLICATE', '2003-08-13 10:33:43 EDT', 'dirk_baeumer')]</t>
  </si>
  <si>
    <t>2003-08-13 10:35:02 EDT</t>
  </si>
  <si>
    <t>2003-08-13 04:30 EDT</t>
  </si>
  <si>
    <t>2003-08-13 04:50:06 EDT</t>
  </si>
  <si>
    <t>[('CREATED', '2003-08-13 04:30 EDT'), ('ASSIGNED', '2003-08-13 04:50:06 EDT', 'dirk_baeumer'), ('refactoring does not affect jar export description [refactoring]', '2003-08-13 04:50:06 EDT', 'dirk_baeumer'), ('RESOLVED', '2003-08-13 10:35:02 EDT', 'dirk_baeumer'), ('DUPLICATE', '2003-08-13 10:35:02 EDT', 'dirk_baeumer')]</t>
  </si>
  <si>
    <t>2003-08-13 07:24:48 EDT</t>
  </si>
  <si>
    <t>2003-08-13 05:29 EDT</t>
  </si>
  <si>
    <t>2003-08-13 07:10:57 EDT</t>
  </si>
  <si>
    <t>2015-02-10 08:51:22 EST</t>
  </si>
  <si>
    <t>[('CREATED', '2003-08-13 05:29 EDT'), ('adam_kiezun', '2003-08-13 07:10:57 EDT', 'akiezun'), ('3.0 M3', '2003-08-13 07:10:57 EDT', 'akiezun'), ('RESOLVED', '2003-08-13 07:24:48 EDT', 'akiezun'), ('FIXED', '2003-08-13 07:24:48 EDT', 'akiezun'), ('https://git.eclipse.org/c/tracecompass/org.eclipse.tracecompass.git/commit/?id=f3a4a0dbfb198b8b3c37f6511d0e92b1dc46695e', '2015-02-09 22:13:00 EST', 'genie'), ('daniel_megert', '2015-02-10 08:51:22 EST', 'daniel_megert'), (nan, '2015-02-10 08:51:22 EST', 'daniel_megert')]</t>
  </si>
  <si>
    <t>40713 (view as bug list)</t>
  </si>
  <si>
    <t>2003-08-15 10:18:05 EDT</t>
  </si>
  <si>
    <t>2003-08-13 06:50 EDT</t>
  </si>
  <si>
    <t>2003-08-13 09:03:13 EDT</t>
  </si>
  <si>
    <t>2015-02-10 03:45:23 EST</t>
  </si>
  <si>
    <t>[('CREATED', '2003-08-13 06:50 EDT'), ('markus_keller', '2003-08-13 09:03:13 EDT', 'dirk_baeumer'), ('RESOLVED', '2003-08-15 10:18:05 EDT', 'akiezun'), ('FIXED', '2003-08-15 10:18:05 EDT', 'akiezun'), ('3.0 M3', '2003-08-15 10:18:05 EDT', 'akiezun'), ('saff', '2003-08-21 10:24:33 EDT', 'akiezun'), ('https://git.eclipse.org/r/41468', '2015-02-10 03:45:23 EST', 'genie')]</t>
  </si>
  <si>
    <t>2004-01-05 09:48:44 EST</t>
  </si>
  <si>
    <t>2003-08-13 08:34 EDT</t>
  </si>
  <si>
    <t>2003-08-13 08:49:20 EDT</t>
  </si>
  <si>
    <t>[('CREATED', '2003-08-13 08:34 EDT'), ('ASSIGNED', '2003-08-13 08:49:20 EDT', 'dirk_baeumer'), ('On Extract Method, let me enter JavaDoc [refactoring]', '2003-08-13 08:49:20 EDT', 'dirk_baeumer'), ('RESOLVED', '2004-01-05 09:48:44 EST', 'dirk_baeumer'), ('FIXED', '2004-01-05 09:48:44 EST', 'dirk_baeumer')]</t>
  </si>
  <si>
    <t>2003-10-20 11:23:55 EDT</t>
  </si>
  <si>
    <t>2003-08-13 11:27 EDT</t>
  </si>
  <si>
    <t>2003-08-14 10:20:29 EDT</t>
  </si>
  <si>
    <t>2015-02-10 08:52:16 EST</t>
  </si>
  <si>
    <t>[('CREATED', '2003-08-13 11:27 EDT'), ('chris_mclaren', '2003-08-14 10:20:29 EDT', 'Tod_Creasey'), ('[Actions] Move resource should filter closed projects', '2003-08-14 10:20:29 EDT', 'Tod_Creasey'), ('Platform-UI-Inbox', '2003-08-14 13:53:53 EDT', 'csmclaren'), ('[Dialogs] Move resource should filter closed projects', '2003-08-14 13:53:53 EDT', 'csmclaren'), ('Tod_Creasey', '2003-08-15 10:36:02 EDT', 'Tod_Creasey'), ('kim_horne', '2003-10-10 13:50:02 EDT', 'Tod_Creasey'), ('jdt-ui-inbox', '2003-10-10 14:22:15 EDT', 'eclipse'), ('JDT', '2003-10-10 14:22:15 EDT', 'eclipse'), ('markus_keller', '2003-10-13 09:30:21 EDT', 'martinae'), ('dirk_baeumer', '2003-10-17 09:44:22 EDT', 'markus.kell.r'), ('RESOLVED', '2003-10-20 11:23:55 EDT', 'dirk_baeumer'), ('FIXED', '2003-10-20 11:23:55 EDT', 'dirk_baeumer'), ('3.0 M4', '2003-10-20 11:23:55 EDT', 'dirk_baeumer'), ('3.0 M5', '2003-10-20 11:24:23 EDT', 'dirk_baeumer'), ('CLOSED', '2003-11-22 06:37:12 EST', 'sdavids'), ('https://git.eclipse.org/r/41489', '2015-02-10 03:46:40 EST', 'genie'), ('daniel_megert', '2015-02-10 08:52:16 EST', 'daniel_megert'), (nan, '2015-02-10 08:52:16 EST', 'daniel_megert')]</t>
  </si>
  <si>
    <t>2003-09-09 05:48:58 EDT</t>
  </si>
  <si>
    <t>2003-08-13 13:12 EDT</t>
  </si>
  <si>
    <t>2003-08-13 13:12:31 EDT</t>
  </si>
  <si>
    <t>2015-02-10 08:54:10 EST</t>
  </si>
  <si>
    <t>[('CREATED', '2003-08-13 13:12 EDT'), ('markus_keller', '2003-08-13 13:12:31 EDT', 'akiezun'), ('call hierarchy: history dialog, button enablement incorrect [call hierarchy]', '2003-08-13 13:25:36 EDT', 'dirk_baeumer'), ('dirk_baeumer', '2003-09-08 09:58:17 EDT', 'markus.kell.r'), ('FIXED', '2003-09-09 05:48:58 EDT', 'dirk_baeumer'), ('RESOLVED', '2003-09-09 05:48:58 EDT', 'dirk_baeumer'), ('https://git.eclipse.org/r/41500', '2015-02-10 05:19:06 EST', 'genie'), ('https://git.eclipse.org/c/tmf/org.eclipse.xtext.git/commit/?id=710a2b9475979bf040206cbcd1009c545c4cd1d3', '2015-02-10 06:57:03 EST', 'genie'), ('daniel_megert', '2015-02-10 08:54:10 EST', 'daniel_megert'), (nan, '2015-02-10 08:54:10 EST', 'daniel_megert')]</t>
  </si>
  <si>
    <t>2003-08-13 14:51 EDT</t>
  </si>
  <si>
    <t>2003-08-13 15:14:28 EDT</t>
  </si>
  <si>
    <t>2019-08-20 14:51:51 EDT</t>
  </si>
  <si>
    <t>[('CREATED', '2003-08-13 14:51 EDT'), ('jdt-ui-inbox', '2003-08-13 15:14:28 EDT', 'Olivier_Thomann'), ('UI', '2003-08-13 15:14:28 EDT', 'Olivier_Thomann'), ('dirk_baeumer', '2003-08-14 04:40:24 EDT', 'dirk_baeumer'), ('markus_keller', '2003-08-14 04:40:24 EDT', 'dirk_baeumer'), ('attempt to Refactor-&gt;Move static method from static nested class crashes [refactoring]', '2003-08-14 04:40:36 EDT', 'dirk_baeumer'), ('P4', '2004-06-09 04:27:06 EDT', 'markus.kell.r'), ('[move method] move static method from static nested class crashes', '2006-08-03 09:50:32 EDT', 'martinae'), ('stalebug', '2019-07-13 18:53:26 EDT', 'genie'), ('kenneth', '2019-08-20 14:51:51 EDT', 'kenneth')]</t>
  </si>
  <si>
    <t>2004-01-05 08:11:23 EST</t>
  </si>
  <si>
    <t>2009-08-30 02:17:28 EDT</t>
  </si>
  <si>
    <t>2003-08-14 04:23 EDT</t>
  </si>
  <si>
    <t>2003-08-14 05:12:36 EDT</t>
  </si>
  <si>
    <t>[('CREATED', '2003-08-14 04:23 EDT'), ('Public interface for call hierarchy analysis [call hierarchy]', '2003-08-14 05:12:36 EDT', 'dirk_baeumer'), ('P4', '2004-01-05 08:11:23 EST', 'dirk_baeumer'), ('LATER', '2004-01-05 08:11:23 EST', 'dirk_baeumer'), ('RESOLVED', '2004-01-05 08:11:23 EST', 'dirk_baeumer'), ('WONTFIX', '2009-08-30 02:17:28 EDT', 'denis.roy')]</t>
  </si>
  <si>
    <t>2003-08-18 06:04:14 EDT</t>
  </si>
  <si>
    <t>2003-08-18 05:58:33 EDT</t>
  </si>
  <si>
    <t>2003-08-14 06:31 EDT</t>
  </si>
  <si>
    <t>2003-08-15 12:20:08 EDT</t>
  </si>
  <si>
    <t>[('CREATED', '2003-08-14 06:31 EDT'), ('RESOLVED', '2003-08-15 12:20:08 EDT', 'akiezun'), ('FIXED', '2003-08-15 12:20:08 EDT', 'akiezun'), ('3.0 M3', '2003-08-15 12:20:08 EDT', 'akiezun'), ('REOPENED', '2003-08-15 12:20:39 EDT', 'akiezun'), ('---', '2003-08-15 12:20:39 EDT', 'akiezun'), ('markus_keller', '2003-08-15 12:20:51 EDT', 'akiezun'), ('NEW', '2003-08-15 12:20:51 EDT', 'akiezun'), ('RESOLVED', '2003-08-15 12:21:07 EDT', 'akiezun'), ('FIXED', '2003-08-15 12:21:07 EDT', 'akiezun'), ('REOPENED', '2003-08-18 05:58:33 EDT', 'markus.kell.r'), ('---', '2003-08-18 05:58:33 EDT', 'markus.kell.r'), ('RESOLVED', '2003-08-18 06:04:14 EDT', 'akiezun'), ('FIXED', '2003-08-18 06:04:14 EDT', 'akiezun')]</t>
  </si>
  <si>
    <t>2003-08-14 07:32:10 EDT</t>
  </si>
  <si>
    <t>2003-08-14 07:13 EDT</t>
  </si>
  <si>
    <t>2003-08-28 10:41:19 EDT</t>
  </si>
  <si>
    <t>[('CREATED', '2003-08-14 07:13 EDT'), ('RESOLVED', '2003-08-14 07:32:10 EDT', 'akiezun'), ('DUPLICATE', '2003-08-14 07:32:10 EDT', 'akiezun'), ('3.0 M4', '2003-08-28 10:41:19 EDT', 'jerome_lanneluc')]</t>
  </si>
  <si>
    <t>2003-08-19 11:03:30 EDT</t>
  </si>
  <si>
    <t>2003-08-14 12:48 EDT</t>
  </si>
  <si>
    <t>2003-08-15 10:41:53 EDT</t>
  </si>
  <si>
    <t>[('CREATED', '2003-08-14 12:48 EDT'), ('adam_kiezun', '2003-08-15 10:41:53 EDT', 'dirk_baeumer'), ('3.0 M3', '2003-08-15 10:41:53 EDT', 'dirk_baeumer'), ('olivier_thomann', '2003-08-18 11:05:03 EDT', 'Olivier_Thomann'), ('RESOLVED', '2003-08-19 11:03:30 EDT', 'akiezun'), ('FIXED', '2003-08-19 11:03:30 EDT', 'akiezun')]</t>
  </si>
  <si>
    <t>2003-10-03 06:32:51 EDT</t>
  </si>
  <si>
    <t>2003-08-14 13:32 EDT</t>
  </si>
  <si>
    <t>2003-08-15 08:24:37 EDT</t>
  </si>
  <si>
    <t>[('CREATED', '2003-08-14 13:32 EDT'), ('Rename will rename wrong method if have duplicate methods [refactoring]]', '2003-08-15 08:24:37 EDT', 'akiezun'), ('dirk_baeumer', '2003-08-26 05:04:22 EDT', 'dirk_baeumer'), ('3.0 M4', '2003-08-26 05:04:22 EDT', 'dirk_baeumer'), ('RESOLVED', '2003-10-03 06:32:51 EDT', 'dirk_baeumer'), ('WORKSFORME', '2003-10-03 06:32:51 EDT', 'dirk_baeumer')]</t>
  </si>
  <si>
    <t>2006-06-12 03:58:53 EDT</t>
  </si>
  <si>
    <t>2003-08-14 13:57 EDT</t>
  </si>
  <si>
    <t>2003-08-14 14:05:00 EDT</t>
  </si>
  <si>
    <t>[('CREATED', '2003-08-14 13:57 EDT'), ('enhancement', '2003-08-14 14:05:00 EDT', 'akiezun'), ('extracting interface does not consider static members [refactoring]', '2003-08-14 14:05:00 EDT', 'akiezun'), ('adam_kiezun', '2003-08-15 09:13:45 EDT', 'dirk_baeumer'), ('ASSIGNED', '2003-08-15 09:13:45 EDT', 'dirk_baeumer'), ('RESOLVED', '2006-06-12 03:58:53 EDT', 'martinae'), ('WONTFIX', '2006-06-12 03:58:53 EDT', 'martinae'), ('[extract interface] does not consider static members [refactoring]', '2006-06-12 03:58:53 EDT', 'martinae')]</t>
  </si>
  <si>
    <t>RESOLVED  DUPLICATE  of bug 21086</t>
  </si>
  <si>
    <t>2003-08-15 05:42:36 EDT</t>
  </si>
  <si>
    <t>2003-08-14 14:48 EDT</t>
  </si>
  <si>
    <t>[('CREATED', '2003-08-14 14:48 EDT'), ('RESOLVED', '2003-08-15 05:42:36 EDT', 'akiezun'), ('DUPLICATE', '2003-08-15 05:42:36 EDT', 'akiezun')]</t>
  </si>
  <si>
    <t>2006-06-12 03:46:42 EDT</t>
  </si>
  <si>
    <t>2003-08-14 15:10 EDT</t>
  </si>
  <si>
    <t>2003-08-15 09:07:36 EDT</t>
  </si>
  <si>
    <t>[('CREATED', '2003-08-14 15:10 EDT'), ('enhancement', '2003-08-15 09:07:36 EDT', 'dirk_baeumer'), ('ASSIGNED', '2003-08-15 09:07:36 EDT', 'dirk_baeumer'), ('P4', '2003-08-15 09:07:36 EDT', 'dirk_baeumer'), ('Refactoring - move: Seperate package from source folder [refactoring] [general issue]', '2003-08-15 09:07:36 EDT', 'dirk_baeumer'), ('martin_aeschlimann', '2006-06-12 03:46:42 EDT', 'martinae'), ('RESOLVED', '2006-06-12 03:46:42 EDT', 'martinae'), ('LATER', '2006-06-12 03:46:42 EDT', 'martinae'), ('WONTFIX', '2009-08-30 02:19:08 EDT', 'denis.roy')]</t>
  </si>
  <si>
    <t>2003-08-15 10:17:39 EDT</t>
  </si>
  <si>
    <t>2003-08-15 05:29 EDT</t>
  </si>
  <si>
    <t>2003-08-15 10:18:18 EDT</t>
  </si>
  <si>
    <t>[('CREATED', '2003-08-15 05:29 EDT'), ('RESOLVED', '2003-08-15 10:17:39 EDT', 'akiezun'), ('FIXED', '2003-08-15 10:17:39 EDT', 'akiezun'), ('3.0 M3', '2003-08-15 10:18:18 EDT', 'akiezun')]</t>
  </si>
  <si>
    <t>2003-10-03 07:04:18 EDT</t>
  </si>
  <si>
    <t>2003-08-17 22:11 EDT</t>
  </si>
  <si>
    <t>2003-08-18 04:11:46 EDT</t>
  </si>
  <si>
    <t>2007-06-06 13:50:33 EDT</t>
  </si>
  <si>
    <t>ramanday</t>
  </si>
  <si>
    <t>[('CREATED', '2003-08-17 22:11 EDT'), ('dirk_baeumer', '2003-08-18 04:11:46 EDT', 'dirk_baeumer'), ('Cannot apply Surround with Try Catch when click error from task view. [refactoring]', '2003-08-18 04:11:46 EDT', 'dirk_baeumer'), ('3.0 M4', '2003-08-18 04:11:46 EDT', 'dirk_baeumer'), ('RESOLVED', '2003-10-03 07:04:18 EDT', 'dirk_baeumer'), ('FIXED', '2003-10-03 07:04:18 EDT', 'dirk_baeumer'), ('CLOSED', '2007-06-06 13:50:33 EDT', 'ramanday')]</t>
  </si>
  <si>
    <t>2003-08-19 12:54:46 EDT</t>
  </si>
  <si>
    <t>2003-08-19 11:20 EDT</t>
  </si>
  <si>
    <t>[('CREATED', '2003-08-19 11:20 EDT'), ('RESOLVED', '2003-08-19 12:54:46 EDT', 'akiezun'), ('FIXED', '2003-08-19 12:54:46 EDT', 'akiezun'), ('3.0 M3', '2003-08-19 12:54:46 EDT', 'akiezun')]</t>
  </si>
  <si>
    <t>41722 (view as bug list)</t>
  </si>
  <si>
    <t>2004-10-26 08:33:36 EDT</t>
  </si>
  <si>
    <t>2003-08-19 23:48 EDT</t>
  </si>
  <si>
    <t>2003-08-20 04:48:32 EDT</t>
  </si>
  <si>
    <t>[('CREATED', '2003-08-19 23:48 EDT'), ('adam_kiezun', '2003-08-20 04:48:32 EDT', 'akiezun'), ('jdt-ui-inbox', '2003-08-20 04:48:32 EDT', 'akiezun'), ('UI', '2003-08-20 04:48:32 EDT', 'akiezun'), ('"Move Member type to New File" breaks on Inner class reference [refactoring]', '2003-08-20 04:59:06 EDT', 'akiezun'), ('ASSIGNED', '2003-08-26 05:18:29 EDT', 'dirk_baeumer'), ('P4', '2003-08-26 05:18:29 EDT', 'dirk_baeumer'), ('3.1', '2004-09-15 13:34:54 EDT', 'dirk_baeumer'), ('RESOLVED', '2004-10-26 08:33:36 EDT', 'tobias_widmer'), ('FIXED', '2004-10-26 08:33:36 EDT', 'tobias_widmer')]</t>
  </si>
  <si>
    <t>2003-11-13 14:01:12 EST</t>
  </si>
  <si>
    <t>2003-08-20 10:52 EDT</t>
  </si>
  <si>
    <t>2003-08-20 13:43:21 EDT</t>
  </si>
  <si>
    <t>[('CREATED', '2003-08-20 10:52 EDT'), ('dirk_baeumer', '2003-08-20 13:43:21 EDT', 'dirk_baeumer'), ('martin_aeschlimann', '2003-08-20 13:43:21 EDT', 'dirk_baeumer'), ('3.0', '2003-08-21 05:00:55 EDT', 'dirk_baeumer'), ('sten-erik.bergner', '2003-11-06 07:38:30 EST', 'se.bergner'), ('RESOLVED', '2003-11-13 14:01:12 EST', 'martinae'), ('WONTFIX', '2003-11-13 14:01:12 EST', 'martinae')]</t>
  </si>
  <si>
    <t>2004-05-13 04:03:25 EDT</t>
  </si>
  <si>
    <t>2003-08-21 07:39 EDT</t>
  </si>
  <si>
    <t>2003-08-21 09:33:29 EDT</t>
  </si>
  <si>
    <t>2004-05-13 04:03:36 EDT</t>
  </si>
  <si>
    <t>[('CREATED', '2003-08-21 07:39 EDT'), ('dirk_baeumer', '2003-08-21 09:33:29 EDT', 'dirk_baeumer'), ('extract method: 2 different syntax errors created [refactoring]', '2003-08-21 09:33:29 EDT', 'dirk_baeumer'), ('3.0', '2003-08-21 09:33:29 EDT', 'dirk_baeumer'), ('RESOLVED', '2004-05-13 04:03:25 EDT', 'dirk_baeumer'), ('FIXED', '2004-05-13 04:03:25 EDT', 'dirk_baeumer'), ('3.0 M9', '2004-05-13 04:03:36 EDT', 'dirk_baeumer')]</t>
  </si>
  <si>
    <t>41847 (view as bug list)</t>
  </si>
  <si>
    <t>2004-05-28 04:24:25 EDT</t>
  </si>
  <si>
    <t>2003-08-21 14:21 EDT</t>
  </si>
  <si>
    <t>2003-08-22 11:10:17 EDT</t>
  </si>
  <si>
    <t>[('CREATED', '2003-08-21 14:21 EDT'), ('1', '2003-08-22 11:10:17 EDT', 'rfaust'), ('1', '2003-08-25 10:00:34 EDT', 'rfaust'), ('walkerp', '2003-11-18 15:17:33 EST', 'walkerp'), ('RESOLVED', '2004-05-28 04:24:25 EDT', 'martinae'), ('FIXED', '2004-05-28 04:24:25 EDT', 'martinae'), ('3.0 M9', '2004-05-28 04:24:25 EDT', 'martinae')]</t>
  </si>
  <si>
    <t>2004-04-27 08:26:48 EDT</t>
  </si>
  <si>
    <t>2003-08-22 06:45 EDT</t>
  </si>
  <si>
    <t>2003-08-22 11:08:07 EDT</t>
  </si>
  <si>
    <t>[('CREATED', '2003-08-22 06:45 EDT'), ('dirk_baeumer', '2003-08-22 11:08:07 EDT', 'dirk_baeumer'), ('refactoring preference page is not useful enough to retain [refactoring]', '2003-08-22 11:08:07 EDT', 'dirk_baeumer'), ('3.0', '2003-08-22 11:08:07 EDT', 'dirk_baeumer'), ('RESOLVED', '2004-04-27 08:26:48 EDT', 'dirk_baeumer'), ('FIXED', '2004-04-27 08:26:48 EDT', 'dirk_baeumer'), ('3.0 M9', '2004-04-27 08:26:48 EDT', 'dirk_baeumer')]</t>
  </si>
  <si>
    <t>2004-11-10 04:29:26 EST</t>
  </si>
  <si>
    <t>2003-08-22 08:25 EDT</t>
  </si>
  <si>
    <t>2003-08-22 08:47:08 EDT</t>
  </si>
  <si>
    <t>[('CREATED', '2003-08-22 08:25 EDT'), ('adam_kiezun, markus_keller', '2003-08-22 08:47:08 EDT', 'akiezun'), ('enhancement', '2003-08-22 08:47:08 EDT', 'akiezun'), ("move inline method: add 'inline source' to wizard [refactoring]", '2003-08-22 08:47:08 EDT', 'akiezun'), ('ASSIGNED', '2003-08-22 09:13:08 EDT', 'dirk_baeumer'), ('RESOLVED', '2004-11-10 04:29:26 EST', 'tobias_widmer'), ('FIXED', '2004-11-10 04:29:26 EST', 'tobias_widmer')]</t>
  </si>
  <si>
    <t>50985 51023 (view as bug list)</t>
  </si>
  <si>
    <t>2004-07-06 07:01:42 EDT</t>
  </si>
  <si>
    <t>2003-08-24 15:44 EDT</t>
  </si>
  <si>
    <t>2003-08-26 05:18:55 EDT</t>
  </si>
  <si>
    <t>2004-07-08 06:59:16 EDT</t>
  </si>
  <si>
    <t>[('CREATED', '2003-08-24 15:44 EDT'), ('bug in "Use SuperType Where Possible" [refactoring]', '2003-08-26 05:18:55 EDT', 'dirk_baeumer'), ('adam.kiezun', '2003-09-10 17:14:48 EDT', 'akiezun'), ('ASSIGNED', '2003-10-08 06:03:50 EDT', 'dirk_baeumer'), ('3.0 M8', '2004-02-12 15:04:36 EST', 'tip'), ('3.0', '2004-03-23 14:15:40 EST', 'dirk_baeumer'), ('---', '2004-05-27 04:52:43 EDT', 'dirk_baeumer'), ('markus_keller', '2004-07-06 06:55:03 EDT', 'markus.kell.r'), ('NEW', '2004-07-06 06:55:03 EDT', 'markus.kell.r'), ('RESOLVED', '2004-07-06 07:01:42 EDT', 'markus.kell.r'), ('FIXED', '2004-07-06 07:01:42 EDT', 'markus.kell.r'), ('3.1', '2004-07-06 07:01:42 EDT', 'markus.kell.r'), ('steimann', '2004-07-08 06:59:16 EDT', 'markus.kell.r')]</t>
  </si>
  <si>
    <t>2003-09-01 08:00:30 EDT</t>
  </si>
  <si>
    <t>2003-08-25 13:43 EDT</t>
  </si>
  <si>
    <t>2003-08-25 13:44:04 EDT</t>
  </si>
  <si>
    <t>[('CREATED', '2003-08-25 13:43 EDT'), ('markus_keller', '2003-08-25 13:44:04 EDT', 'dirk_baeumer'), ('3.0 M4', '2003-08-25 13:44:04 EDT', 'dirk_baeumer'), ('RESOLVED', '2003-09-01 08:00:30 EDT', 'dirk_baeumer'), ('FIXED', '2003-09-01 08:00:30 EDT', 'dirk_baeumer')]</t>
  </si>
  <si>
    <t>2005-03-23 12:43:06 EST</t>
  </si>
  <si>
    <t>2003-08-26 12:08 EDT</t>
  </si>
  <si>
    <t>2003-09-10 17:15:06 EDT</t>
  </si>
  <si>
    <t>[('CREATED', '2003-08-26 12:08 EDT'), ('adam.kiezun', '2003-09-10 17:15:06 EDT', 'akiezun'), ('ASSIGNED', '2003-10-08 06:04:03 EDT', 'dirk_baeumer'), ('bug in type constraints [refactoring]', '2003-10-08 06:04:18 EDT', 'dirk_baeumer'), ('markus_keller', '2004-09-15 13:36:53 EDT', 'dirk_baeumer'), ('rfuhrer', '2004-12-16 13:25:21 EST', 'tip'), ('tobias_widmer', '2005-03-21 17:02:38 EST', 'dirk_baeumer'), ('NEW', '2005-03-21 17:02:38 EST', 'dirk_baeumer'), ('RESOLVED', '2005-03-23 12:43:06 EST', 'tobias_widmer'), ('WONTFIX', '2005-03-23 12:43:06 EST', 'tobias_widmer')]</t>
  </si>
  <si>
    <t>42133 (view as bug list)</t>
  </si>
  <si>
    <t>2003-12-22 13:58:30 EST</t>
  </si>
  <si>
    <t>2003-08-26 19:34 EDT</t>
  </si>
  <si>
    <t>2003-08-27 08:58:28 EDT</t>
  </si>
  <si>
    <t>[('CREATED', '2003-08-26 19:34 EDT'), ('dirk_baeumer', '2003-08-27 08:58:28 EDT', 'dirk_baeumer'), ('jerome_lanneluc', '2003-08-27 11:38:46 EDT', 'dirk_baeumer'), ('dirk_baeumer', '2003-08-28 06:53:38 EDT', 'dirk_baeumer'), ('martin_aeschlimann', '2003-08-28 06:53:38 EDT', 'dirk_baeumer'), ('RESOLVED', '2003-12-22 13:58:30 EST', 'martinae'), ('FIXED', '2003-12-22 13:58:30 EST', 'martinae'), ('3.0 M7', '2003-12-22 13:58:30 EST', 'martinae')]</t>
  </si>
  <si>
    <t>2003-09-24 09:33:46 EDT</t>
  </si>
  <si>
    <t>2003-10-08 06:08:23 EDT</t>
  </si>
  <si>
    <t>2003-08-27 08:20 EDT</t>
  </si>
  <si>
    <t>2003-08-27 08:33:19 EDT</t>
  </si>
  <si>
    <t>[('CREATED', '2003-08-27 08:20 EDT'), ('markus_keller', '2003-08-27 08:33:19 EDT', 'dirk_baeumer'), ('Calls to super use default argument instead of new parameter [Refactoring][Change Method Signature]', '2003-08-27 08:33:19 EDT', 'dirk_baeumer'), ('3.0 M4', '2003-08-27 08:33:19 EDT', 'dirk_baeumer'), ('dirk_baeumer', '2003-09-01 11:22:53 EDT', 'markus.kell.r'), ('3.0', '2003-09-03 11:51:29 EDT', 'dirk_baeumer'), ('1', '2003-09-22 03:12:14 EDT', 'markus.kell.r'), ('RESOLVED', '2003-09-24 09:33:46 EDT', 'dirk_baeumer'), ('FIXED', '2003-09-24 09:33:46 EDT', 'dirk_baeumer'), ('3.0 M4', '2003-09-24 09:33:46 EDT', 'dirk_baeumer'), ('VERIFIED', '2003-10-08 06:08:23 EDT', 'eclipse')]</t>
  </si>
  <si>
    <t>RESOLVED  DUPLICATE  of bug 42054</t>
  </si>
  <si>
    <t>2003-08-27 11:38:46 EDT</t>
  </si>
  <si>
    <t>2003-08-27 11:16 EDT</t>
  </si>
  <si>
    <t>[('CREATED', '2003-08-27 11:16 EDT'), ('RESOLVED', '2003-08-27 11:38:46 EDT', 'dirk_baeumer'), ('DUPLICATE', '2003-08-27 11:38:46 EDT', 'dirk_baeumer')]</t>
  </si>
  <si>
    <t>2003-08-29 04:27:04 EDT</t>
  </si>
  <si>
    <t>2003-08-27 11:46 EDT</t>
  </si>
  <si>
    <t>2003-08-27 12:21:22 EDT</t>
  </si>
  <si>
    <t>[('CREATED', '2003-08-27 11:46 EDT'), ('rfaust', '2003-08-27 12:21:22 EDT', 'dirk_baeumer'), ('Externalize Strings cell editors editing broken [refactoring]', '2003-08-27 12:21:22 EDT', 'dirk_baeumer'), ('3.0 M4', '2003-08-27 12:21:22 EDT', 'dirk_baeumer'), ('markus_keller', '2003-08-28 11:59:19 EDT', 'markus.kell.r'), ('jdt-ui-inbox', '2003-08-28 15:08:11 EDT', 'rfaust'), ('RESOLVED', '2003-08-29 04:27:04 EDT', 'dirk_baeumer'), ('FIXED', '2003-08-29 04:27:04 EDT', 'dirk_baeumer')]</t>
  </si>
  <si>
    <t>2004-09-15 13:41:54 EDT</t>
  </si>
  <si>
    <t>2003-08-27 13:12 EDT</t>
  </si>
  <si>
    <t>2003-09-01 06:41:26 EDT</t>
  </si>
  <si>
    <t>[('CREATED', '2003-08-27 13:12 EDT'), ('ASSIGNED', '2003-09-01 06:41:26 EDT', 'dirk_baeumer'), ('Choosing a package when externalizing Strings [NLS] [refactoring]', '2003-09-01 06:41:26 EDT', 'dirk_baeumer'), ('RESOLVED', '2004-09-15 13:41:54 EDT', 'dirk_baeumer'), ('FIXED', '2004-09-15 13:41:54 EDT', 'dirk_baeumer')]</t>
  </si>
  <si>
    <t>2004-06-07 08:54:01 EDT</t>
  </si>
  <si>
    <t>2003-08-27 13:45 EDT</t>
  </si>
  <si>
    <t>2003-10-08 06:05:30 EDT</t>
  </si>
  <si>
    <t>[('CREATED', '2003-08-27 13:45 EDT'), ('Problem scrolling Strings list to externalize [refactoring] [nls]', '2003-10-08 06:05:30 EDT', 'dirk_baeumer'), ('RESOLVED', '2004-06-07 08:54:01 EDT', 'dirk_baeumer'), ('WORKSFORME', '2004-06-07 08:54:01 EDT', 'dirk_baeumer')]</t>
  </si>
  <si>
    <t>RESOLVED  DUPLICATE  of bug 52773</t>
  </si>
  <si>
    <t>2004-03-22 14:55:57 EST</t>
  </si>
  <si>
    <t>2003-08-29 08:02 EDT</t>
  </si>
  <si>
    <t>2003-10-06 06:21:26 EDT</t>
  </si>
  <si>
    <t>[('CREATED', '2003-08-29 08:02 EDT'), ('dirk_baeumer', '2003-10-06 06:21:26 EDT', 'dirk_baeumer'), ('3.0', '2003-10-06 06:21:26 EDT', 'dirk_baeumer'), ('RESOLVED', '2004-03-22 14:55:57 EST', 'dirk_baeumer'), ('DUPLICATE', '2004-03-22 14:55:57 EST', 'dirk_baeumer')]</t>
  </si>
  <si>
    <t>2006-06-12 04:13:41 EDT</t>
  </si>
  <si>
    <t>2009-08-30 02:39:55 EDT</t>
  </si>
  <si>
    <t>2003-08-31 08:33 EDT</t>
  </si>
  <si>
    <t>2003-09-01 04:24:09 EDT</t>
  </si>
  <si>
    <t>[('CREATED', '2003-08-31 08:33 EDT'), ('jdt-ui-inbox', '2003-09-01 04:24:09 EDT', 'philippe_mulet'), ('UI', '2003-09-01 04:24:09 EDT', 'philippe_mulet'), ('markus_keller', '2003-09-02 10:07:46 EDT', 'dirk_baeumer'), ('ASSIGNED', '2003-09-02 10:07:46 EDT', 'dirk_baeumer'), ('Add editable Method,attr,properties etc list to Class properties-dialog and create class wizard [refactoring]', '2003-09-02 10:07:46 EDT', 'dirk_baeumer'), ('RESOLVED', '2006-06-12 04:13:41 EDT', 'martinae'), ('LATER', '2006-06-12 04:13:41 EDT', 'martinae'), ('[refactoring] Add editable Method,attr,properties etc list to Class properties-dialog and create class wizard', '2006-06-12 04:13:41 EDT', 'martinae'), ('WONTFIX', '2009-08-30 02:39:55 EDT', 'webmaster')]</t>
  </si>
  <si>
    <t>2003-09-09 05:26:51 EDT</t>
  </si>
  <si>
    <t>2003-09-01 03:50:39 EDT</t>
  </si>
  <si>
    <t>2003-09-01 12:55:47 EDT</t>
  </si>
  <si>
    <t>2003-08-31 08:59 EDT</t>
  </si>
  <si>
    <t>2003-10-07 09:12:57 EDT</t>
  </si>
  <si>
    <t>[('CREATED', '2003-08-31 08:59 EDT'), ('RESOLVED', '2003-09-01 03:50:39 EDT', 'dirk_baeumer'), ('WORKSFORME', '2003-09-01 03:50:39 EDT', 'dirk_baeumer'), ('REOPENED', '2003-09-01 12:55:47 EDT', 'a_ilyin'), ('---', '2003-09-01 12:55:47 EDT', 'a_ilyin'), ('markus_keller', '2003-09-02 10:04:09 EDT', 'dirk_baeumer'), ('NEW', '2003-09-02 10:04:09 EDT', 'dirk_baeumer'), ('Refactor/Move... on the Class Name should move class to another package [refactoring]', '2003-09-02 10:04:09 EDT', 'dirk_baeumer'), ('dirk_baeumer', '2003-09-05 08:14:03 EDT', 'markus.kell.r'), ('RESOLVED', '2003-09-09 05:26:51 EDT', 'dirk_baeumer'), ('FIXED', '2003-09-09 05:26:51 EDT', 'dirk_baeumer'), ('3.0 M4', '2003-10-07 09:12:57 EDT', 'markus.kell.r')]</t>
  </si>
  <si>
    <t>2003-09-02 03:56:28 EDT</t>
  </si>
  <si>
    <t>2003-08-31 10:28 EDT</t>
  </si>
  <si>
    <t>2003-09-02 03:51:39 EDT</t>
  </si>
  <si>
    <t>[('CREATED', '2003-08-31 10:28 EDT'), ('jdt-ui-inbox', '2003-09-02 03:51:39 EDT', 'kai-uwe_maetzel'), ('UI', '2003-09-02 03:51:39 EDT', 'kai-uwe_maetzel'), ('RESOLVED', '2003-09-02 03:56:28 EDT', 'dirk_baeumer'), ('WONTFIX', '2003-09-02 03:56:28 EDT', 'dirk_baeumer')]</t>
  </si>
  <si>
    <t>42673 (view as bug list)</t>
  </si>
  <si>
    <t>2003-09-16 03:26:55 EDT</t>
  </si>
  <si>
    <t>2003-09-01 08:44 EDT</t>
  </si>
  <si>
    <t>2003-09-01 09:17:02 EDT</t>
  </si>
  <si>
    <t>[('CREATED', '2003-09-01 08:44 EDT'), ('markus_keller', '2003-09-01 09:17:02 EDT', 'dirk_baeumer'), ('3.0 M4', '2003-09-01 09:17:02 EDT', 'dirk_baeumer'), ('dirk_baeumer', '2003-09-01 13:44:56 EDT', 'markus.kell.r'), ('gperks', '2003-09-08 04:34:27 EDT', 'markus.kell.r'), ('RESOLVED', '2003-09-16 03:26:55 EDT', 'markus.kell.r'), ('FIXED', '2003-09-16 03:26:55 EDT', 'markus.kell.r')]</t>
  </si>
  <si>
    <t>2003-09-03 13:19:54 EDT</t>
  </si>
  <si>
    <t>2003-09-02 10:09 EDT</t>
  </si>
  <si>
    <t>2003-10-07 09:25:31 EDT</t>
  </si>
  <si>
    <t>[('CREATED', '2003-09-02 10:09 EDT'), ('RESOLVED', '2003-09-03 13:19:54 EDT', 'dirk_baeumer'), ('FIXED', '2003-09-03 13:19:54 EDT', 'dirk_baeumer'), ('3.0 M4', '2003-10-07 09:25:31 EDT', 'markus.kell.r')]</t>
  </si>
  <si>
    <t>52093 (view as bug list)</t>
  </si>
  <si>
    <t>2005-09-22 10:56:28 EDT</t>
  </si>
  <si>
    <t>2005-11-01 09:58:09 EST</t>
  </si>
  <si>
    <t>2003-09-03 07:45 EDT</t>
  </si>
  <si>
    <t>2003-10-27 13:18:59 EST</t>
  </si>
  <si>
    <t>[('CREATED', '2003-09-03 07:45 EDT'), ('dirk_baeumer', '2003-10-27 13:18:59 EST', 'dirk_baeumer'), ('markus_keller', '2003-10-27 13:18:59 EST', 'dirk_baeumer'), ('Moving a private static method should change the visibility [refactoring]', '2003-10-27 13:18:59 EST', 'dirk_baeumer'), ('philip_mayer', '2005-09-16 11:20:33 EDT', 'markus.kell.r'), ('tobias_widmer, markus_keller', '2005-09-16 11:20:33 EDT', 'markus.kell.r'), ('RESOLVED', '2005-09-22 10:56:28 EDT', 'tobias_widmer'), ('FIXED', '2005-09-22 10:56:28 EDT', 'tobias_widmer'), ('3.2 M3', '2005-09-22 10:56:28 EDT', 'tobias_widmer'), ('VERIFIED', '2005-11-01 09:58:09 EST', 'dirk_baeumer')]</t>
  </si>
  <si>
    <t>2005-03-23 12:47:16 EST</t>
  </si>
  <si>
    <t>2003-09-03 08:25 EDT</t>
  </si>
  <si>
    <t>2003-09-03 09:03:22 EDT</t>
  </si>
  <si>
    <t>[('CREATED', '2003-09-03 08:25 EDT'), ('markus_keller', '2003-09-03 09:03:22 EDT', 'dirk_baeumer'), ('"Extract Interface" is not available on a nest static class [refactoring]', '2003-09-03 09:03:22 EDT', 'dirk_baeumer'), ('dirk_baeumer', '2003-09-05 11:14:55 EDT', 'markus.kell.r'), ('ASSIGNED', '2003-09-05 12:00:20 EDT', 'dirk_baeumer'), ('tobias_widmer', '2005-01-17 06:44:57 EST', 'tobias_widmer'), ('NEW', '2005-01-17 06:44:57 EST', 'tobias_widmer'), ('3.1 M6', '2005-02-10 09:35:33 EST', 'tobias_widmer'), ('RESOLVED', '2005-03-23 12:47:16 EST', 'tobias_widmer'), ('FIXED', '2005-03-23 12:47:16 EST', 'tobias_widmer')]</t>
  </si>
  <si>
    <t>2003-09-04 09:16 EDT</t>
  </si>
  <si>
    <t>2003-09-19 00:17:30 EDT</t>
  </si>
  <si>
    <t>2003-10-20 12:05:54 EDT</t>
  </si>
  <si>
    <t>[('CREATED', '2003-09-04 09:16 EDT'), ('akiezun', '2003-09-19 00:17:30 EDT', 'akiezun'), ('akiezun', '2003-10-20 12:05:54 EDT', 'akiezun')]</t>
  </si>
  <si>
    <t>2003-10-02 13:52:49 EDT</t>
  </si>
  <si>
    <t>2003-09-05 05:41 EDT</t>
  </si>
  <si>
    <t>2003-09-05 06:56:13 EDT</t>
  </si>
  <si>
    <t>[('CREATED', '2003-09-05 05:41 EDT'), ('dirk_baeumer', '2003-09-05 06:56:13 EDT', 'dirk_baeumer'), ('3.0 M4', '2003-09-05 06:56:13 EDT', 'dirk_baeumer'), ('RESOLVED', '2003-10-02 13:52:49 EDT', 'dirk_baeumer'), ('FIXED', '2003-10-02 13:52:49 EDT', 'dirk_baeumer')]</t>
  </si>
  <si>
    <t>2003-09-05 12:58:18 EDT</t>
  </si>
  <si>
    <t>2003-09-05 12:42 EDT</t>
  </si>
  <si>
    <t>2003-09-05 12:49:02 EDT</t>
  </si>
  <si>
    <t>[('CREATED', '2003-09-05 12:42 EDT'), ('jdt-ui-inbox', '2003-09-05 12:49:02 EDT', 'eclipse'), ('UI', '2003-09-05 12:49:02 EDT', 'eclipse'), ('JDT', '2003-09-05 12:49:02 EDT', 'eclipse'), ('DUPLICATE', '2003-09-05 12:58:18 EDT', 'dirk_baeumer'), ('RESOLVED', '2003-09-05 12:58:18 EDT', 'dirk_baeumer')]</t>
  </si>
  <si>
    <t>2004-05-07 12:25:11 EDT</t>
  </si>
  <si>
    <t>2003-09-07 12:16 EDT</t>
  </si>
  <si>
    <t>2003-09-07 15:52:08 EDT</t>
  </si>
  <si>
    <t>[('CREATED', '2003-09-07 12:16 EDT'), ('jdt-ui-inbox', '2003-09-07 15:52:08 EDT', 'Olivier_Thomann'), ('UI', '2003-09-07 15:52:08 EDT', 'Olivier_Thomann'), ('dirk_baeumer', '2003-10-27 13:21:35 EST', 'dirk_baeumer'), ('3.0', '2003-10-27 13:21:35 EST', 'dirk_baeumer'), ('3.0 M9', '2004-05-07 12:25:11 EDT', 'dirk_baeumer'), ('RESOLVED', '2004-05-07 12:25:11 EDT', 'dirk_baeumer'), ('FIXED', '2004-05-07 12:25:11 EDT', 'dirk_baeumer')]</t>
  </si>
  <si>
    <t>RESOLVED  DUPLICATE  of bug 42335</t>
  </si>
  <si>
    <t>2003-09-08 04:34:27 EDT</t>
  </si>
  <si>
    <t>2003-09-07 13:25 EDT</t>
  </si>
  <si>
    <t>2003-09-08 04:28:04 EDT</t>
  </si>
  <si>
    <t>[('CREATED', '2003-09-07 13:25 EDT'), ('markus_keller', '2003-09-08 04:28:04 EDT', 'dirk_baeumer'), ('RESOLVED', '2003-09-08 04:34:27 EDT', 'markus.kell.r'), ('DUPLICATE', '2003-09-08 04:34:27 EDT', 'markus.kell.r')]</t>
  </si>
  <si>
    <t>2003-09-08 10:23:37 EDT</t>
  </si>
  <si>
    <t>2003-09-08 05:20 EDT</t>
  </si>
  <si>
    <t>2003-09-08 05:34:39 EDT</t>
  </si>
  <si>
    <t>[('CREATED', '2003-09-08 05:20 EDT'), ('markus_keller', '2003-09-08 05:34:39 EDT', 'dirk_baeumer'), ('3.0 M4', '2003-09-08 05:34:39 EDT', 'dirk_baeumer'), ('RESOLVED', '2003-09-08 10:23:37 EDT', 'markus.kell.r'), ('WORKSFORME', '2003-09-08 10:23:37 EDT', 'markus.kell.r')]</t>
  </si>
  <si>
    <t>2004-08-06 19:11:21 EDT</t>
  </si>
  <si>
    <t>2004-09-17 11:10:05 EDT</t>
  </si>
  <si>
    <t>2004-08-06 19:10:36 EDT</t>
  </si>
  <si>
    <t>2003-09-08 09:14 EDT</t>
  </si>
  <si>
    <t>2003-09-09 04:24:14 EDT</t>
  </si>
  <si>
    <t>2004-09-17 11:10:14 EDT</t>
  </si>
  <si>
    <t>[('CREATED', '2003-09-08 09:14 EDT'), ('RESOLVED', '2003-09-09 04:24:14 EDT', 'dirk_baeumer'), ('REMIND', '2003-09-09 04:24:14 EDT', 'dirk_baeumer'), ('Cannot cancel running Rename Method [refactoring]', '2003-09-09 04:24:14 EDT', 'dirk_baeumer'), ('wasleski', '2004-08-06 10:46:11 EDT', 'steven.wasleski'), ('REOPENED', '2004-08-06 19:10:36 EDT', 'dirk_baeumer'), ('---', '2004-08-06 19:10:36 EDT', 'dirk_baeumer'), ('RESOLVED', '2004-08-06 19:11:21 EDT', 'dirk_baeumer'), ('FIXED', '2004-08-06 19:11:21 EDT', 'dirk_baeumer'), ('VERIFIED', '2004-09-17 11:10:05 EDT', 'sdavids'), ('CLOSED', '2004-09-17 11:10:14 EDT', 'sdavids')]</t>
  </si>
  <si>
    <t>2003-09-10 10:54:08 EDT</t>
  </si>
  <si>
    <t>2003-09-08 10:06 EDT</t>
  </si>
  <si>
    <t>2003-09-08 10:06:40 EDT</t>
  </si>
  <si>
    <t>[('CREATED', '2003-09-08 10:06 EDT'), ('dirk_baeumer', '2003-09-08 10:06:40 EDT', 'rfaust'), ('1', '2003-09-09 05:52:32 EDT', 'rfaust'), ('RESOLVED', '2003-09-10 10:54:08 EDT', 'dirk_baeumer'), ('FIXED', '2003-09-10 10:54:08 EDT', 'dirk_baeumer'), ('3.0 M4', '2003-09-10 10:54:08 EDT', 'dirk_baeumer')]</t>
  </si>
  <si>
    <t>2003-10-03 08:40:44 EDT</t>
  </si>
  <si>
    <t>2003-09-09 04:05 EDT</t>
  </si>
  <si>
    <t>2003-09-09 04:47:29 EDT</t>
  </si>
  <si>
    <t>[('CREATED', '2003-09-09 04:05 EDT'), ('jdt-ui-inbox', '2003-09-09 04:47:29 EDT', 'philippe_mulet'), ('UI', '2003-09-09 04:47:29 EDT', 'philippe_mulet'), ('dirk_baeumer', '2003-09-09 09:37:52 EDT', 'dirk_baeumer'), ('Inline refactoring showed bogus error [refactoring]', '2003-09-09 09:37:52 EDT', 'dirk_baeumer'), ('3.0', '2003-09-09 09:37:52 EDT', 'dirk_baeumer'), ('dstalnov', '2003-10-01 14:14:02 EDT', 'dstalnov'), ('RESOLVED', '2003-10-03 08:40:44 EDT', 'dirk_baeumer'), ('FIXED', '2003-10-03 08:40:44 EDT', 'dirk_baeumer'), ('3.0 M4', '2003-10-03 08:40:44 EDT', 'dirk_baeumer')]</t>
  </si>
  <si>
    <t>2003-09-17 06:32:57 EDT</t>
  </si>
  <si>
    <t>2003-10-08 06:12:02 EDT</t>
  </si>
  <si>
    <t>2003-09-09 07:11 EDT</t>
  </si>
  <si>
    <t>2003-09-09 07:11:55 EDT</t>
  </si>
  <si>
    <t>[('CREATED', '2003-09-09 07:11 EDT'), ('major', '2003-09-09 07:11:55 EDT', 'daniel_megert'), ('dirk_baeumer', '2003-09-17 06:32:31 EDT', 'dirk_baeumer'), ('RESOLVED', '2003-09-17 06:32:57 EDT', 'dirk_baeumer'), ('FIXED', '2003-09-17 06:32:57 EDT', 'dirk_baeumer'), ('3.0 M4', '2003-09-17 06:32:57 EDT', 'dirk_baeumer'), ('VERIFIED', '2003-10-08 06:12:02 EDT', 'daniel_megert')]</t>
  </si>
  <si>
    <t>2003-10-28 05:50:38 EST</t>
  </si>
  <si>
    <t>2003-09-09 08:27 EDT</t>
  </si>
  <si>
    <t>[('CREATED', '2003-09-09 08:27 EDT'), ('RESOLVED', '2003-10-28 05:50:38 EST', 'dirk_baeumer'), ('WONTFIX', '2003-10-28 05:50:38 EST', 'dirk_baeumer'), ('Extract method refactoring can generate incorrect code [refactoring]', '2003-10-28 05:50:38 EST', 'dirk_baeumer')]</t>
  </si>
  <si>
    <t>2004-12-23 05:37:38 EST</t>
  </si>
  <si>
    <t>2003-09-09 08:38 EDT</t>
  </si>
  <si>
    <t>2003-09-09 09:07:51 EDT</t>
  </si>
  <si>
    <t>[('CREATED', '2003-09-09 08:38 EDT'), ('jdt-ui-inbox', '2003-09-09 09:07:51 EDT', 'philippe_mulet'), ('UI', '2003-09-09 09:07:51 EDT', 'philippe_mulet'), ('dirk_baeumer', '2003-09-09 09:25:29 EDT', 'dirk_baeumer'), ('Extract method refactoring remove local variable definition resulting in compilation errors [refactoring]', '2003-09-09 09:25:29 EDT', 'dirk_baeumer'), ('RESOLVED', '2004-12-23 05:37:38 EST', 'dirk_baeumer'), ('FIXED', '2004-12-23 05:37:38 EST', 'dirk_baeumer'), ('3.1 M5', '2004-12-23 05:37:38 EST', 'dirk_baeumer')]</t>
  </si>
  <si>
    <t>2003-09-15 08:51:21 EDT</t>
  </si>
  <si>
    <t>2003-09-09 16:06 EDT</t>
  </si>
  <si>
    <t>2003-09-09 16:06:59 EDT</t>
  </si>
  <si>
    <t>[('CREATED', '2003-09-09 16:06 EDT'), ('camle, kmoir, tim_koss', '2003-09-09 16:06:59 EDT', 'sonia_dimitrov'), ('RESOLVED', '2003-09-15 08:51:21 EDT', 'sonia_dimitrov'), ('INVALID', '2003-09-15 08:51:21 EDT', 'sonia_dimitrov')]</t>
  </si>
  <si>
    <t>2004-05-12 12:49:28 EDT</t>
  </si>
  <si>
    <t>2003-09-10 13:49 EDT</t>
  </si>
  <si>
    <t>2003-10-27 13:26:14 EST</t>
  </si>
  <si>
    <t>[('CREATED', '2003-09-10 13:49 EDT'), ('markus_keller', '2003-10-27 13:26:14 EST', 'dirk_baeumer'), ('3.0', '2003-10-27 13:26:14 EST', 'dirk_baeumer'), ('RESOLVED', '2004-05-12 12:49:28 EDT', 'markus.kell.r'), ('FIXED', '2004-05-12 12:49:28 EDT', 'markus.kell.r'), ('3.0 M9', '2004-05-12 12:49:28 EDT', 'markus.kell.r')]</t>
  </si>
  <si>
    <t>2003-09-11 05:18 EDT</t>
  </si>
  <si>
    <t>2003-09-11 08:05:14 EDT</t>
  </si>
  <si>
    <t>[('CREATED', '2003-09-11 05:18 EDT'), ('jdt-ui-inbox', '2003-09-11 08:05:14 EDT', 'Olivier_Thomann'), ('UI', '2003-09-11 08:05:14 EDT', 'Olivier_Thomann'), ('RESOLVED', '2003-09-11 10:57:33 EDT', 'dirk_baeumer'), ('DUPLICATE', '2003-09-11 10:57:33 EDT', 'dirk_baeumer')]</t>
  </si>
  <si>
    <t>2006-06-12 05:37:16 EDT</t>
  </si>
  <si>
    <t>2009-08-30 02:05:34 EDT</t>
  </si>
  <si>
    <t>2003-09-11 11:38 EDT</t>
  </si>
  <si>
    <t>2003-09-11 12:08:29 EDT</t>
  </si>
  <si>
    <t>[('CREATED', '2003-09-11 11:38 EDT'), ('jdt-ui-inbox', '2003-09-11 12:08:29 EDT', 'john.arthorne'), ('UI', '2003-09-11 12:08:29 EDT', 'john.arthorne'), ('JDT', '2003-09-11 12:08:29 EDT', 'john.arthorne'), ('ASSIGNED', '2003-09-11 12:36:54 EDT', 'dirk_baeumer'), ('Problem message when Refactory-Rename of second overloaded private static method [refactoring]', '2003-09-11 12:36:54 EDT', 'dirk_baeumer'), ('martin_aeschlimann', '2006-06-12 05:37:16 EDT', 'martinae'), ('RESOLVED', '2006-06-12 05:37:16 EDT', 'martinae'), ('REMIND', '2006-06-12 05:37:16 EDT', 'martinae'), ('[rename] Problem message when Refactory-Rename of second overloaded private static method [refactoring]', '2006-06-12 05:37:16 EDT', 'martinae'), ('needinfo', '2009-08-30 02:05:34 EDT', 'denis.roy'), ('INVALID', '2009-08-30 02:05:34 EDT', 'denis.roy')]</t>
  </si>
  <si>
    <t>VERIFIED  DUPLICATE  of bug 48722</t>
  </si>
  <si>
    <t>2004-06-04 11:42:13 EDT</t>
  </si>
  <si>
    <t>2004-06-18 14:58:05 EDT</t>
  </si>
  <si>
    <t>2003-09-12 05:40 EDT</t>
  </si>
  <si>
    <t>2003-09-12 06:08:30 EDT</t>
  </si>
  <si>
    <t>[('CREATED', '2003-09-12 05:40 EDT'), ('ASSIGNED', '2003-09-12 06:08:30 EDT', 'dirk_baeumer'), ('Refactor -&gt; Extract Constant suggested odd name [refactoring]', '2003-09-12 06:08:30 EDT', 'dirk_baeumer'), ('RESOLVED', '2004-06-04 11:42:13 EDT', 'markus.kell.r'), ('DUPLICATE', '2004-06-04 11:42:13 EDT', 'markus.kell.r'), ('VERIFIED', '2004-06-18 14:58:05 EDT', 'alex.blewitt')]</t>
  </si>
  <si>
    <t>VERIFIED  DUPLICATE  of bug 40693</t>
  </si>
  <si>
    <t>2003-09-12 07:36:47 EDT</t>
  </si>
  <si>
    <t>2003-09-12 12:32:34 EDT</t>
  </si>
  <si>
    <t>2003-09-12 05:57 EDT</t>
  </si>
  <si>
    <t>2003-09-12 06:07:44 EDT</t>
  </si>
  <si>
    <t>[('CREATED', '2003-09-12 05:57 EDT'), ('Andre_Weinand', '2003-09-12 06:07:44 EDT', 'dirk_baeumer'), ('RESOLVED', '2003-09-12 07:36:47 EDT', 'andre_weinand'), ('DUPLICATE', '2003-09-12 07:36:47 EDT', 'andre_weinand'), ('VERIFIED', '2003-09-12 12:32:34 EDT', 'alex.blewitt')]</t>
  </si>
  <si>
    <t>RESOLVED  DUPLICATE  of bug 44426</t>
  </si>
  <si>
    <t>2004-02-12 04:13:21 EST</t>
  </si>
  <si>
    <t>2003-09-13 15:41 EDT</t>
  </si>
  <si>
    <t>2003-09-13 18:27:12 EDT</t>
  </si>
  <si>
    <t>[('CREATED', '2003-09-13 15:41 EDT'), ('jdt-ui-inbox', '2003-09-13 18:27:12 EDT', 'Olivier_Thomann'), ('UI', '2003-09-13 18:27:12 EDT', 'Olivier_Thomann'), ('ASSIGNED', '2003-09-17 05:56:43 EDT', 'dirk_baeumer'), ('"Move member type to new file" fails when encloding class field isn\'t wanted [refactoring]', '2003-09-17 05:56:43 EDT', 'dirk_baeumer'), ('RESOLVED', '2004-02-12 04:13:21 EST', 'markus.kell.r'), ('DUPLICATE', '2004-02-12 04:13:21 EST', 'markus.kell.r')]</t>
  </si>
  <si>
    <t>2003-09-17 05:22:56 EDT</t>
  </si>
  <si>
    <t>2003-09-15 09:23 EDT</t>
  </si>
  <si>
    <t>2003-09-15 10:03:07 EDT</t>
  </si>
  <si>
    <t>[('CREATED', '2003-09-15 09:23 EDT'), ('jdt-ui-inbox', '2003-09-15 10:03:07 EDT', 'philippe_mulet'), ('UI', '2003-09-15 10:03:07 EDT', 'philippe_mulet'), ('RESOLVED', '2003-09-17 05:22:56 EDT', 'dirk_baeumer'), ('FIXED', '2003-09-17 05:22:56 EDT', 'dirk_baeumer')]</t>
  </si>
  <si>
    <t>2003-09-16 04:22:02 EDT</t>
  </si>
  <si>
    <t>2003-09-15 11:28 EDT</t>
  </si>
  <si>
    <t>[('CREATED', '2003-09-15 11:28 EDT'), ('RESOLVED', '2003-09-16 04:22:02 EDT', 'daniel_megert'), ('FIXED', '2003-09-16 04:22:02 EDT', 'daniel_megert')]</t>
  </si>
  <si>
    <t>2003-09-17 05:20:10 EDT</t>
  </si>
  <si>
    <t>2003-09-15 11:59 EDT</t>
  </si>
  <si>
    <t>[('CREATED', '2003-09-15 11:59 EDT'), ('RESOLVED', '2003-09-17 05:20:10 EDT', 'dirk_baeumer'), ('FIXED', '2003-09-17 05:20:10 EDT', 'dirk_baeumer')]</t>
  </si>
  <si>
    <t>140201 (view as bug list)</t>
  </si>
  <si>
    <t>2006-06-09 06:58:05 EDT</t>
  </si>
  <si>
    <t>2009-08-30 02:37:48 EDT</t>
  </si>
  <si>
    <t>2014-01-13 10:39:56 EST</t>
  </si>
  <si>
    <t>2003-09-16 14:57 EDT</t>
  </si>
  <si>
    <t>2003-09-16 14:58:37 EDT</t>
  </si>
  <si>
    <t>2014-01-13 12:09:29 EST</t>
  </si>
  <si>
    <t>[('CREATED', '2003-09-16 14:57 EDT'), ('Refactor..rename shows unnecessary error about shadowing access to variable', '2003-09-16 14:58:37 EDT', 'lpkruger'), ('jdt-ui-inbox', '2003-09-16 17:37:14 EDT', 'philippe_mulet'), ('UI', '2003-09-16 17:37:14 EDT', 'philippe_mulet'), ('ASSIGNED', '2003-09-17 04:10:09 EDT', 'dirk_baeumer'), ('Refactor..rename shows unnecessary error about shadowing access to variable [refactoring]', '2003-09-17 04:10:09 EDT', 'dirk_baeumer'), ('P4', '2004-01-05 09:38:44 EST', 'dirk_baeumer'), ('btarling', '2004-06-14 11:42:46 EDT', 'btarling'), ('luke.hutch', '2006-05-05 03:52:07 EDT', 'daniel_megert'), ('RESOLVED', '2006-06-09 06:58:05 EDT', 'martinae'), ('LATER', '2006-06-09 06:58:05 EDT', 'martinae'), ('WONTFIX', '2009-08-30 02:37:48 EDT', 'webmaster'), ('sebastien.arod', '2014-01-08 09:44:53 EST', 'sebastien.arod'), ('stephan.herrmann', '2014-01-11 16:43:58 EST', 'stephan.herrmann'), ('REOPENED', '2014-01-13 10:39:56 EST', 'markus.kell.r'), ('markus_keller', '2014-01-13 10:39:56 EST', 'markus.kell.r'), ('All', '2014-01-13 10:39:56 EST', 'markus.kell.r'), ('---', '2014-01-13 10:39:56 EST', 'markus.kell.r'), ('[rename] Refactoring shows unnecessary error about shadowing access to variable (could "this."-qualify field)', '2014-01-13 10:39:56 EST', 'markus.kell.r'), ('All', '2014-01-13 10:39:56 EST', 'markus.kell.r'), ('enhancement', '2014-01-13 10:39:56 EST', 'markus.kell.r'), ('ASSIGNED', '2014-01-13 12:09:29 EST', 'markus.kell.r')]</t>
  </si>
  <si>
    <t>RESOLVED  DUPLICATE  of bug 64665</t>
  </si>
  <si>
    <t>98237 (view as bug list)</t>
  </si>
  <si>
    <t>2006-04-03 09:16:29 EDT</t>
  </si>
  <si>
    <t>2003-09-16 15:22 EDT</t>
  </si>
  <si>
    <t>2003-09-17 04:11:41 EDT</t>
  </si>
  <si>
    <t>[('CREATED', '2003-09-16 15:22 EDT'), ('ASSIGNED', '2003-09-17 04:11:41 EDT', 'dirk_baeumer'), ('"Smart cursor positioning in Java names" should apply to dialogs as well [dialogs] [general issue]', '2003-09-17 04:11:41 EDT', 'dirk_baeumer'), ('N.Metchev', '2003-09-24 09:23:27 EDT', 'nikolaymetchev'), ('markus_keller', '2004-06-10 10:43:35 EDT', 'markus.kell.r'), ('preuss', '2005-06-03 04:28:35 EDT', 'dirk_baeumer'), ('3.2', '2005-06-06 09:21:41 EDT', 'markus.kell.r'), (nan, '2005-06-06 09:21:41 EDT', 'markus.kell.r'), ('markus_keller', '2005-06-06 09:21:41 EDT', 'markus.kell.r'), ('NEW', '2005-06-06 09:21:41 EDT', 'markus.kell.r'), ('RESOLVED', '2006-04-03 09:16:29 EDT', 'markus.kell.r'), ('DUPLICATE', '2006-04-03 09:16:29 EDT', 'markus.kell.r')]</t>
  </si>
  <si>
    <t>2003-09-17 06:12:17 EDT</t>
  </si>
  <si>
    <t>2003-09-16 18:24 EDT</t>
  </si>
  <si>
    <t>2003-09-17 05:40:53 EDT</t>
  </si>
  <si>
    <t>[('CREATED', '2003-09-16 18:24 EDT'), ('jdt-ui-inbox', '2003-09-17 05:40:53 EDT', 'philippe_mulet'), ('UI', '2003-09-17 05:40:53 EDT', 'philippe_mulet'), ('RESOLVED', '2003-09-17 06:12:17 EDT', 'dirk_baeumer'), ('WONTFIX', '2003-09-17 06:12:17 EDT', 'dirk_baeumer')]</t>
  </si>
  <si>
    <t>2006-06-24 18:34:06 EDT</t>
  </si>
  <si>
    <t>2009-08-30 02:07:20 EDT</t>
  </si>
  <si>
    <t>2006-06-24 10:28:32 EDT</t>
  </si>
  <si>
    <t>2003-09-17 13:59 EDT</t>
  </si>
  <si>
    <t>2003-09-17 16:54:02 EDT</t>
  </si>
  <si>
    <t>[('CREATED', '2003-09-17 13:59 EDT'), ('jdt-ui-inbox', '2003-09-17 16:54:02 EDT', 'Olivier_Thomann'), ('UI', '2003-09-17 16:54:02 EDT', 'Olivier_Thomann'), ('ASSIGNED', '2003-09-18 04:15:35 EDT', 'dirk_baeumer'), ('Gode generation and refactorings should respect configured java members sort order [code manipulation] [refactoring]', '2003-09-18 04:15:35 EDT', 'dirk_baeumer'), ('major', '2004-07-23 11:45:02 EDT', 'ekuleshov'), ('Code generation and refactorings should respect configured java members sort order [code manipulation] [refactoring]', '2004-07-23 11:45:02 EDT', 'ekuleshov'), ('3.1', '2004-07-23 11:45:02 EDT', 'ekuleshov'), ('normal', '2004-07-25 12:54:42 EDT', 'dirk_baeumer'), ('---', '2004-07-25 12:54:42 EDT', 'dirk_baeumer'), ('martin_aeschlimann', '2004-09-15 13:45:30 EDT', 'dirk_baeumer'), ('3.1', '2004-09-15 13:45:39 EDT', 'dirk_baeumer'), ('preuss', '2005-01-24 07:28:07 EST', 'preuss'), ('---', '2005-03-16 14:04:12 EST', 'dirk_baeumer'), ('mlists', '2005-08-24 06:30:48 EDT', 'mlists'), ('eclipse', '2005-11-01 06:44:32 EST', 'eclipse'), ('RESOLVED', '2006-06-19 09:47:06 EDT', 'martinae'), ('REMIND', '2006-06-19 09:47:06 EDT', 'martinae'), ('REOPENED', '2006-06-24 10:28:32 EDT', 'ekuleshov'), ('---', '2006-06-24 10:28:32 EDT', 'ekuleshov'), ('REMIND', '2006-06-24 18:34:06 EDT', 'martinae'), ('RESOLVED', '2006-06-24 18:34:06 EDT', 'martinae'), ('needinfo', '2009-08-30 02:07:20 EDT', 'denis.roy'), ('INVALID', '2009-08-30 02:07:20 EDT', 'denis.roy')]</t>
  </si>
  <si>
    <t>51511 84777 99076 240493 260994 (view as bug list)</t>
  </si>
  <si>
    <t>2010-03-05 12:38:41 EST</t>
  </si>
  <si>
    <t>2010-03-09 01:38:38 EST</t>
  </si>
  <si>
    <t>2003-09-18 06:44 EDT</t>
  </si>
  <si>
    <t>2003-09-18 08:49:51 EDT</t>
  </si>
  <si>
    <t>[('CREATED', '2003-09-18 06:44 EDT'), ('ASSIGNED', '2003-09-18 08:49:51 EDT', 'dirk_baeumer'), ('Extend refactoring: Move type to new file [refactoring]', '2003-09-18 08:49:51 EDT', 'dirk_baeumer'), ('Michael.Scharf', '2004-02-12 04:20:30 EST', 'markus.kell.r'), ('markus_keller', '2004-02-12 04:21:21 EST', 'markus.kell.r'), ('NEW', '2004-02-12 04:21:21 EST', 'markus.kell.r'), ('jerry.vos', '2005-06-08 18:21:22 EDT', 'jerry.vos'), ('jdt-ui-inbox', '2006-08-03 10:18:18 EDT', 'martinae'), ('[refactoring] [dcr] Move type to new file', '2006-08-03 10:18:18 EDT', 'martinae'), ('ASSIGNED', '2006-08-07 03:46:29 EDT', 'martinae'), ('b.muskalla', '2006-12-15 22:31:44 EST', 'b.muskalla'), ('noelgrandin', '2008-06-16 10:06:38 EDT', 'markus.kell.r'), ('leberre', '2008-07-14 02:40:57 EDT', 'daniel_megert'), ('kscheglov', '2008-10-16 04:38:04 EDT', 'Konstantin.Scheglov'), ('sven.koehler', '2009-01-14 10:15:47 EST', 'markus.kell.r'), ('P2', '2010-01-28 05:25:03 EST', 'daniel_megert'), ('daniel_megert', '2010-01-28 05:25:03 EST', 'daniel_megert'), ('raksha.vasisht', '2010-01-28 05:25:03 EST', 'daniel_megert'), ('review?(markus_keller)', '2010-01-28 05:25:03 EST', 'daniel_megert'), (nan, '2010-01-28 05:32:58 EST', 'daniel_megert'), ('3.6 M6', '2010-02-10 06:02:31 EST', 'daniel_megert'), ('1', '2010-02-23 07:39:26 EST', 'raksha.vasisht'), ('RESOLVED', '2010-03-05 12:38:41 EST', 'markus.kell.r'), ('FIXED', '2010-03-05 12:38:41 EST', 'markus.kell.r'), ('VERIFIED', '2010-03-09 01:38:38 EST', 'deepakazad'), ('deepak.azad', '2010-03-09 01:38:38 EST', 'deepakazad')]</t>
  </si>
  <si>
    <t>2003-11-17 12:01:17 EST</t>
  </si>
  <si>
    <t>2003-09-19 04:55 EDT</t>
  </si>
  <si>
    <t>2003-10-06 09:41:33 EDT</t>
  </si>
  <si>
    <t>[('CREATED', '2003-09-19 04:55 EDT'), ('dirk_baeumer', '2003-10-06 09:41:33 EDT', 'martinae'), ('major', '2003-10-06 09:41:33 EDT', 'martinae'), ('3.0 M4', '2003-10-06 16:56:18 EDT', 'dirk_baeumer'), ('FIXED', '2003-11-17 12:01:17 EST', 'dirk_baeumer'), ('RESOLVED', '2003-11-17 12:01:17 EST', 'dirk_baeumer')]</t>
  </si>
  <si>
    <t>2003-09-29 17:06:10 EDT</t>
  </si>
  <si>
    <t>2003-09-19 06:15 EDT</t>
  </si>
  <si>
    <t>2003-09-19 06:30:19 EDT</t>
  </si>
  <si>
    <t>[('CREATED', '2003-09-19 06:15 EDT'), ('jdt-ui-inbox', '2003-09-19 06:30:19 EDT', 'philippe_mulet'), ('UI', '2003-09-19 06:30:19 EDT', 'philippe_mulet'), ('RESOLVED', '2003-09-29 17:06:10 EDT', 'dirk_baeumer'), ('DUPLICATE', '2003-09-29 17:06:10 EDT', 'dirk_baeumer')]</t>
  </si>
  <si>
    <t>2004-01-05 06:10:04 EST</t>
  </si>
  <si>
    <t>2003-12-08 18:03:55 EST</t>
  </si>
  <si>
    <t>2003-09-19 12:15 EDT</t>
  </si>
  <si>
    <t>2003-09-19 14:01:33 EDT</t>
  </si>
  <si>
    <t>[('CREATED', '2003-09-19 12:15 EDT'), ('jdt-ui-inbox', '2003-09-19 14:01:33 EDT', 'Olivier_Thomann'), ('UI', '2003-09-19 14:01:33 EDT', 'Olivier_Thomann'), ('convert nested to anonymous should sometimes declare class as static', '2003-09-19 14:01:33 EDT', 'Olivier_Thomann'), ('convert nested to anonymous should sometimes declare class as static [refactoring]', '2003-09-20 18:29:05 EDT', 'dirk_baeumer'), ('ASSIGNED', '2003-09-20 18:29:05 EDT', 'dirk_baeumer'), ('convert anonymous to nested should sometimes declare class as static [refactoring]', '2003-12-01 16:31:39 EST', 'nikolaymetchev'), ('1', '2003-12-04 20:19:41 EST', 'nikolaymetchev'), ('1', '2003-12-04 20:21:12 EST', 'nikolaymetchev'), ('RESOLVED', '2003-12-08 11:22:04 EST', 'dirk_baeumer'), ('FIXED', '2003-12-08 11:22:04 EST', 'dirk_baeumer'), ('3.0 M6', '2003-12-08 11:26:19 EST', 'dirk_baeumer'), ('REOPENED', '2003-12-08 18:03:55 EST', 'nikolaymetchev'), ('---', '2003-12-08 18:03:55 EST', 'nikolaymetchev'), ('3.0 M7', '2003-12-16 09:25:14 EST', 'dirk_baeumer'), ('RESOLVED', '2004-01-05 06:10:04 EST', 'markus.kell.r'), ('FIXED', '2004-01-05 06:10:04 EST', 'markus.kell.r')]</t>
  </si>
  <si>
    <t>2004-07-12 05:47:47 EDT</t>
  </si>
  <si>
    <t>2003-09-22 19:43 EDT</t>
  </si>
  <si>
    <t>2003-09-23 03:43:02 EDT</t>
  </si>
  <si>
    <t>[('CREATED', '2003-09-22 19:43 EDT'), ('enhancement', '2003-09-23 03:43:02 EDT', 'dirk_baeumer'), ('ASSIGNED', '2003-09-23 03:43:02 EDT', 'dirk_baeumer'), ('Refactoring: push down should leave abstract method in superclass [refactoring]', '2003-09-23 03:43:02 EDT', 'dirk_baeumer'), ('dcorbin', '2004-07-08 20:00:11 EDT', 'dcorbin'), ('RESOLVED', '2004-07-12 05:47:47 EDT', 'dirk_baeumer'), ('FIXED', '2004-07-12 05:47:47 EDT', 'dirk_baeumer')]</t>
  </si>
  <si>
    <t>2003-10-02 12:53:07 EDT</t>
  </si>
  <si>
    <t>2003-09-23 06:40 EDT</t>
  </si>
  <si>
    <t>2003-09-23 06:42:23 EDT</t>
  </si>
  <si>
    <t>[('CREATED', '2003-09-23 06:40 EDT'), ("Exception on 'Preview' of inline method", '2003-09-23 06:42:23 EDT', 'martinae'), ('dirk_baeumer', '2003-09-23 08:34:49 EDT', 'dirk_baeumer'), ("Exception on 'Preview' of inline method [refactoring]", '2003-09-23 08:34:49 EDT', 'dirk_baeumer'), ('3.0 M4', '2003-09-23 08:34:49 EDT', 'dirk_baeumer'), ('RESOLVED', '2003-10-02 12:53:07 EDT', 'dirk_baeumer'), ('FIXED', '2003-10-02 12:53:07 EDT', 'dirk_baeumer')]</t>
  </si>
  <si>
    <t>2003-09-23 12:51:12 EDT</t>
  </si>
  <si>
    <t>2003-09-23 10:08 EDT</t>
  </si>
  <si>
    <t>2003-09-23 10:16:19 EDT</t>
  </si>
  <si>
    <t>[('CREATED', '2003-09-23 10:08 EDT'), ('jdt-ui-inbox', '2003-09-23 10:16:19 EDT', 'Olivier_Thomann'), ('UI', '2003-09-23 10:16:19 EDT', 'Olivier_Thomann'), ('RESOLVED', '2003-09-23 12:51:12 EDT', 'dirk_baeumer'), ('DUPLICATE', '2003-09-23 12:51:12 EDT', 'dirk_baeumer')]</t>
  </si>
  <si>
    <t>2003-10-02 05:57:46 EDT</t>
  </si>
  <si>
    <t>2003-09-24 05:30 EDT</t>
  </si>
  <si>
    <t>2003-09-24 06:05:34 EDT</t>
  </si>
  <si>
    <t>[('CREATED', '2003-09-24 05:30 EDT'), ('jdt-ui-inbox', '2003-09-24 06:05:34 EDT', 'philippe_mulet'), ('UI', '2003-09-24 06:05:34 EDT', 'philippe_mulet'), ('3.0 M4', '2003-09-24 06:16:10 EDT', 'dirk_baeumer'), ('dirk_baeumer', '2003-09-24 06:16:10 EDT', 'dirk_baeumer'), ("Refactoring Extract method: Renaming of parameters doesn't work properly [refactoring]", '2003-09-24 06:16:10 EDT', 'dirk_baeumer'), ('RESOLVED', '2003-10-02 05:57:46 EDT', 'dirk_baeumer'), ('FIXED', '2003-10-02 05:57:46 EDT', 'dirk_baeumer')]</t>
  </si>
  <si>
    <t>2004-04-15 03:30:31 EDT</t>
  </si>
  <si>
    <t>2003-09-24 10:09 EDT</t>
  </si>
  <si>
    <t>2003-09-24 13:05:28 EDT</t>
  </si>
  <si>
    <t>[('CREATED', '2003-09-24 10:09 EDT'), ('ASSIGNED', '2003-09-24 13:05:28 EDT', 'dirk_baeumer'), ('Change Method Signature dialog clips long signature previews [refactoring]', '2003-09-24 13:05:28 EDT', 'dirk_baeumer'), ('RESOLVED', '2004-04-15 03:30:31 EDT', 'markus.kell.r'), ('FIXED', '2004-04-15 03:30:31 EDT', 'markus.kell.r'), ('3.0 M8', '2004-04-15 03:30:31 EDT', 'markus.kell.r')]</t>
  </si>
  <si>
    <t>49003 153410 433759 (view as bug list)</t>
  </si>
  <si>
    <t>2020-02-20 12:39:40 EST</t>
  </si>
  <si>
    <t>2003-09-24 14:06 EDT</t>
  </si>
  <si>
    <t>2003-09-25 04:16:27 EDT</t>
  </si>
  <si>
    <t>[('CREATED', '2003-09-24 14:06 EDT'), ('P4', '2003-09-25 04:16:27 EDT', 'dirk_baeumer'), ('Refactor - Move of a class does not update package view in Link With Editor mode [refactoring]', '2003-09-25 04:16:27 EDT', 'dirk_baeumer'), ('ASSIGNED', '2003-09-25 04:16:42 EDT', 'dirk_baeumer'), ('tobias_widmer', '2006-06-12 05:42:06 EDT', 'martinae'), ('NEW', '2006-06-12 05:42:06 EDT', 'martinae'), ('[reorg] restore selection after move / rename', '2006-06-12 05:42:06 EDT', 'martinae'), ('[reorg] restore selection after move / rename [refactoring]', '2006-06-12 05:43:57 EDT', 'tobias_widmer'), ('martin_aeschlimann', '2006-06-12 08:14:32 EDT', 'martinae'), ('jdt-ui-inbox', '2007-06-14 10:48:34 EDT', 'martinae'), ('benno.baumgartner', '2012-05-21 09:37:18 EDT', 'markus.kell.r'), ('markus_keller', '2012-05-21 09:38:33 EDT', 'markus.kell.r'), ('P3', '2012-05-21 09:38:33 EDT', 'markus.kell.r'), ('ASSIGNED', '2012-05-21 09:38:33 EDT', 'markus.kell.r'), ('Jesse.Weinstein', '2013-02-14 14:54:03 EST', 'Jesse.Weinstein'), ('daniel_megert', '2013-02-15 05:15:19 EST', 'daniel_megert'), ('luckyjanu2406', '2014-04-29 10:18:32 EDT', 'daniel_megert'), ('WONTFIX', '2020-02-20 12:39:40 EST', 'genie'), ('stalebug', '2020-02-20 12:39:40 EST', 'genie'), ('CLOSED', '2020-02-20 12:39:40 EST', 'genie')]</t>
  </si>
  <si>
    <t>RESOLVED  DUPLICATE  of bug 79906</t>
  </si>
  <si>
    <t>2005-02-14 04:26:10 EST</t>
  </si>
  <si>
    <t>2003-09-26 06:40 EDT</t>
  </si>
  <si>
    <t>2003-09-26 10:16:09 EDT</t>
  </si>
  <si>
    <t>[('CREATED', '2003-09-26 06:40 EDT'), ('jdt-ui-inbox', '2003-09-26 10:16:09 EDT', 'daniel_megert'), ('UI', '2003-09-26 10:16:09 EDT', 'daniel_megert'), ('ASSIGNED', '2003-09-26 12:57:16 EDT', 'dirk_baeumer'), ("convert anonymous to nested doesn't follow conventions [refactoring]", '2003-09-26 12:57:16 EDT', 'dirk_baeumer'), ('3.0', '2003-09-26 12:57:16 EDT', 'dirk_baeumer'), ('3.1', '2004-06-09 17:46:58 EDT', 'dirk_baeumer'), ('tobias_widmer', '2005-02-11 11:15:38 EST', 'dirk_baeumer'), ('NEW', '2005-02-11 11:15:38 EST', 'dirk_baeumer'), ('RESOLVED', '2005-02-14 04:26:10 EST', 'tobias_widmer'), ('DUPLICATE', '2005-02-14 04:26:10 EST', 'tobias_widmer')]</t>
  </si>
  <si>
    <t>2006-06-09 11:42:45 EDT</t>
  </si>
  <si>
    <t>2003-09-30 03:51 EDT</t>
  </si>
  <si>
    <t>2004-05-18 04:31:51 EDT</t>
  </si>
  <si>
    <t>[('CREATED', '2003-09-30 03:51 EDT'), ('normal', '2004-05-18 04:31:51 EDT', 'markus.kell.r'), ('ASSIGNED', '2004-05-18 04:31:51 EDT', 'markus.kell.r'), ('RESOLVED', '2006-06-09 11:42:45 EDT', 'markus.kell.r'), ('FIXED', '2006-06-09 11:42:45 EDT', 'markus.kell.r'), ('3.2', '2006-06-09 11:42:45 EDT', 'markus.kell.r')]</t>
  </si>
  <si>
    <t>2006-06-02 05:49:07 EDT</t>
  </si>
  <si>
    <t>2003-09-30 06:25 EDT</t>
  </si>
  <si>
    <t>2003-09-30 06:46:20 EDT</t>
  </si>
  <si>
    <t>[('CREATED', '2003-09-30 06:25 EDT'), ('martin_aeschlimann', '2003-09-30 06:46:20 EDT', 'martinae'), ('dirk_baeumer', '2003-09-30 06:46:20 EDT', 'martinae'), ('RESOLVED', '2006-06-02 05:49:07 EDT', 'martinae'), ('INVALID', '2006-06-02 05:49:07 EDT', 'martinae')]</t>
  </si>
  <si>
    <t>2003-10-01 09:04:32 EDT</t>
  </si>
  <si>
    <t>2003-10-01 08:32 EDT</t>
  </si>
  <si>
    <t>[('CREATED', '2003-10-01 08:32 EDT'), ('RESOLVED', '2003-10-01 09:04:32 EDT', 'dirk_baeumer'), ('WONTFIX', '2003-10-01 09:04:32 EDT', 'dirk_baeumer')]</t>
  </si>
  <si>
    <t>2004-09-15 13:55:31 EDT</t>
  </si>
  <si>
    <t>2003-10-01 11:15 EDT</t>
  </si>
  <si>
    <t>2003-10-01 11:39:41 EDT</t>
  </si>
  <si>
    <t>[('CREATED', '2003-10-01 11:15 EDT'), ('ASSIGNED', '2003-10-01 11:39:41 EDT', 'dirk_baeumer'), ('Method rename did not preserve equivalence on outer send [refactoring]', '2003-10-01 11:39:41 EDT', 'dirk_baeumer'), ('RESOLVED', '2004-09-15 13:55:31 EDT', 'dirk_baeumer'), ('FIXED', '2004-09-15 13:55:31 EDT', 'dirk_baeumer')]</t>
  </si>
  <si>
    <t>2003-10-02 04:09:59 EDT</t>
  </si>
  <si>
    <t>2003-10-01 13:01 EDT</t>
  </si>
  <si>
    <t>2003-10-01 21:42:00 EDT</t>
  </si>
  <si>
    <t>[('CREATED', '2003-10-01 13:01 EDT'), ('jdt-ui-inbox', '2003-10-01 21:42:00 EDT', 'Olivier_Thomann'), ('UI', '2003-10-01 21:42:00 EDT', 'Olivier_Thomann'), ('RESOLVED', '2003-10-02 04:09:59 EDT', 'dirk_baeumer'), ('FIXED', '2003-10-02 04:09:59 EDT', 'dirk_baeumer')]</t>
  </si>
  <si>
    <t>2004-05-13 04:02:42 EDT</t>
  </si>
  <si>
    <t>2003-10-02 05:33 EDT</t>
  </si>
  <si>
    <t>2003-10-02 11:19:13 EDT</t>
  </si>
  <si>
    <t>[('CREATED', '2003-10-02 05:33 EDT'), ('dirk_baeumer', '2003-10-02 11:19:13 EDT', 'dirk_baeumer'), ('Extract Method: does not recognize possible duplicates [refactoring]', '2003-10-02 11:19:13 EDT', 'dirk_baeumer'), ('3.0 M1', '2003-10-02 11:19:13 EDT', 'dirk_baeumer'), ('3.0', '2003-10-02 12:54:23 EDT', 'dirk_baeumer'), ('RESOLVED', '2004-05-13 04:02:42 EDT', 'dirk_baeumer'), ('FIXED', '2004-05-13 04:02:42 EDT', 'dirk_baeumer')]</t>
  </si>
  <si>
    <t>2003-10-06 16:54:18 EDT</t>
  </si>
  <si>
    <t>2009-08-30 02:22:53 EDT</t>
  </si>
  <si>
    <t>2013-12-04 04:38:44 EST</t>
  </si>
  <si>
    <t>2003-10-02 16:06 EDT</t>
  </si>
  <si>
    <t>2003-10-02 16:08:59 EDT</t>
  </si>
  <si>
    <t>2013-12-09 11:18:07 EST</t>
  </si>
  <si>
    <t>[('CREATED', '2003-10-02 16:06 EDT'), ('jdt-ui-inbox', '2003-10-02 16:08:59 EDT', 'Olivier_Thomann'), ('UI', '2003-10-02 16:08:59 EDT', 'Olivier_Thomann'), ('organize imports should optionally remove FQNs [refactoring]', '2003-10-06 16:54:18 EDT', 'dirk_baeumer'), ('RESOLVED', '2003-10-06 16:54:18 EDT', 'dirk_baeumer'), ('helpwanted', '2003-10-06 16:54:18 EDT', 'dirk_baeumer'), ('P4', '2003-10-06 16:54:18 EDT', 'dirk_baeumer'), ('LATER', '2003-10-06 16:54:18 EDT', 'dirk_baeumer'), ('WONTFIX', '2009-08-30 02:22:53 EDT', 'denis.roy'), ('REOPENED', '2013-12-04 04:38:44 EST', 'daniel_megert'), ('daniel_megert', '2013-12-04 04:38:44 EST', 'daniel_megert'), ('---', '2013-12-04 04:38:44 EST', 'daniel_megert'), ('ASSIGNED', '2013-12-04 04:39:02 EST', 'daniel_megert'), ('[organize imports] organize imports should optionally remove FQNs [refactoring]', '2013-12-04 04:39:02 EST', 'daniel_megert'), ('stas', '2013-12-04 08:37:58 EST', 'stas'), ('markus_keller', '2013-12-09 11:18:07 EST', 'markus.kell.r'), ('[clean up][organize imports] organize imports should optionally remove FQNs', '2013-12-09 11:18:07 EST', 'markus.kell.r')]</t>
  </si>
  <si>
    <t>2005-09-22 10:54:46 EDT</t>
  </si>
  <si>
    <t>2005-11-01 10:00:42 EST</t>
  </si>
  <si>
    <t>2003-10-02 23:32 EDT</t>
  </si>
  <si>
    <t>2003-10-03 04:43:30 EDT</t>
  </si>
  <si>
    <t>[('CREATED', '2003-10-02 23:32 EDT'), ('ASSIGNED', '2003-10-03 04:43:30 EDT', 'dirk_baeumer'), ('Moving private static field does not update visibility appropriately [refactoring]', '2003-10-03 04:43:30 EDT', 'dirk_baeumer'), ('tobias_widmer', '2005-03-16 18:08:24 EST', 'dirk_baeumer'), ('3.1', '2005-03-17 08:35:51 EST', 'tobias_widmer'), ('tobias_widmer', '2005-03-17 08:35:51 EST', 'tobias_widmer'), ('NEW', '2005-03-17 08:35:51 EST', 'tobias_widmer'), ('3.2', '2005-05-27 10:17:26 EDT', 'tobias_widmer'), ('phm', '2005-09-21 06:43:27 EDT', 'tobias_widmer'), ('RESOLVED', '2005-09-22 10:54:46 EDT', 'tobias_widmer'), ('FIXED', '2005-09-22 10:54:46 EDT', 'tobias_widmer'), ('3.2 M3', '2005-09-22 10:55:16 EDT', 'tobias_widmer'), ('philip_mayer', '2005-09-30 04:42:04 EDT', 'markus.kell.r'), ('VERIFIED', '2005-11-01 10:00:42 EST', 'dirk_baeumer')]</t>
  </si>
  <si>
    <t>76081 136880 320715 (view as bug list)</t>
  </si>
  <si>
    <t>67326 37937</t>
  </si>
  <si>
    <t>2003-10-06 06:26:28 EDT</t>
  </si>
  <si>
    <t>2010-07-28 06:51:40 EDT</t>
  </si>
  <si>
    <t>2003-10-04 14:45 EDT</t>
  </si>
  <si>
    <t>2003-10-05 05:40:18 EDT</t>
  </si>
  <si>
    <t>2010-07-28 07:12:43 EDT</t>
  </si>
  <si>
    <t>[('CREATED', '2003-10-04 14:45 EDT'), ('jdt-ui-inbox', '2003-10-05 05:40:18 EDT', 'philippe_mulet'), ('UI', '2003-10-05 05:40:18 EDT', 'philippe_mulet'), ('RESOLVED', '2003-10-06 06:26:28 EDT', 'dirk_baeumer'), ('DUPLICATE', '2003-10-06 06:26:28 EDT', 'dirk_baeumer'), ('daniel_megert', '2010-07-28 06:51:40 EDT', 'daniel_megert'), ('37937', '2010-07-28 06:51:40 EDT', 'daniel_megert'), ('WONTFIX', '2010-07-28 06:51:40 EDT', 'daniel_megert'), ('stijn.vanpoucke', '2010-07-28 06:54:21 EDT', 'daniel_megert'), ('channingwalton', '2010-07-28 06:55:27 EDT', 'daniel_megert'), ('wireframe', '2010-07-28 06:56:41 EDT', 'daniel_megert'), ('remysuen', '2010-07-28 07:09:44 EDT', 'remy.suen'), ('markus_keller', '2010-07-28 07:12:43 EDT', 'markus.kell.r'), ('67326', '2010-07-28 07:12:43 EDT', 'markus.kell.r')]</t>
  </si>
  <si>
    <t>2003-10-06 17:56:38 EDT</t>
  </si>
  <si>
    <t>2003-10-04 14:48 EDT</t>
  </si>
  <si>
    <t>[('CREATED', '2003-10-04 14:48 EDT'), ('RESOLVED', '2003-10-06 17:56:38 EDT', 'dirk_baeumer'), ('DUPLICATE', '2003-10-06 17:56:38 EDT', 'dirk_baeumer')]</t>
  </si>
  <si>
    <t>2003-10-05 11:02 EDT</t>
  </si>
  <si>
    <t>2003-10-05 13:18:24 EDT</t>
  </si>
  <si>
    <t>2011-10-06 07:38:39 EDT</t>
  </si>
  <si>
    <t>[('CREATED', '2003-10-05 11:02 EDT'), ('jdt-ui-inbox', '2003-10-05 13:18:24 EDT', 'philippe_mulet'), ('UI', '2003-10-05 13:18:24 EDT', 'philippe_mulet'), ('Add refactoring to replace call sites of a method with an existing method [refactoring]', '2003-10-06 05:16:33 EDT', 'martinae'), ('ASSIGNED', '2003-10-27 13:32:28 EST', 'dirk_baeumer'), ('NEW', '2006-06-12 05:51:18 EDT', 'martinae'), ('[replace invocations] Add refactoring to replace call sites of a method with an existing method', '2006-06-12 05:51:18 EDT', 'martinae'), ('3.3', '2006-06-12 05:51:18 EDT', 'martinae'), ('markus_keller', '2006-06-12 05:51:18 EDT', 'martinae'), ('ASSIGNED', '2007-05-09 20:02:43 EDT', 'markus.kell.r'), ('3.4', '2007-05-09 20:02:43 EDT', 'markus.kell.r'), ('martin_aeschlimann', '2008-05-02 10:30:32 EDT', 'martinae'), ('---', '2008-05-02 10:30:32 EDT', 'martinae'), ('jsa', '2011-10-06 05:14:50 EDT', 'saua'), ('jdt-ui-inbox', '2011-10-06 06:35:21 EDT', 'markus.kell.r'), ('deepak.azad', '2011-10-06 07:38:39 EDT', 'deepakazad')]</t>
  </si>
  <si>
    <t>2003-10-06 06:29:13 EDT</t>
  </si>
  <si>
    <t>2009-08-30 02:37:11 EDT</t>
  </si>
  <si>
    <t>2003-10-06 02:02 EDT</t>
  </si>
  <si>
    <t>2003-10-06 04:26:07 EDT</t>
  </si>
  <si>
    <t>[('CREATED', '2003-10-06 02:02 EDT'), ('JDT', '2003-10-06 04:26:07 EDT', 'daniel_megert'), ('jdt-ui-inbox', '2003-10-06 04:26:07 EDT', 'daniel_megert'), ('UI', '2003-10-06 04:26:07 EDT', 'daniel_megert'), ('RESOLVED', '2003-10-06 06:29:13 EDT', 'dirk_baeumer'), ('LATER', '2003-10-06 06:29:13 EDT', 'dirk_baeumer'), ('translate all, never translate all and skip all button? [refactoring]', '2003-10-06 06:29:13 EDT', 'dirk_baeumer'), ('WONTFIX', '2009-08-30 02:37:11 EDT', 'webmaster')]</t>
  </si>
  <si>
    <t>2003-10-07 09:01:59 EDT</t>
  </si>
  <si>
    <t>2003-10-07 03:03 EDT</t>
  </si>
  <si>
    <t>2003-10-07 05:10:27 EDT</t>
  </si>
  <si>
    <t>[('CREATED', '2003-10-07 03:03 EDT'), ('jerome_lanneluc', '2003-10-07 05:10:27 EDT', 'philippe_mulet'), ('jdt-ui-inbox', '2003-10-07 05:51:42 EDT', 'jerome_lanneluc'), ('UI', '2003-10-07 05:51:42 EDT', 'jerome_lanneluc'), ('martin_aeschlimann', '2003-10-07 06:54:34 EDT', 'dirk_baeumer'), ('3.0 M5', '2003-10-07 06:54:34 EDT', 'dirk_baeumer'), ('RESOLVED', '2003-10-07 09:01:59 EDT', 'martinae'), ('FIXED', '2003-10-07 09:01:59 EDT', 'martinae'), ('3.0 M4', '2003-10-07 09:01:59 EDT', 'martinae')]</t>
  </si>
  <si>
    <t>2004-05-14 15:52:18 EDT</t>
  </si>
  <si>
    <t>2003-10-07 05:29 EDT</t>
  </si>
  <si>
    <t>2003-10-27 13:33:24 EST</t>
  </si>
  <si>
    <t>[('CREATED', '2003-10-07 05:29 EDT'), ('markus_keller', '2003-10-27 13:33:24 EST', 'dirk_baeumer'), ("pull up doesn't detect duplicate (overriden) methods [refactoring]", '2003-10-27 13:33:24 EST', 'dirk_baeumer'), ('3.0', '2003-10-27 13:33:24 EST', 'dirk_baeumer'), ('FIXED', '2004-05-14 15:52:18 EDT', 'markus.kell.r'), ('3.0 M9', '2004-05-14 15:52:18 EDT', 'markus.kell.r'), ('RESOLVED', '2004-05-14 15:52:18 EDT', 'markus.kell.r')]</t>
  </si>
  <si>
    <t>2003-10-16 09:21:44 EDT</t>
  </si>
  <si>
    <t>2003-10-07 10:58 EDT</t>
  </si>
  <si>
    <t>2003-10-07 12:00:13 EDT</t>
  </si>
  <si>
    <t>[('CREATED', '2003-10-07 10:58 EDT'), ('markus_keller', '2003-10-07 12:00:13 EDT', 'dirk_baeumer'), ('Escape sequences remain in externalized strings [refactoring] [nls]', '2003-10-07 12:00:13 EDT', 'dirk_baeumer'), ('martin_aeschlimann', '2003-10-16 09:13:10 EDT', 'markus.kell.r'), ('3.0 M5', '2003-10-16 09:21:44 EDT', 'martinae'), ('RESOLVED', '2003-10-16 09:21:44 EDT', 'martinae'), ('FIXED', '2003-10-16 09:21:44 EDT', 'martinae')]</t>
  </si>
  <si>
    <t>2003-10-08 11:02:57 EDT</t>
  </si>
  <si>
    <t>2003-10-08 05:29 EDT</t>
  </si>
  <si>
    <t>2003-10-08 11:02:31 EDT</t>
  </si>
  <si>
    <t>[('CREATED', '2003-10-08 05:29 EDT'), ('dirk_baeumer', '2003-10-08 11:02:31 EDT', 'dirk_baeumer'), ('rename refactoring should be disabled for anonymous types [refactoring]', '2003-10-08 11:02:31 EDT', 'dirk_baeumer'), ('3.0 M4', '2003-10-08 11:02:31 EDT', 'dirk_baeumer'), ('RESOLVED', '2003-10-08 11:02:57 EDT', 'dirk_baeumer'), ('FIXED', '2003-10-08 11:02:57 EDT', 'dirk_baeumer')]</t>
  </si>
  <si>
    <t>2003-11-17 10:19:19 EST</t>
  </si>
  <si>
    <t>2003-10-08 05:36 EDT</t>
  </si>
  <si>
    <t>2003-10-08 05:37:21 EDT</t>
  </si>
  <si>
    <t>[('CREATED', '2003-10-08 05:36 EDT'), ('Disable Move member type to New file for local types.', '2003-10-08 05:37:21 EDT', 'dirk_baeumer'), ('dirk_baeumer', '2003-10-08 12:19:02 EDT', 'dirk_baeumer'), ('3.0 M4', '2003-10-08 12:19:02 EDT', 'dirk_baeumer'), ('3.0 M5', '2003-11-17 10:12:45 EST', 'dirk_baeumer'), ('RESOLVED', '2003-11-17 10:19:19 EST', 'dirk_baeumer'), ('FIXED', '2003-11-17 10:19:19 EST', 'dirk_baeumer')]</t>
  </si>
  <si>
    <t>2003-11-17 10:00:11 EST</t>
  </si>
  <si>
    <t>2003-10-08 13:07:21 EDT</t>
  </si>
  <si>
    <t>2003-10-08 05:39 EDT</t>
  </si>
  <si>
    <t>2003-10-08 12:19:15 EDT</t>
  </si>
  <si>
    <t>[('CREATED', '2003-10-08 05:39 EDT'), ('RESOLVED', '2003-10-08 12:19:15 EDT', 'dirk_baeumer'), ('FIXED', '2003-10-08 12:19:15 EDT', 'dirk_baeumer'), ('REOPENED', '2003-10-08 13:07:21 EDT', 'dirk_baeumer'), ('---', '2003-10-08 13:07:21 EDT', 'dirk_baeumer'), ('dirk_baeumer', '2003-10-08 13:07:41 EDT', 'dirk_baeumer'), ('NEW', '2003-10-08 13:07:41 EDT', 'dirk_baeumer'), ('Rename of default package silently fails [refactoring]', '2003-10-08 13:07:41 EDT', 'dirk_baeumer'), ('3.0 M5', '2003-10-08 13:07:41 EDT', 'dirk_baeumer'), ('RESOLVED', '2003-11-17 10:00:11 EST', 'dirk_baeumer'), ('FIXED', '2003-11-17 10:00:11 EST', 'dirk_baeumer')]</t>
  </si>
  <si>
    <t>2004-02-12 13:19:13 EST</t>
  </si>
  <si>
    <t>2003-10-08 06:09 EDT</t>
  </si>
  <si>
    <t>2003-10-08 13:10:44 EDT</t>
  </si>
  <si>
    <t>[('CREATED', '2003-10-08 06:09 EDT'), ('Change method signature does nothing for local types [refactoring]', '2003-10-08 13:10:44 EDT', 'dirk_baeumer'), ('markus_keller', '2003-10-08 13:14:06 EDT', 'dirk_baeumer'), ('RESOLVED', '2004-02-12 13:19:13 EST', 'markus.kell.r'), ('FIXED', '2004-02-12 13:19:13 EST', 'markus.kell.r'), ('3.0 M7', '2004-02-12 13:19:13 EST', 'markus.kell.r')]</t>
  </si>
  <si>
    <t>44424 (view as bug list)</t>
  </si>
  <si>
    <t>2003-10-08 12:36:04 EDT</t>
  </si>
  <si>
    <t>2003-10-08 06:11 EDT</t>
  </si>
  <si>
    <t>2003-10-08 09:06:04 EDT</t>
  </si>
  <si>
    <t>[('CREATED', '2003-10-08 06:11 EDT'), ('martin_aeschlimann', '2003-10-08 09:06:04 EDT', 'dirk_baeumer'), ('RESOLVED', '2003-10-08 12:36:04 EDT', 'dirk_baeumer'), ('FIXED', '2003-10-08 12:36:04 EDT', 'dirk_baeumer'), ('3.0 M4', '2003-10-08 12:36:04 EDT', 'dirk_baeumer')]</t>
  </si>
  <si>
    <t>2004-05-14 05:56:19 EDT</t>
  </si>
  <si>
    <t>2003-10-08 06:43 EDT</t>
  </si>
  <si>
    <t>2003-10-08 12:48:17 EDT</t>
  </si>
  <si>
    <t>[('CREATED', '2003-10-08 06:43 EDT'), ('markus_keller', '2003-10-08 12:48:17 EDT', 'dirk_baeumer'), ('ReorgMove deletes too much when trying to move anonymous type [reorg] [refactoring]', '2003-10-08 12:48:17 EDT', 'dirk_baeumer'), ('3.0 M5', '2003-10-08 13:11:19 EDT', 'markus.kell.r'), ('3.0 M6', '2003-11-21 09:45:11 EST', 'markus.kell.r'), ('3.0 M7', '2003-12-12 13:48:46 EST', 'markus.kell.r'), ('3.0', '2004-01-30 12:39:54 EST', 'markus.kell.r'), ('normal', '2004-05-14 05:56:19 EDT', 'markus.kell.r'), ('RESOLVED', '2004-05-14 05:56:19 EDT', 'markus.kell.r'), ('FIXED', '2004-05-14 05:56:19 EDT', 'markus.kell.r'), ('3.0 M9', '2004-05-14 05:56:19 EDT', 'markus.kell.r')]</t>
  </si>
  <si>
    <t>2003-10-20 11:15:20 EDT</t>
  </si>
  <si>
    <t>2003-10-08 08:19 EDT</t>
  </si>
  <si>
    <t>2003-10-08 08:27:08 EDT</t>
  </si>
  <si>
    <t>2003-10-20 11:25:31 EDT</t>
  </si>
  <si>
    <t>[('CREATED', '2003-10-08 08:19 EDT'), ('dirk_baeumer', '2003-10-08 08:27:08 EDT', 'dirk_baeumer'), ('P4', '2003-10-08 08:27:08 EDT', 'dirk_baeumer'), ('1', '2003-10-17 17:00:53 EDT', 'dstalnov'), ('FIXED', '2003-10-20 11:15:20 EDT', 'dirk_baeumer'), ('RESOLVED', '2003-10-20 11:15:20 EDT', 'dirk_baeumer'), ('dstalnov', '2003-10-20 11:15:55 EDT', 'dirk_baeumer'), ('3.0 M5', '2003-10-20 11:25:31 EDT', 'dirk_baeumer')]</t>
  </si>
  <si>
    <t>135115 (view as bug list)</t>
  </si>
  <si>
    <t>2006-04-07 05:16:50 EDT</t>
  </si>
  <si>
    <t>2006-05-10 04:38:04 EDT</t>
  </si>
  <si>
    <t>2003-10-08 08:33 EDT</t>
  </si>
  <si>
    <t>2003-10-08 12:48:48 EDT</t>
  </si>
  <si>
    <t>[('CREATED', '2003-10-08 08:33 EDT'), ('dirk_baeumer', '2003-10-08 12:48:48 EDT', 'dirk_baeumer'), ('P2', '2006-04-07 05:14:11 EDT', 'dirk_baeumer'), ('3.2 RC1', '2006-04-07 05:14:11 EDT', 'dirk_baeumer'), ('RESOLVED', '2006-04-07 05:16:50 EDT', 'dirk_baeumer'), ('FIXED', '2006-04-07 05:16:50 EDT', 'dirk_baeumer'), ('ribs', '2006-04-07 13:46:28 EDT', 'markus.kell.r'), ('VERIFIED', '2006-05-10 04:38:04 EDT', 'daniel_megert')]</t>
  </si>
  <si>
    <t>RESOLVED  DUPLICATE  of bug 44408</t>
  </si>
  <si>
    <t>2003-10-08 09:00 EDT</t>
  </si>
  <si>
    <t>[('CREATED', '2003-10-08 09:00 EDT'), ('RESOLVED', '2003-10-08 09:06:04 EDT', 'dirk_baeumer'), ('DUPLICATE', '2003-10-08 09:06:04 EDT', 'dirk_baeumer')]</t>
  </si>
  <si>
    <t>43067 (view as bug list)</t>
  </si>
  <si>
    <t>2003-10-24 11:26:54 EDT</t>
  </si>
  <si>
    <t>2003-10-08 09:09 EDT</t>
  </si>
  <si>
    <t>2003-10-08 12:49:41 EDT</t>
  </si>
  <si>
    <t>[('CREATED', '2003-10-08 09:09 EDT'), ('markus_keller', '2003-10-08 12:49:41 EDT', 'dirk_baeumer'), ('Move member to top level: Wrong constructor [refactoring]', '2003-10-08 12:49:41 EDT', 'dirk_baeumer'), ('3.0', '2003-10-08 12:49:41 EDT', 'dirk_baeumer'), ('3.0 M5', '2003-10-24 11:26:54 EDT', 'markus.kell.r'), ('RESOLVED', '2003-10-24 11:26:54 EDT', 'markus.kell.r'), ('FIXED', '2003-10-24 11:26:54 EDT', 'markus.kell.r'), ('tonny', '2004-02-12 04:13:21 EST', 'markus.kell.r')]</t>
  </si>
  <si>
    <t>2003-10-08 09:12 EDT</t>
  </si>
  <si>
    <t>2003-10-08 12:50:29 EDT</t>
  </si>
  <si>
    <t>2007-06-14 10:48:15 EDT</t>
  </si>
  <si>
    <t>[('CREATED', '2003-10-08 09:12 EDT'), ('markus_keller', '2003-10-08 12:50:29 EDT', 'dirk_baeumer'), ('No support for moving package visible types [reorg] [refactoring]', '2003-10-08 12:50:29 EDT', 'dirk_baeumer'), ('tobias_widmer', '2006-06-08 12:54:40 EDT', 'markus.kell.r'), ('[move member type] No support for moving package visible types', '2006-06-08 12:54:40 EDT', 'markus.kell.r'), ('ASSIGNED', '2006-06-09 05:03:16 EDT', 'tobias_widmer'), ('[reorg] No support for moving package visible types [refactoring]', '2006-06-09 05:03:16 EDT', 'tobias_widmer'), ('jdt-ui-inbox', '2007-06-14 10:48:15 EDT', 'martinae'), ('NEW', '2007-06-14 10:48:15 EDT', 'martinae')]</t>
  </si>
  <si>
    <t>2003-10-24 11:32:35 EDT</t>
  </si>
  <si>
    <t>2003-10-08 09:17 EDT</t>
  </si>
  <si>
    <t>2003-10-08 12:52:50 EDT</t>
  </si>
  <si>
    <t>[('CREATED', '2003-10-08 09:17 EDT'), ('markus_keller', '2003-10-08 12:52:50 EDT', 'dirk_baeumer'), ('RESOLVED', '2003-10-24 11:32:35 EDT', 'markus.kell.r'), ('FIXED', '2003-10-24 11:32:35 EDT', 'markus.kell.r'), ('3.0 M5', '2003-10-24 11:32:35 EDT', 'markus.kell.r')]</t>
  </si>
  <si>
    <t>2003-10-08 09:46 EDT</t>
  </si>
  <si>
    <t>2003-10-08 12:53:36 EDT</t>
  </si>
  <si>
    <t>2006-06-09 11:50:04 EDT</t>
  </si>
  <si>
    <t>[('CREATED', '2003-10-08 09:46 EDT'), ('markus_keller', '2003-10-08 12:53:36 EDT', 'dirk_baeumer'), ('Introduce Parameter leads to unused parameters [refactoring]', '2003-10-08 12:53:36 EDT', 'dirk_baeumer'), ('3.0 M5', '2003-10-08 12:53:36 EDT', 'dirk_baeumer'), ('3.0 M6', '2003-11-21 09:45:11 EST', 'markus.kell.r'), ('3.0 M7', '2003-12-12 13:53:47 EST', 'markus.kell.r'), ('3.0 M8', '2004-01-30 15:33:36 EST', 'markus.kell.r'), ('3.0 M9', '2004-03-18 16:42:26 EST', 'markus.kell.r'), ('ASSIGNED', '2004-05-18 05:42:20 EDT', 'markus.kell.r'), ('---', '2004-05-18 05:42:20 EDT', 'markus.kell.r'), ('P4', '2004-06-08 04:25:08 EDT', 'markus.kell.r'), ('[introduce parameter] leads to unused parameters', '2006-06-09 11:50:04 EDT', 'markus.kell.r')]</t>
  </si>
  <si>
    <t>2013-02-15 05:09:54 EST</t>
  </si>
  <si>
    <t>2003-10-08 09:50 EDT</t>
  </si>
  <si>
    <t>2003-10-08 12:56:27 EDT</t>
  </si>
  <si>
    <t>[('CREATED', '2003-10-08 09:50 EDT'), ('markus_keller', '2003-10-08 12:56:27 EDT', 'dirk_baeumer'), ('Move member to top level: Why showing a disabled checkbox [refactoring] [reorg]', '2003-10-08 12:56:27 EDT', 'dirk_baeumer'), ('tobias_widmer', '2006-06-08 12:55:40 EDT', 'markus.kell.r'), ('[move member type] Why showing a disabled checkbox', '2006-06-08 12:55:40 EDT', 'markus.kell.r'), ('ASSIGNED', '2006-06-09 05:06:15 EDT', 'tobias_widmer'), ('[move member type] replace checkbox by explaining label [refactoring]', '2006-06-09 05:06:15 EDT', 'tobias_widmer'), ('jdt-ui-inbox', '2007-06-14 10:44:54 EDT', 'martinae'), ('NEW', '2007-06-14 10:44:54 EDT', 'martinae'), ('Jesse.Weinstein', '2013-02-14 14:59:20 EST', 'Jesse.Weinstein'), ('daniel_megert', '2013-02-15 05:09:54 EST', 'daniel_megert'), ('WORKSFORME', '2013-02-15 05:09:54 EST', 'daniel_megert'), ('RESOLVED', '2013-02-15 05:09:54 EST', 'daniel_megert')]</t>
  </si>
  <si>
    <t>2003-11-24 04:21:55 EST</t>
  </si>
  <si>
    <t>2003-10-08 09:52 EDT</t>
  </si>
  <si>
    <t>2003-10-08 12:57:15 EDT</t>
  </si>
  <si>
    <t>[('CREATED', '2003-10-08 09:52 EDT'), ('markus_keller', '2003-10-08 12:57:15 EDT', 'dirk_baeumer'), ('Move static field: Input text field too small [reorg] [refactoring]', '2003-10-08 12:57:15 EDT', 'dirk_baeumer'), ('RESOLVED', '2003-11-24 04:21:55 EST', 'markus.kell.r'), ('FIXED', '2003-11-24 04:21:55 EST', 'markus.kell.r'), ('3.0 M6', '2003-11-24 04:21:55 EST', 'markus.kell.r')]</t>
  </si>
  <si>
    <t>2020-04-17 14:42:00 EDT</t>
  </si>
  <si>
    <t>2003-10-08 10:20 EDT</t>
  </si>
  <si>
    <t>2003-10-08 12:58:59 EDT</t>
  </si>
  <si>
    <t>[('CREATED', '2003-10-08 10:20 EDT'), ('markus_keller', '2003-10-08 12:58:59 EDT', 'dirk_baeumer'), ('Move member type: Consing if its reorg or refactoring [reorg] [refactoring]', '2003-10-08 12:58:59 EDT', 'dirk_baeumer'), ('tobias_widmer', '2006-06-08 12:58:53 EDT', 'markus.kell.r'), ('[move member type] Consing if its reorg or refactoring', '2006-06-08 12:58:53 EDT', 'markus.kell.r'), ('ASSIGNED', '2006-06-09 05:10:05 EDT', 'tobias_widmer'), ('[general] move refactoring offers limited choices for member types [refactoring]', '2006-06-09 05:10:05 EDT', 'tobias_widmer'), ('jdt-ui-inbox', '2007-06-14 10:43:14 EDT', 'martinae'), ('NEW', '2007-06-14 10:43:14 EDT', 'martinae'), ('CLOSED', '2020-04-17 14:42:00 EDT', 'genie'), ('stalebug', '2020-04-17 14:42:00 EDT', 'genie'), ('WONTFIX', '2020-04-17 14:42:00 EDT', 'genie')]</t>
  </si>
  <si>
    <t>2004-12-23 06:10:44 EST</t>
  </si>
  <si>
    <t>2003-10-09 17:01 EDT</t>
  </si>
  <si>
    <t>2003-10-09 18:40:33 EDT</t>
  </si>
  <si>
    <t>[('CREATED', '2003-10-09 17:01 EDT'), ('akiezun', '2003-10-09 18:40:33 EDT', 'akiezun'), ('Extract Method Refactoring produces dummy declarations of local variables', '2003-10-09 18:40:33 EDT', 'akiezun'), ('dirk_baeumer', '2003-10-10 03:43:33 EDT', 'dirk_baeumer'), ('Extract Method Refactoring produces dummy declarations of local variables [refactoring]', '2003-10-10 03:43:33 EDT', 'dirk_baeumer'), ('3.1 M5', '2004-12-23 06:10:44 EST', 'dirk_baeumer'), ('RESOLVED', '2004-12-23 06:10:44 EST', 'dirk_baeumer'), ('FIXED', '2004-12-23 06:10:44 EST', 'dirk_baeumer')]</t>
  </si>
  <si>
    <t>2003-10-11 14:08:23 EDT</t>
  </si>
  <si>
    <t>2003-10-11 10:02 EDT</t>
  </si>
  <si>
    <t>2003-10-11 23:07:22 EDT</t>
  </si>
  <si>
    <t>hauser</t>
  </si>
  <si>
    <t>[('CREATED', '2003-10-11 10:02 EDT'), ('RESOLVED', '2003-10-11 14:08:23 EDT', 'dirk_baeumer'), ('WORKSFORME', '2003-10-11 14:08:23 EDT', 'dirk_baeumer'), ('CLOSED', '2003-10-11 23:07:22 EDT', 'hauser')]</t>
  </si>
  <si>
    <t>2003-12-05 12:13:03 EST</t>
  </si>
  <si>
    <t>2003-10-13 06:10 EDT</t>
  </si>
  <si>
    <t>2003-10-13 08:31:28 EDT</t>
  </si>
  <si>
    <t>[('CREATED', '2003-10-13 06:10 EDT'), ('martin_aeschlimann', '2003-10-13 08:31:28 EDT', 'martinae'), ('martin_aeschlimann', '2003-10-13 08:41:19 EDT', 'martinae'), ('jdt-core-inbox', '2003-10-13 08:41:19 EDT', 'martinae'), ('Core', '2003-10-13 08:41:19 EDT', 'martinae'), ('jerome_lanneluc', '2003-10-13 17:35:01 EDT', 'jerome_lanneluc'), ('jerome_lanneluc', '2003-10-31 06:29:34 EST', 'jerome_lanneluc'), ('jdt-ui-inbox', '2003-10-31 06:29:34 EST', 'jerome_lanneluc'), ('UI', '2003-10-31 06:29:34 EST', 'jerome_lanneluc'), ('martin_aeschlimann', '2003-10-31 13:05:22 EST', 'dirk_baeumer'), ('RESOLVED', '2003-12-05 12:13:03 EST', 'martinae'), ('FIXED', '2003-12-05 12:13:03 EST', 'martinae'), ('3.0 M6', '2003-12-05 12:13:03 EST', 'martinae')]</t>
  </si>
  <si>
    <t>RESOLVED  DUPLICATE  of bug 47316</t>
  </si>
  <si>
    <t>2004-03-29 17:48:25 EST</t>
  </si>
  <si>
    <t>2008-08-22 04:57:26 EDT</t>
  </si>
  <si>
    <t>2003-10-13 08:33 EDT</t>
  </si>
  <si>
    <t>2003-10-13 08:42:19 EDT</t>
  </si>
  <si>
    <t>[('CREATED', '2003-10-13 08:33 EDT'), ('erich_gamma', '2003-10-13 08:42:19 EDT', 'martinae'), ("Can't rerun JUnit Plug-in Tests which use TestSetup [junit]", '2003-10-13 08:42:19 EDT', 'martinae'), ('RESOLVED', '2004-03-29 17:48:25 EST', 'erich_gamma'), ('FIXED', '2004-03-29 17:48:25 EST', 'erich_gamma'), ('DUPLICATE', '2008-08-22 04:57:26 EDT', 'markus.kell.r')]</t>
  </si>
  <si>
    <t>2004-06-05 15:28:41 EDT</t>
  </si>
  <si>
    <t>2004-06-11 12:27:36 EDT</t>
  </si>
  <si>
    <t>2003-10-13 09:52 EDT</t>
  </si>
  <si>
    <t>2003-10-13 17:32:26 EDT</t>
  </si>
  <si>
    <t>tmader</t>
  </si>
  <si>
    <t>[('CREATED', '2003-10-13 09:52 EDT'), ('jdt-ui-inbox', '2003-10-13 17:32:26 EDT', 'jerome_lanneluc'), ('UI', '2003-10-13 17:32:26 EDT', 'jerome_lanneluc'), ('markus_keller', '2003-10-14 09:23:45 EDT', 'martinae'), ('Extract Local Variable refactoring - inconsistent behaviour [refactoring]', '2003-10-14 09:23:45 EDT', 'martinae'), ('P4', '2003-10-17 04:28:05 EDT', 'markus.kell.r'), ('Extract Local Variable refactoring - inconsistent behavior [refactoring]', '2003-10-21 06:33:32 EDT', 'zohar.melamed'), ('Extract Local Variable also on ExpressionStatements [refactoring]', '2003-10-21 07:32:21 EDT', 'markus.kell.r'), ('martin_aeschlimann', '2003-10-21 10:37:32 EDT', 'markus.kell.r'), ('RESOLVED', '2004-06-05 15:28:41 EDT', 'markus.kell.r'), ('FIXED', '2004-06-05 15:28:41 EDT', 'markus.kell.r'), ('3.0 RC2', '2004-06-05 15:28:41 EDT', 'markus.kell.r'), ('VERIFIED', '2004-06-11 12:27:36 EDT', 'tmader')]</t>
  </si>
  <si>
    <t>2005-09-30 11:07:24 EDT</t>
  </si>
  <si>
    <t>2003-10-13 13:47 EDT</t>
  </si>
  <si>
    <t>2003-10-14 09:34:30 EDT</t>
  </si>
  <si>
    <t>[('CREATED', '2003-10-13 13:47 EDT'), ('ASSIGNED', '2003-10-14 09:34:30 EDT', 'martinae'), ('martin_aeschlimann', '2005-09-29 06:19:32 EDT', 'martinae'), ('RESOLVED', '2005-09-30 11:07:24 EDT', 'martinae'), ('WONTFIX', '2005-09-30 11:07:24 EDT', 'martinae')]</t>
  </si>
  <si>
    <t>2006-06-02 06:29:47 EDT</t>
  </si>
  <si>
    <t>2003-10-13 14:19 EDT</t>
  </si>
  <si>
    <t>2003-10-14 09:17:15 EDT</t>
  </si>
  <si>
    <t>[('CREATED', '2003-10-13 14:19 EDT'), ('dirk_baeumer', '2003-10-14 09:17:15 EDT', 'martinae'), ('Source menu is inconsistent [actions]', '2003-10-14 09:17:15 EDT', 'martinae'), ('david', '2005-07-25 05:26:26 EDT', 'david'), ('francois, pombredanne', '2006-05-18 17:43:11 EDT', 'pombredanne'), ('benno_baumgartner', '2006-06-02 05:56:21 EDT', 'martinae'), ('[build path] Source menu is inconsistent [actions]', '2006-06-02 05:56:21 EDT', 'martinae'), ('RESOLVED', '2006-06-02 06:29:47 EDT', 'benno.baumgartner'), ('WORKSFORME', '2006-06-02 06:29:47 EDT', 'benno.baumgartner')]</t>
  </si>
  <si>
    <t>2004-05-07 12:29:25 EDT</t>
  </si>
  <si>
    <t>2003-10-14 04:55 EDT</t>
  </si>
  <si>
    <t>[('CREATED', '2003-10-14 04:55 EDT'), ('RESOLVED', '2004-05-07 12:29:25 EDT', 'martinae'), ('FIXED', '2004-05-07 12:29:25 EDT', 'martinae'), ('3.0 M9', '2004-05-07 12:29:25 EDT', 'martinae')]</t>
  </si>
  <si>
    <t>2003-11-21 12:12:50 EST</t>
  </si>
  <si>
    <t>2003-10-14 05:36 EDT</t>
  </si>
  <si>
    <t>2003-10-14 09:14:58 EDT</t>
  </si>
  <si>
    <t>[('CREATED', '2003-10-14 05:36 EDT'), ('dirk_baeumer', '2003-10-14 09:14:58 EDT', 'martinae'), ('major', '2003-10-14 09:14:58 EDT', 'martinae'), ('P2', '2003-10-14 09:14:58 EDT', 'martinae'), ('3.0 M5', '2003-11-21 12:12:50 EST', 'dirk_baeumer'), ('RESOLVED', '2003-11-21 12:12:50 EST', 'dirk_baeumer'), ('FIXED', '2003-11-21 12:12:50 EST', 'dirk_baeumer')]</t>
  </si>
  <si>
    <t>68147 73659 118134 194139 (view as bug list)</t>
  </si>
  <si>
    <t>2003-10-14 05:42 EDT</t>
  </si>
  <si>
    <t>2003-10-14 09:13:38 EDT</t>
  </si>
  <si>
    <t>2011-02-17 06:51:53 EST</t>
  </si>
  <si>
    <t>[('CREATED', '2003-10-14 05:42 EDT'), ('markus_keller', '2003-10-14 09:13:38 EDT', 'martinae'), ('enhancement', '2004-05-27 03:54:10 EDT', 'markus.kell.r'), ('ASSIGNED', '2004-05-27 03:54:10 EDT', 'markus.kell.r'), ('P4', '2004-05-27 03:54:10 EDT', 'markus.kell.r'), ('akiezun', '2004-06-18 10:22:07 EDT', 'akiezun'), ('N.Metchev', '2004-06-22 05:47:15 EDT', 'markus.kell.r'), ('martin_aeschlimann', '2004-09-10 09:15:02 EDT', 'markus.kell.r'), ('P3', '2004-09-10 09:15:43 EDT', 'markus.kell.r'), ('eclipse', '2005-11-28 06:34:08 EST', 'markus.kell.r'), ('saff', '2005-11-29 14:38:57 EST', 'david'), ('[introduce parameter] does not replace all occurrences of expression [refactoring]', '2006-06-09 05:56:50 EDT', 'markus.kell.r'), ('private', '2007-06-25 04:34:40 EDT', 'martinae'), ('P2', '2007-06-25 05:00:55 EDT', 'markus.kell.r'), ('3.5', '2008-05-16 04:29:34 EDT', 'markus.kell.r'), ('P5', '2009-04-24 08:39:40 EDT', 'daniel_megert'), ('3.6', '2009-04-24 08:39:40 EDT', 'daniel_megert'), ('daniel_megert', '2009-04-24 08:39:40 EDT', 'daniel_megert'), ('P4', '2010-04-12 11:16:25 EDT', 'markus.kell.r'), ('---', '2010-04-12 11:16:25 EDT', 'markus.kell.r'), ('fix candidate', '2010-04-12 11:16:25 EDT', 'markus.kell.r'), ('deepak.azad', '2011-02-17 06:51:53 EST', 'deepakazad')]</t>
  </si>
  <si>
    <t>RESOLVED  DUPLICATE  of bug 37178</t>
  </si>
  <si>
    <t>2003-10-14 09:01 EDT</t>
  </si>
  <si>
    <t>2003-10-14 09:12:47 EDT</t>
  </si>
  <si>
    <t>[('CREATED', '2003-10-14 09:01 EDT'), ('jdt-ui-inbox', '2003-10-14 09:12:47 EDT', 'Olivier_Thomann'), ('UI', '2003-10-14 09:12:47 EDT', 'Olivier_Thomann'), ('dirk_baeumer', '2003-10-14 09:46:17 EDT', 'martinae'), ('Unnecessary star-imports in refactoing [refactoring]', '2003-10-14 09:46:17 EDT', 'martinae'), ('markus_keller', '2003-11-18 06:20:07 EST', 'dirk_baeumer'), ('3.0', '2003-11-18 06:20:07 EST', 'dirk_baeumer'), ('P2', '2004-05-12 12:14:17 EDT', 'markus.kell.r'), ('DUPLICATE', '2004-05-13 03:45:00 EDT', 'markus.kell.r'), ('3.0 M9', '2004-05-13 03:45:00 EDT', 'markus.kell.r'), ('RESOLVED', '2004-05-13 03:45:00 EDT', 'markus.kell.r')]</t>
  </si>
  <si>
    <t>118215 160847 (view as bug list)</t>
  </si>
  <si>
    <t>2003-10-14 09:08 EDT</t>
  </si>
  <si>
    <t>2003-10-14 09:09:04 EDT</t>
  </si>
  <si>
    <t>2020-06-04 11:16:35 EDT</t>
  </si>
  <si>
    <t>register.eclipse</t>
  </si>
  <si>
    <t>[('CREATED', '2003-10-14 09:08 EDT'), ('Introduce parameter: Should allow to select local variable declaration [refactoring]', '2003-10-14 09:09:04 EDT', 'martinae'), ('enhancement', '2004-06-09 03:59:16 EDT', 'markus.kell.r'), ('ASSIGNED', '2004-06-09 03:59:16 EDT', 'markus.kell.r'), ('P4', '2004-06-09 03:59:16 EDT', 'markus.kell.r'), ('P3', '2006-06-09 11:51:06 EDT', 'markus.kell.r'), ('[introduce parameter] Should allow to select local variable declaration [refactoring]', '2006-06-09 11:51:06 EDT', 'markus.kell.r'), ('thorbjoern', '2006-10-17 03:33:48 EDT', 'martinae'), ('eclipse', '2010-09-05 13:54:41 EDT', 'deepakazad'), ('deepak.azad', '2010-09-05 13:56:11 EDT', 'deepakazad'), ('lrozenblyum', '2016-06-10 06:12:28 EDT', 'lrozenblyum'), ('bugday, helpwanted', '2016-06-10 09:32:41 EDT', 'markus.kell.r'), ('markus_keller', '2016-06-10 09:32:41 EDT', 'markus.kell.r'), ('jdt-ui-inbox', '2016-06-10 09:32:41 EDT', 'markus.kell.r'), (nan, '2016-12-10 06:15:10 EST', 'eclipse'), ('register.eclipse', '2016-12-10 10:18:23 EST', 'register.eclipse'), (nan, '2020-06-04 11:16:35 EDT', 'register.eclipse')]</t>
  </si>
  <si>
    <t>2003-10-15 11:36:32 EDT</t>
  </si>
  <si>
    <t>2003-11-20 05:27:06 EST</t>
  </si>
  <si>
    <t>2003-10-14 13:05 EDT</t>
  </si>
  <si>
    <t>2003-10-15 05:30:32 EDT</t>
  </si>
  <si>
    <t>[('CREATED', '2003-10-14 13:05 EDT'), ('markus_keller', '2003-10-15 05:30:32 EDT', 'martinae'), ('P2', '2003-10-15 05:30:32 EDT', 'martinae'), ('NPE in enable test of MoveStaticMembersRefactoring [refactoring]', '2003-10-15 05:30:32 EDT', 'martinae'), ('3.0 M5', '2003-10-15 11:36:32 EDT', 'daniel_megert'), ('RESOLVED', '2003-10-15 11:36:32 EDT', 'daniel_megert'), ('FIXED', '2003-10-15 11:36:32 EDT', 'daniel_megert'), ('VERIFIED', '2003-11-20 05:27:06 EST', 'daniel_megert')]</t>
  </si>
  <si>
    <t>2003-12-05 12:58:49 EST</t>
  </si>
  <si>
    <t>2003-10-14 13:36 EDT</t>
  </si>
  <si>
    <t>2003-10-15 06:14:22 EDT</t>
  </si>
  <si>
    <t>[('CREATED', '2003-10-14 13:36 EDT'), ('akiezun', '2003-10-15 06:14:22 EDT', 'martinae'), ('Extract interface refactoring operation does not create necessary import statement [refactoring]', '2003-10-27 13:34:23 EST', 'dirk_baeumer'), ('preuss', '2003-11-05 05:31:38 EST', 'preuss'), ('dirk_baeumer', '2003-11-18 06:42:52 EST', 'dirk_baeumer'), ('3.0 M6', '2003-11-18 06:42:52 EST', 'dirk_baeumer'), ('RESOLVED', '2003-12-05 12:58:49 EST', 'dirk_baeumer'), ('FIXED', '2003-12-05 12:58:49 EST', 'dirk_baeumer')]</t>
  </si>
  <si>
    <t>2003-10-21 04:28:27 EDT</t>
  </si>
  <si>
    <t>2003-10-15 03:06 EDT</t>
  </si>
  <si>
    <t>hironori</t>
  </si>
  <si>
    <t>[('CREATED', '2003-10-15 03:06 EDT'), ('RESOLVED', '2003-10-21 04:28:27 EDT', 'hironori'), ('INVALID', '2003-10-21 04:28:27 EDT', 'hironori')]</t>
  </si>
  <si>
    <t>2003-10-16 08:07:16 EDT</t>
  </si>
  <si>
    <t>2003-10-15 14:43 EDT</t>
  </si>
  <si>
    <t>2003-10-16 07:06:24 EDT</t>
  </si>
  <si>
    <t>li-te_cheng</t>
  </si>
  <si>
    <t>[('CREATED', '2003-10-15 14:43 EDT'), ('dirk_baeumer', '2003-10-16 07:06:24 EDT', 'martinae'), ('P2', '2003-10-16 07:06:24 EDT', 'martinae'), ('RESOLVED', '2003-10-16 08:07:16 EDT', 'li-te_cheng'), ('FIXED', '2003-10-16 08:07:16 EDT', 'li-te_cheng')]</t>
  </si>
  <si>
    <t>42253</t>
  </si>
  <si>
    <t>2006-02-27 06:50:47 EST</t>
  </si>
  <si>
    <t>2006-02-15 11:05:28 EST</t>
  </si>
  <si>
    <t>2003-10-16 06:06:24 EDT</t>
  </si>
  <si>
    <t>2006-02-15 11:11:50 EST</t>
  </si>
  <si>
    <t>2003-10-15 18:37 EDT</t>
  </si>
  <si>
    <t>2003-10-16 03:52:28 EDT</t>
  </si>
  <si>
    <t>[('CREATED', '2003-10-15 18:37 EDT'), ('jdt-ui-inbox', '2003-10-16 03:52:28 EDT', 'kai-uwe_maetzel'), ('UI', '2003-10-16 03:52:28 EDT', 'kai-uwe_maetzel'), ('RESOLVED', '2003-10-16 06:06:24 EDT', 'martinae'), ('DUPLICATE', '2003-10-16 06:06:24 EDT', 'martinae'), ('VERIFIED', '2006-02-15 11:05:28 EST', 'frederic_fusier'), ('david_audel', '2006-02-15 11:11:50 EST', 'frederic_fusier'), ('REOPENED', '2006-02-15 11:11:50 EST', 'frederic_fusier'), ('---', '2006-02-15 11:11:50 EST', 'frederic_fusier'), ('42253', '2006-02-15 11:29:54 EST', 'frederic_fusier'), ('markus_keller', '2006-02-16 05:23:09 EST', 'martinae'), ('NEW', '2006-02-16 05:23:09 EST', 'martinae'), ('RESOLVED', '2006-02-27 06:50:47 EST', 'markus.kell.r'), ('FIXED', '2006-02-27 06:50:47 EST', 'markus.kell.r'), ('3.2 M6', '2006-02-27 06:50:47 EST', 'markus.kell.r')]</t>
  </si>
  <si>
    <t>2003-10-20 04:44:12 EDT</t>
  </si>
  <si>
    <t>2003-10-15 18:50 EDT</t>
  </si>
  <si>
    <t>2003-10-17 02:34:08 EDT</t>
  </si>
  <si>
    <t>[('CREATED', '2003-10-15 18:50 EDT'), ('jdt-ui-inbox', '2003-10-17 02:34:08 EDT', 'daniel_megert'), ('UI', '2003-10-17 02:34:08 EDT', 'daniel_megert'), ('dirk_baeumer', '2003-10-17 06:44:05 EDT', 'martinae'), ('RESOLVED', '2003-10-20 04:44:12 EDT', 'dirk_baeumer'), ('WORKSFORME', '2003-10-20 04:44:12 EDT', 'dirk_baeumer')]</t>
  </si>
  <si>
    <t>2004-05-27 10:53:14 EDT</t>
  </si>
  <si>
    <t>2004-05-28 04:29:14 EDT</t>
  </si>
  <si>
    <t>2003-10-16 09:02 EDT</t>
  </si>
  <si>
    <t>2003-10-16 09:39:19 EDT</t>
  </si>
  <si>
    <t>[('CREATED', '2003-10-16 09:02 EDT'), ('markus_keller', '2003-10-16 09:39:19 EDT', 'martinae'), ('[refactoring] introduce parameter should not operate on invalid selection', '2003-10-16 09:40:49 EDT', 'erich_gamma'), ('RESOLVED', '2004-05-27 10:53:14 EDT', 'markus.kell.r'), ('FIXED', '2004-05-27 10:53:14 EDT', 'markus.kell.r'), ('3.0 RC1', '2004-05-27 10:53:14 EDT', 'markus.kell.r'), ('VERIFIED', '2004-05-28 04:29:14 EDT', 'tmader')]</t>
  </si>
  <si>
    <t>2003-10-24 11:34:30 EDT</t>
  </si>
  <si>
    <t>2003-10-16 09:14 EDT</t>
  </si>
  <si>
    <t>2003-10-16 09:38:55 EDT</t>
  </si>
  <si>
    <t>[('CREATED', '2003-10-16 09:14 EDT'), ('markus_keller', '2003-10-16 09:38:55 EDT', 'martinae'), ('dirk_baeumer', '2003-10-20 09:15:01 EDT', 'markus.kell.r'), ('RESOLVED', '2003-10-24 11:34:30 EDT', 'markus.kell.r'), ('FIXED', '2003-10-24 11:34:30 EDT', 'markus.kell.r'), ('3.0 M5', '2003-10-24 11:34:30 EDT', 'markus.kell.r')]</t>
  </si>
  <si>
    <t>2003-10-28 02:40:55 EST</t>
  </si>
  <si>
    <t>2003-10-16 13:25 EDT</t>
  </si>
  <si>
    <t>2003-10-16 14:05:06 EDT</t>
  </si>
  <si>
    <t>[('CREATED', '2003-10-16 13:25 EDT'), ('jdt-ui-inbox', '2003-10-16 14:05:06 EDT', 'kai-uwe_maetzel'), ('UI', '2003-10-16 14:05:06 EDT', 'kai-uwe_maetzel'), ("Undo doesn't work for Rename [refactoring]", '2003-10-27 13:40:45 EST', 'dirk_baeumer'), ('RESOLVED', '2003-10-28 02:40:55 EST', 'dirk_baeumer'), ('WORKSFORME', '2003-10-28 02:40:55 EST', 'dirk_baeumer')]</t>
  </si>
  <si>
    <t>2004-12-30 18:49:52 EST</t>
  </si>
  <si>
    <t>2003-10-17 06:06 EDT</t>
  </si>
  <si>
    <t>2003-10-17 06:31:19 EDT</t>
  </si>
  <si>
    <t>[('CREATED', '2003-10-17 06:06 EDT'), ('dirk_baeumer', '2003-10-17 06:31:19 EDT', 'martinae'), ('RESOLVED', '2004-12-30 18:49:52 EST', 'dirk_baeumer'), ('FIXED', '2004-12-30 18:49:52 EST', 'dirk_baeumer'), ('3.1 M5', '2004-12-30 18:49:52 EST', 'dirk_baeumer')]</t>
  </si>
  <si>
    <t>2003-11-27 08:50:28 EST</t>
  </si>
  <si>
    <t>2003-10-18 12:35 EDT</t>
  </si>
  <si>
    <t>2003-11-08 19:31:57 EST</t>
  </si>
  <si>
    <t>[('CREATED', '2003-10-18 12:35 EDT'), ('bkotch', '2003-11-08 19:31:57 EST', 'bkotch'), ('prhodes', '2003-11-22 16:20:40 EST', 'mindcrime'), ('mindcrime', '2003-11-22 16:21:28 EST', 'mindcrime'), ('jdt-ui-inbox', '2003-11-27 05:19:34 EST', 'philippe_mulet'), ('UI', '2003-11-27 05:19:34 EST', 'philippe_mulet'), ('RESOLVED', '2003-11-27 08:50:28 EST', 'dirk_baeumer'), ('DUPLICATE', '2003-11-27 08:50:28 EST', 'dirk_baeumer')]</t>
  </si>
  <si>
    <t>2003-11-18 06:57:19 EST</t>
  </si>
  <si>
    <t>2003-10-19 14:14 EDT</t>
  </si>
  <si>
    <t>2003-10-20 03:59:09 EDT</t>
  </si>
  <si>
    <t>[('CREATED', '2003-10-19 14:14 EDT'), ('jdt-ui-inbox', '2003-10-20 03:59:09 EDT', 'daniel_megert'), ('UI', '2003-10-20 03:59:09 EDT', 'daniel_megert'), ('RESOLVED', '2003-11-18 06:57:19 EST', 'dirk_baeumer'), ('DUPLICATE', '2003-11-18 06:57:19 EST', 'dirk_baeumer')]</t>
  </si>
  <si>
    <t>2003-12-16 16:44:34 EST</t>
  </si>
  <si>
    <t>2003-10-19 14:41 EDT</t>
  </si>
  <si>
    <t>2003-10-19 15:14:47 EDT</t>
  </si>
  <si>
    <t>[('CREATED', '2003-10-19 14:41 EDT'), ('jdt-ui-inbox', '2003-10-19 15:14:47 EDT', 'philippe_mulet'), ('UI', '2003-10-19 15:14:47 EDT', 'philippe_mulet'), ('Memory consumption of rename/move refactoring [refactoring]', '2003-11-18 06:59:06 EST', 'dirk_baeumer'), ('RESOLVED', '2003-12-16 16:44:34 EST', 'dirk_baeumer'), ('WORKSFORME', '2003-12-16 16:44:34 EST', 'dirk_baeumer')]</t>
  </si>
  <si>
    <t>2003-12-08 03:09:37 EST</t>
  </si>
  <si>
    <t>2003-10-19 16:33 EDT</t>
  </si>
  <si>
    <t>2003-10-19 16:36:38 EDT</t>
  </si>
  <si>
    <t>[('CREATED', '2003-10-19 16:33 EDT'), ('eclipse erroe log', '2003-10-19 16:36:38 EDT', 'slash'), ('markus_keller', '2003-11-18 06:59:59 EST', 'dirk_baeumer'), ('Exception when closing rename dialog with read only files [refactoring]', '2003-11-18 06:59:59 EST', 'dirk_baeumer'), ('3.0 M6', '2003-11-18 06:59:59 EST', 'dirk_baeumer'), ('RESOLVED', '2003-12-08 03:09:37 EST', 'markus.kell.r'), ('FIXED', '2003-12-08 03:09:37 EST', 'markus.kell.r')]</t>
  </si>
  <si>
    <t>25809 (view as bug list)</t>
  </si>
  <si>
    <t>2003-12-09 05:13:32 EST</t>
  </si>
  <si>
    <t>2003-10-19 16:43 EDT</t>
  </si>
  <si>
    <t>2003-11-18 07:01:12 EST</t>
  </si>
  <si>
    <t>[('CREATED', '2003-10-19 16:43 EDT'), ('markus_keller', '2003-11-18 07:01:12 EST', 'dirk_baeumer'), ('Save dialog state of rename dialog [refactoring]', '2003-11-18 07:01:12 EST', 'dirk_baeumer'), ('3.0 M6', '2003-11-18 07:01:12 EST', 'dirk_baeumer'), ('RESOLVED', '2003-12-09 05:13:32 EST', 'markus.kell.r'), ('FIXED', '2003-12-09 05:13:32 EST', 'markus.kell.r'), ('ggregory', '2003-12-09 05:14:05 EST', 'markus.kell.r')]</t>
  </si>
  <si>
    <t>RESOLVED  DUPLICATE  of bug 25097</t>
  </si>
  <si>
    <t>2003-10-21 04:49:32 EDT</t>
  </si>
  <si>
    <t>2003-10-20 08:34 EDT</t>
  </si>
  <si>
    <t>[('CREATED', '2003-10-20 08:34 EDT'), ('RESOLVED', '2003-10-21 04:49:32 EDT', 'dirk_baeumer'), ('DUPLICATE', '2003-10-21 04:49:32 EDT', 'dirk_baeumer')]</t>
  </si>
  <si>
    <t>2003-11-24 03:56:10 EST</t>
  </si>
  <si>
    <t>2003-10-20 13:34 EDT</t>
  </si>
  <si>
    <t>2003-10-21 04:50:37 EDT</t>
  </si>
  <si>
    <t>[('CREATED', '2003-10-20 13:34 EDT'), ('markus_keller', '2003-10-21 04:50:37 EDT', 'dirk_baeumer'), ('Pullup incorrectly reports errors [refactoring]', '2003-10-21 04:50:37 EDT', 'dirk_baeumer'), ('3.0', '2003-10-21 04:50:47 EDT', 'dirk_baeumer'), ('FIXED', '2003-11-24 03:56:10 EST', 'markus.kell.r'), ('3.0 M6', '2003-11-24 03:56:10 EST', 'markus.kell.r'), ('RESOLVED', '2003-11-24 03:56:10 EST', 'markus.kell.r')]</t>
  </si>
  <si>
    <t>2005-03-15 05:35:25 EST</t>
  </si>
  <si>
    <t>2009-08-30 02:07:52 EDT</t>
  </si>
  <si>
    <t>2003-10-21 06:59 EDT</t>
  </si>
  <si>
    <t>2003-10-21 13:38:17 EDT</t>
  </si>
  <si>
    <t>[('CREATED', '2003-10-21 06:59 EDT'), ('dirk_baeumer', '2003-10-21 13:38:17 EDT', 'dirk_baeumer'), ('martin_aeschlimann', '2003-10-21 13:38:17 EDT', 'dirk_baeumer'), ('RESOLVED', '2005-03-15 05:35:25 EST', 'martinae'), ('REMIND', '2005-03-15 05:35:25 EST', 'martinae'), ('some_guy_coding', '2005-03-16 15:28:14 EST', 'some_guy_coding'), ('needinfo', '2009-08-30 02:07:52 EDT', 'denis.roy'), ('INVALID', '2009-08-30 02:07:52 EDT', 'denis.roy'), ('jdt-ui-inbox', '2009-08-30 02:07:52 EDT', 'denis.roy')]</t>
  </si>
  <si>
    <t>2004-01-05 09:50:33 EST</t>
  </si>
  <si>
    <t>2003-10-21 10:54 EDT</t>
  </si>
  <si>
    <t>2003-10-21 10:54:15 EDT</t>
  </si>
  <si>
    <t>[('CREATED', '2003-10-21 10:54 EDT'), ('Refactoring context submenu should be context sensetive', '2003-10-21 10:54:15 EDT', 'levik'), ('ASSIGNED', '2003-10-21 11:02:28 EDT', 'dirk_baeumer'), ('Refactoring context submenu should be context sensetive [refactoring]', '2003-10-21 11:02:28 EDT', 'dirk_baeumer'), ('FIXED', '2004-01-05 09:50:33 EST', 'dirk_baeumer'), ('RESOLVED', '2004-01-05 09:50:33 EST', 'dirk_baeumer')]</t>
  </si>
  <si>
    <t>2003-11-17 05:50:39 EST</t>
  </si>
  <si>
    <t>2003-10-21 16:44 EDT</t>
  </si>
  <si>
    <t>2003-10-21 17:04:52 EDT</t>
  </si>
  <si>
    <t>[('CREATED', '2003-10-21 16:44 EDT'), ('jdt-ui-inbox', '2003-10-21 17:04:52 EDT', 'jerome_lanneluc'), ('UI', '2003-10-21 17:04:52 EDT', 'jerome_lanneluc'), ('dirk_baeumer', '2003-10-23 05:57:52 EDT', 'dirk_baeumer'), ('Method inline fails [refactoring]', '2003-10-23 05:57:52 EDT', 'dirk_baeumer'), ('3.0 M5', '2003-10-23 05:57:52 EDT', 'dirk_baeumer'), ('RESOLVED', '2003-11-17 05:50:39 EST', 'dirk_baeumer'), ('FIXED', '2003-11-17 05:50:39 EST', 'dirk_baeumer')]</t>
  </si>
  <si>
    <t>2003-10-23 05:53:27 EDT</t>
  </si>
  <si>
    <t>2003-10-22 01:11 EDT</t>
  </si>
  <si>
    <t>[('CREATED', '2003-10-22 01:11 EDT'), ('RESOLVED', '2003-10-23 05:53:27 EDT', 'dirk_baeumer'), ('WORKSFORME', '2003-10-23 05:53:27 EDT', 'dirk_baeumer'), ('Not refactor other source folder [', '2003-10-23 05:53:27 EDT', 'dirk_baeumer')]</t>
  </si>
  <si>
    <t>RESOLVED  DUPLICATE  of bug 36943</t>
  </si>
  <si>
    <t>2003-10-24 07:58:17 EDT</t>
  </si>
  <si>
    <t>2003-10-24 07:40 EDT</t>
  </si>
  <si>
    <t>2003-10-24 07:51:52 EDT</t>
  </si>
  <si>
    <t>[('CREATED', '2003-10-24 07:40 EDT'), ('jdt-ui-inbox', '2003-10-24 07:51:52 EDT', 'philippe_mulet'), ('UI', '2003-10-24 07:51:52 EDT', 'philippe_mulet'), ('RESOLVED', '2003-10-24 07:58:17 EDT', 'dirk_baeumer'), ('DUPLICATE', '2003-10-24 07:58:17 EDT', 'dirk_baeumer')]</t>
  </si>
  <si>
    <t>2003-11-18 07:08:07 EST</t>
  </si>
  <si>
    <t>2003-10-24 14:17 EDT</t>
  </si>
  <si>
    <t>2003-10-24 15:22:59 EDT</t>
  </si>
  <si>
    <t>[('CREATED', '2003-10-24 14:17 EDT'), ('jdt-ui-inbox', '2003-10-24 15:22:59 EDT', 'philippe_mulet'), ('UI', '2003-10-24 15:22:59 EDT', 'philippe_mulet'), ('RESOLVED', '2003-11-18 07:08:07 EST', 'dirk_baeumer'), ('WORKSFORME', '2003-11-18 07:08:07 EST', 'dirk_baeumer')]</t>
  </si>
  <si>
    <t>2003-10-27 13:14:41 EST</t>
  </si>
  <si>
    <t>2003-10-27 12:19 EST</t>
  </si>
  <si>
    <t>2003-10-27 13:06:18 EST</t>
  </si>
  <si>
    <t>[('CREATED', '2003-10-27 12:19 EST'), ('dirk_baeumer', '2003-10-27 13:06:18 EST', 'dirk_baeumer'), ('Refactoring - Pull up shows java code with bad colors [refactoring]', '2003-10-27 13:06:18 EST', 'dirk_baeumer'), ('3.0', '2003-10-27 13:06:18 EST', 'dirk_baeumer'), ('RESOLVED', '2003-10-27 13:14:41 EST', 'dirk_baeumer'), ('FIXED', '2003-10-27 13:14:41 EST', 'dirk_baeumer'), ('3.0 M5', '2003-10-27 13:14:41 EST', 'dirk_baeumer')]</t>
  </si>
  <si>
    <t>2003-10-28 12:43:57 EST</t>
  </si>
  <si>
    <t>2003-10-28 10:53 EST</t>
  </si>
  <si>
    <t>[('CREATED', '2003-10-28 10:53 EST'), ('Assertion failed while deleting from Outline view [reorg] [refactoring]', '2003-10-28 12:43:57 EST', 'dirk_baeumer'), ('RESOLVED', '2003-10-28 12:43:57 EST', 'dirk_baeumer'), ('FIXED', '2003-10-28 12:43:57 EST', 'dirk_baeumer')]</t>
  </si>
  <si>
    <t>2004-05-17 03:56:02 EDT</t>
  </si>
  <si>
    <t>2003-10-29 11:55 EST</t>
  </si>
  <si>
    <t>2003-10-29 12:45:49 EST</t>
  </si>
  <si>
    <t>[('CREATED', '2003-10-29 11:55 EST'), ('markus_keller', '2003-10-29 12:45:49 EST', 'dirk_baeumer'), ('"Convert Class to Nested" creates inner class [refactoring]', '2003-10-29 12:45:49 EST', 'dirk_baeumer'), ('3.0', '2003-10-29 12:45:49 EST', 'dirk_baeumer'), ('3.0 M9', '2004-05-17 03:56:02 EDT', 'markus.kell.r'), ('RESOLVED', '2004-05-17 03:56:02 EDT', 'markus.kell.r'), ('FIXED', '2004-05-17 03:56:02 EDT', 'markus.kell.r')]</t>
  </si>
  <si>
    <t>17296 34071 72807 128782 (view as bug list)</t>
  </si>
  <si>
    <t>2007-08-02 08:53:08 EDT</t>
  </si>
  <si>
    <t>2007-08-07 08:46:51 EDT</t>
  </si>
  <si>
    <t>2003-10-30 16:40 EST</t>
  </si>
  <si>
    <t>2003-10-30 17:23:20 EST</t>
  </si>
  <si>
    <t>[('CREATED', '2003-10-30 16:40 EST'), ('bkotch', '2003-10-30 17:23:20 EST', 'bkotch'), ('dirk_baeumer', '2003-10-31 04:29:48 EST', 'dirk_baeumer'), ('Used drag/drop for views to rearrange contents of file. [render] [misc]', '2003-10-31 04:29:48 EST', 'dirk_baeumer'), ('jdt-ui-inbox', '2006-04-05 14:16:41 EDT', 'dirk_baeumer'), ('ASSIGNED', '2006-04-07 10:03:25 EDT', 'martinae'), ('[dnd] Used drag/drop for views to rearrange contents of file.', '2006-04-07 10:03:25 EDT', 'martinae'), ('Text', '2007-05-18 05:59:09 EDT', 'martinae'), ('3.4', '2007-05-18 05:59:09 EDT', 'martinae'), ('jdt-text-inbox', '2007-05-29 10:47:57 EDT', 'daniel_megert'), ('NEW', '2007-05-29 10:47:57 EDT', 'daniel_megert'), ('jdt-ui-inbox', '2007-05-29 10:48:10 EDT', 'daniel_megert'), ('UI', '2007-05-29 10:48:10 EDT', 'daniel_megert'), ('stefan-l', '2007-07-18 04:44:29 EDT', 'benno.baumgartner'), ('silvio_boehler', '2007-07-19 03:57:14 EDT', 'benno.baumgartner'), ('daniel_megert', '2007-07-19 04:00:17 EDT', 'benno.baumgartner'), ('markus_keller', '2007-07-19 05:07:47 EDT', 'markus.kell.r'), ('benno_baumgartner', '2007-07-19 05:22:22 EDT', 'benno.baumgartner'), ('martin_aeschlimann', '2007-07-19 09:07:45 EDT', 'benno.baumgartner'), ('john_arthorne', '2007-07-19 10:53:05 EDT', 'benno.baumgartner'), ('1', '2007-07-30 13:41:39 EDT', 'benno.baumgartner'), ('1', '2007-07-31 03:35:02 EDT', 'benno.baumgartner'), ('3.3 M1', '2007-08-02 05:46:35 EDT', 'benno.baumgartner'), ('3.4 M1', '2007-08-02 05:48:52 EDT', 'daniel_megert'), ('RESOLVED', '2007-08-02 08:53:08 EDT', 'benno.baumgartner'), ('FIXED', '2007-08-02 08:53:08 EDT', 'benno.baumgartner'), ('VERIFIED', '2007-08-07 08:46:51 EDT', 'daniel_megert')]</t>
  </si>
  <si>
    <t>2003-11-18 08:50:26 EST</t>
  </si>
  <si>
    <t>2003-10-31 09:59 EST</t>
  </si>
  <si>
    <t>[('CREATED', '2003-10-31 09:59 EST'), ('RESOLVED', '2003-11-18 08:50:26 EST', 'dirk_baeumer'), ('FIXED', '2003-11-18 08:50:26 EST', 'dirk_baeumer')]</t>
  </si>
  <si>
    <t>2003-11-06 10:56:35 EST</t>
  </si>
  <si>
    <t>2003-10-31 10:50 EST</t>
  </si>
  <si>
    <t>2003-11-06 09:03:17 EST</t>
  </si>
  <si>
    <t>tip</t>
  </si>
  <si>
    <t>[('CREATED', '2003-10-31 10:50 EST'), ('tip', '2003-11-06 09:03:17 EST', 'dirk_baeumer'), ('3.0 M5', '2003-11-06 09:03:17 EST', 'dirk_baeumer'), ('FIXED', '2003-11-06 10:56:35 EST', 'tip'), ('RESOLVED', '2003-11-06 10:56:35 EST', 'tip')]</t>
  </si>
  <si>
    <t>2004-03-19 12:10:39 EST</t>
  </si>
  <si>
    <t>2009-08-30 02:24:18 EDT</t>
  </si>
  <si>
    <t>2003-11-01 07:08 EST</t>
  </si>
  <si>
    <t>2003-11-02 10:59:26 EST</t>
  </si>
  <si>
    <t>[('CREATED', '2003-11-01 07:08 EST'), ('bkotch', '2003-11-02 10:59:26 EST', 'bkotch'), ('jdt-ui-inbox', '2003-11-03 06:43:35 EST', 'philippe_mulet'), ('UI', '2003-11-03 06:43:35 EST', 'philippe_mulet'), ('martin_aeschlimann', '2003-11-03 10:34:16 EST', 'dirk_baeumer'), ('quick assist: allow customization of actions [quick assist] [quick fix]', '2003-11-03 10:34:16 EST', 'dirk_baeumer'), ('RESOLVED', '2004-03-19 12:10:39 EST', 'martinae'), ('LATER', '2004-03-19 12:10:39 EST', 'martinae'), ('WONTFIX', '2009-08-30 02:24:18 EDT', 'denis.roy'), ('jdt-ui-inbox', '2009-08-30 02:24:18 EDT', 'denis.roy')]</t>
  </si>
  <si>
    <t>RESOLVED  DUPLICATE  of bug 38110</t>
  </si>
  <si>
    <t>2003-11-19 06:55:55 EST</t>
  </si>
  <si>
    <t>2003-11-02 19:12 EST</t>
  </si>
  <si>
    <t>2003-11-03 06:43:09 EST</t>
  </si>
  <si>
    <t>[('CREATED', '2003-11-02 19:12 EST'), ('jdt-ui-inbox', '2003-11-03 06:43:09 EST', 'philippe_mulet'), ('UI', '2003-11-03 06:43:09 EST', 'philippe_mulet'), ('markus_keller', '2003-11-03 10:46:48 EST', 'dirk_baeumer'), ('Move Static Member(s) Dialog does not remember the target class. [refactoring]', '2003-11-03 10:46:48 EST', 'dirk_baeumer'), ('3.0', '2003-11-03 10:46:48 EST', 'dirk_baeumer'), ('RESOLVED', '2003-11-19 06:55:55 EST', 'markus.kell.r'), ('DUPLICATE', '2003-11-19 06:55:55 EST', 'markus.kell.r')]</t>
  </si>
  <si>
    <t>2003-12-15 10:48:07 EST</t>
  </si>
  <si>
    <t>2003-11-02 19:14 EST</t>
  </si>
  <si>
    <t>2003-11-03 03:09:45 EST</t>
  </si>
  <si>
    <t>[('CREATED', '2003-11-02 19:14 EST'), ('markus_keller', '2003-11-03 03:09:45 EST', 'dirk_baeumer'), ('Change Method Signature dialog does not show "static" in Method Signature Preview. [refactoring]', '2003-11-03 03:09:45 EST', 'dirk_baeumer'), ('3.0 M6', '2003-12-15 10:48:07 EST', 'markus.kell.r'), ('RESOLVED', '2003-12-15 10:48:07 EST', 'markus.kell.r'), ('FIXED', '2003-12-15 10:48:07 EST', 'markus.kell.r')]</t>
  </si>
  <si>
    <t>2003-11-18 08:53:14 EST</t>
  </si>
  <si>
    <t>2003-11-02 19:16 EST</t>
  </si>
  <si>
    <t>[('CREATED', '2003-11-02 19:16 EST'), ('RESOLVED', '2003-11-18 08:53:14 EST', 'dirk_baeumer'), ('FIXED', '2003-11-18 08:53:14 EST', 'dirk_baeumer'), ('3.0 M5', '2003-11-18 08:53:14 EST', 'dirk_baeumer')]</t>
  </si>
  <si>
    <t>45929 (view as bug list)</t>
  </si>
  <si>
    <t>2003-11-02 19:18 EST</t>
  </si>
  <si>
    <t>2003-11-03 04:51:36 EST</t>
  </si>
  <si>
    <t>2006-06-09 04:04:11 EDT</t>
  </si>
  <si>
    <t>[('CREATED', '2003-11-02 19:18 EST'), ('jdt-ui-inbox', '2003-11-03 04:51:36 EST', 'philippe_mulet'), ('UI', '2003-11-03 04:51:36 EST', 'philippe_mulet'), ('enhancement', '2003-11-03 10:55:14 EST', 'dirk_baeumer'), ('ASSIGNED', '2003-11-03 10:55:14 EST', 'dirk_baeumer'), ('P4', '2003-11-03 10:55:14 EST', 'dirk_baeumer'), ('Change Method Signature dialog does not allow "final" to be added or removed. [refactoring]', '2003-11-03 10:55:14 EST', 'dirk_baeumer'), ('Change Method Signature dialog does not allow "final"/"static" to be added or removed. [refactoring]', '2003-11-03 10:56:44 EST', 'dirk_baeumer'), ('N.Metchev', '2006-02-23 12:41:13 EST', 'nikolaymetchev'), ('markus_keller', '2006-06-09 04:04:11 EDT', 'martinae'), ('NEW', '2006-06-09 04:04:11 EDT', 'martinae'), ('[change method signature] allow "final"/"static" to be added or removed', '2006-06-09 04:04:11 EDT', 'martinae')]</t>
  </si>
  <si>
    <t>RESOLVED  DUPLICATE  of bug 45928</t>
  </si>
  <si>
    <t>2003-11-03 10:57:02 EST</t>
  </si>
  <si>
    <t>2003-11-02 19:19 EST</t>
  </si>
  <si>
    <t>2003-11-03 06:42:42 EST</t>
  </si>
  <si>
    <t>[('CREATED', '2003-11-02 19:19 EST'), ('jdt-ui-inbox', '2003-11-03 06:42:42 EST', 'philippe_mulet'), ('UI', '2003-11-03 06:42:42 EST', 'philippe_mulet'), ('RESOLVED', '2003-11-03 10:57:02 EST', 'dirk_baeumer'), ('DUPLICATE', '2003-11-03 10:57:02 EST', 'dirk_baeumer')]</t>
  </si>
  <si>
    <t>2003-11-07 13:49:07 EST</t>
  </si>
  <si>
    <t>2003-11-03 06:52 EST</t>
  </si>
  <si>
    <t>2003-11-03 06:53:00 EST</t>
  </si>
  <si>
    <t>rfuhrer</t>
  </si>
  <si>
    <t>[('CREATED', '2003-11-03 06:52 EST'), ('Introduce Factory method: strange error message from test compiler [refactoring]', '2003-11-03 06:53:00 EST', 'dirk_baeumer'), ('rfuhrer', '2003-11-06 09:03:57 EST', 'dirk_baeumer'), ('3.0 M5', '2003-11-06 09:03:57 EST', 'dirk_baeumer'), ('RESOLVED', '2003-11-07 13:49:07 EST', 'rfuhrer'), ('FIXED', '2003-11-07 13:49:07 EST', 'rfuhrer')]</t>
  </si>
  <si>
    <t>2003-11-18 08:56:36 EST</t>
  </si>
  <si>
    <t>2003-11-03 10:49:20 EST</t>
  </si>
  <si>
    <t>2003-11-05 14:10:54 EST</t>
  </si>
  <si>
    <t>2003-11-03 10:29 EST</t>
  </si>
  <si>
    <t>[('CREATED', '2003-11-03 10:29 EST'), ('RESOLVED', '2003-11-03 10:49:20 EST', 'dirk_baeumer'), ('WORKSFORME', '2003-11-03 10:49:20 EST', 'dirk_baeumer'), ('REOPENED', '2003-11-05 14:10:54 EST', 'andy.w.freeman'), ('---', '2003-11-05 14:10:54 EST', 'andy.w.freeman'), ('RESOLVED', '2003-11-18 08:56:36 EST', 'dirk_baeumer'), ('FIXED', '2003-11-18 08:56:36 EST', 'dirk_baeumer')]</t>
  </si>
  <si>
    <t>RESOLVED  DUPLICATE  of bug 12746</t>
  </si>
  <si>
    <t>2003-11-03 10:50:02 EST</t>
  </si>
  <si>
    <t>2003-11-03 10:45 EST</t>
  </si>
  <si>
    <t>andy.w.freeman</t>
  </si>
  <si>
    <t>[('CREATED', '2003-11-03 10:45 EST'), ('RESOLVED', '2003-11-03 10:50:02 EST', 'andy.w.freeman'), ('DUPLICATE', '2003-11-03 10:50:02 EST', 'andy.w.freeman')]</t>
  </si>
  <si>
    <t>2003-11-18 08:56:55 EST</t>
  </si>
  <si>
    <t>2003-11-03 11:08 EST</t>
  </si>
  <si>
    <t>[('CREATED', '2003-11-03 11:08 EST'), ('RESOLVED', '2003-11-18 08:56:55 EST', 'dirk_baeumer'), ('FIXED', '2003-11-18 08:56:55 EST', 'dirk_baeumer')]</t>
  </si>
  <si>
    <t>2003-11-18 09:13:24 EST</t>
  </si>
  <si>
    <t>2009-08-30 02:42:18 EDT</t>
  </si>
  <si>
    <t>2003-11-05 05:36:01 EST</t>
  </si>
  <si>
    <t>2003-11-05 13:53:25 EST</t>
  </si>
  <si>
    <t>2003-11-04 17:23 EST</t>
  </si>
  <si>
    <t>[('CREATED', '2003-11-04 17:23 EST'), ('RESOLVED', '2003-11-05 05:36:01 EST', 'dirk_baeumer'), ('WORKSFORME', '2003-11-05 05:36:01 EST', 'dirk_baeumer'), ('REOPENED', '2003-11-05 13:53:25 EST', 'andy.w.freeman'), ('---', '2003-11-05 13:53:25 EST', 'andy.w.freeman'), ('RESOLVED', '2003-11-18 09:13:24 EST', 'dirk_baeumer'), ('P4', '2003-11-18 09:13:24 EST', 'dirk_baeumer'), ('LATER', '2003-11-18 09:13:24 EST', 'dirk_baeumer'), ("Refactor -&gt; Rename a class from within another file's java editor [refactoring]", '2003-11-18 09:13:24 EST', 'dirk_baeumer'), ('WONTFIX', '2009-08-30 02:42:18 EDT', 'webmaster')]</t>
  </si>
  <si>
    <t>RESOLVED  DUPLICATE  of bug 54444</t>
  </si>
  <si>
    <t>2004-04-21 11:00:38 EDT</t>
  </si>
  <si>
    <t>2003-11-06 04:53 EST</t>
  </si>
  <si>
    <t>2003-11-06 09:15:38 EST</t>
  </si>
  <si>
    <t>[('CREATED', '2003-11-06 04:53 EST'), ('martin_aeschlimann', '2003-11-06 09:15:38 EST', 'dirk_baeumer'), ('Remove rename logic when converting local variable to field [quick fix]', '2003-11-06 09:15:38 EST', 'dirk_baeumer'), ('dirk_baeumer', '2003-11-06 09:27:40 EST', 'martinae'), ('Remove rename logic when converting local variable to field [refactoring]', '2003-11-06 09:27:40 EST', 'martinae'), ('markus_keller', '2003-11-06 13:33:33 EST', 'dirk_baeumer'), ('dcorbin', '2004-04-17 19:25:34 EDT', 'dcorbin'), ('3.0 M9', '2004-04-21 11:00:38 EDT', 'markus.kell.r'), ('RESOLVED', '2004-04-21 11:00:38 EDT', 'markus.kell.r'), ('DUPLICATE', '2004-04-21 11:00:38 EDT', 'markus.kell.r')]</t>
  </si>
  <si>
    <t>2003-11-08 10:43:06 EST</t>
  </si>
  <si>
    <t>2003-11-06 05:55 EST</t>
  </si>
  <si>
    <t>2003-11-06 08:59:05 EST</t>
  </si>
  <si>
    <t>[('CREATED', '2003-11-06 05:55 EST'), ('tip', '2003-11-06 08:59:05 EST', 'dirk_baeumer'), ('3.0 M5', '2003-11-06 08:59:05 EST', 'dirk_baeumer'), ('RESOLVED', '2003-11-08 10:43:06 EST', 'tip'), ('FIXED', '2003-11-08 10:43:06 EST', 'tip')]</t>
  </si>
  <si>
    <t>2003-11-07 14:34:53 EST</t>
  </si>
  <si>
    <t>2003-11-06 06:38 EST</t>
  </si>
  <si>
    <t>2003-11-06 09:02:04 EST</t>
  </si>
  <si>
    <t>[('CREATED', '2003-11-06 06:38 EST'), ('rfuhrer', '2003-11-06 09:02:04 EST', 'dirk_baeumer'), ('3.0 M5', '2003-11-06 09:02:04 EST', 'dirk_baeumer'), ('RESOLVED', '2003-11-07 14:34:53 EST', 'rfuhrer'), ('FIXED', '2003-11-07 14:34:53 EST', 'rfuhrer')]</t>
  </si>
  <si>
    <t>2003-11-07 14:33:44 EST</t>
  </si>
  <si>
    <t>2003-11-06 08:13 EST</t>
  </si>
  <si>
    <t>2003-11-06 09:02:30 EST</t>
  </si>
  <si>
    <t>[('CREATED', '2003-11-06 08:13 EST'), ('rfuhrer', '2003-11-06 09:02:30 EST', 'dirk_baeumer'), ('3.0 M5', '2003-11-06 09:02:30 EST', 'dirk_baeumer'), ('RESOLVED', '2003-11-07 14:33:44 EST', 'rfuhrer'), ('FIXED', '2003-11-07 14:33:44 EST', 'rfuhrer')]</t>
  </si>
  <si>
    <t>2003-11-07 14:39:21 EST</t>
  </si>
  <si>
    <t>2003-11-06 08:17 EST</t>
  </si>
  <si>
    <t>2003-11-06 09:01:28 EST</t>
  </si>
  <si>
    <t>[('CREATED', '2003-11-06 08:17 EST'), ('rfuhrer', '2003-11-06 09:01:28 EST', 'dirk_baeumer'), ('3.0 M5', '2003-11-06 09:01:28 EST', 'dirk_baeumer'), ('RESOLVED', '2003-11-07 14:39:21 EST', 'rfuhrer'), ('FIXED', '2003-11-07 14:39:21 EST', 'rfuhrer')]</t>
  </si>
  <si>
    <t>260318 (view as bug list)</t>
  </si>
  <si>
    <t>2009-01-09 09:47:38 EST</t>
  </si>
  <si>
    <t>2009-01-27 07:53:44 EST</t>
  </si>
  <si>
    <t>2003-11-06 12:34 EST</t>
  </si>
  <si>
    <t>2003-11-06 12:52:42 EST</t>
  </si>
  <si>
    <t>[('CREATED', '2003-11-06 12:34 EST'), ('jdt-ui-inbox', '2003-11-06 12:52:42 EST', 'john.arthorne'), ('UI', '2003-11-06 12:52:42 EST', 'john.arthorne'), ('JDT', '2003-11-06 12:52:42 EST', 'john.arthorne'), ('markus_keller', '2003-11-06 13:07:34 EST', 'dirk_baeumer'), ('Refactor Inline produces wrong code [refactoring]', '2003-11-06 13:07:34 EST', 'dirk_baeumer'), ('ASSIGNED', '2006-06-08 13:00:18 EDT', 'markus.kell.r'), ('[inline] Inline local should add explicit cast for primitive types', '2006-06-08 13:00:18 EDT', 'markus.kell.r'), ('goffster', '2009-01-09 05:38:26 EST', 'markus.kell.r'), ('major', '2009-01-09 09:47:38 EST', 'markus.kell.r'), ('RESOLVED', '2009-01-09 09:47:38 EST', 'markus.kell.r'), ('FIXED', '2009-01-09 09:47:38 EST', 'markus.kell.r'), ('3.5 M5', '2009-01-09 09:47:38 EST', 'markus.kell.r'), ('raksha.vasisht', '2009-01-27 06:37:28 EST', 'raksha.vasisht'), ('VERIFIED', '2009-01-27 07:53:44 EST', 'markus.kell.r')]</t>
  </si>
  <si>
    <t>2003-11-13 13:45:04 EST</t>
  </si>
  <si>
    <t>2009-08-30 02:23:55 EDT</t>
  </si>
  <si>
    <t>2003-11-08 10:20 EST</t>
  </si>
  <si>
    <t>2003-11-09 21:13:25 EST</t>
  </si>
  <si>
    <t>[('CREATED', '2003-11-08 10:20 EST'), ('bkotch', '2003-11-09 21:13:25 EST', 'bkotch'), ('martin_aeschlimann', '2003-11-10 11:25:10 EST', 'dirk_baeumer'), ('quickfix for redundant parameter produces non-compiling code [quick fix]', '2003-11-10 11:25:10 EST', 'dirk_baeumer'), ('RESOLVED', '2003-11-13 13:45:04 EST', 'martinae'), ('LATER', '2003-11-13 13:45:04 EST', 'martinae'), ('WONTFIX', '2009-08-30 02:23:55 EDT', 'denis.roy'), ('jdt-ui-inbox', '2009-08-30 02:23:55 EDT', 'denis.roy')]</t>
  </si>
  <si>
    <t>CLOSED  DUPLICATE  of bug 365820</t>
  </si>
  <si>
    <t>2011-12-07 01:10:09 EST</t>
  </si>
  <si>
    <t>2003-11-08 11:43 EST</t>
  </si>
  <si>
    <t>2003-11-08 19:34:24 EST</t>
  </si>
  <si>
    <t>2011-12-07 11:39:18 EST</t>
  </si>
  <si>
    <t>reprogrammer</t>
  </si>
  <si>
    <t>[('CREATED', '2003-11-08 11:43 EST'), ('bkotch', '2003-11-08 19:34:24 EST', 'bkotch'), ('P4', '2003-11-10 11:22:25 EST', 'dirk_baeumer'), ('ASSIGNED', '2003-11-10 11:22:25 EST', 'dirk_baeumer'), ('"Extract Method" on statement sequence that contains returns [refactoring]', '2003-11-10 11:23:08 EST', 'dirk_baeumer'), ('[extract method] improve statement sequence that contains returns', '2006-06-12 05:54:26 EDT', 'martinae'), ('CLOSED', '2011-12-07 01:10:09 EST', 'deepakazad'), ('deepak.azad', '2011-12-07 01:10:09 EST', 'deepakazad'), ('DUPLICATE', '2011-12-07 01:10:09 EST', 'deepakazad'), ('reprogrammer', '2011-12-07 11:39:18 EST', 'reprogrammer')]</t>
  </si>
  <si>
    <t>2003-11-11 13:01:01 EST</t>
  </si>
  <si>
    <t>2009-08-30 02:37:09 EDT</t>
  </si>
  <si>
    <t>2003-11-10 11:18:15 EST</t>
  </si>
  <si>
    <t>2003-11-10 12:42:53 EST</t>
  </si>
  <si>
    <t>2003-11-08 13:01 EST</t>
  </si>
  <si>
    <t>2003-11-08 18:20:14 EST</t>
  </si>
  <si>
    <t>[('CREATED', '2003-11-08 13:01 EST'), ('jdt-ui-inbox', '2003-11-08 18:20:14 EST', 'akiezun'), ('UI', '2003-11-08 18:20:14 EST', 'akiezun'), ('bkotch', '2003-11-08 19:34:50 EST', 'bkotch'), ('WORKSFORME', '2003-11-10 11:18:15 EST', 'dirk_baeumer'), ('RESOLVED', '2003-11-10 11:18:15 EST', 'dirk_baeumer'), ('REOPENED', '2003-11-10 12:42:53 EST', 'ggregory'), ('---', '2003-11-10 12:42:53 EST', 'ggregory'), ('RESOLVED', '2003-11-11 13:01:01 EST', 'dirk_baeumer'), ('LATER', '2003-11-11 13:01:01 EST', 'dirk_baeumer'), ('Add refactoring to replace instance variable access with get method call. [refactoring]', '2003-11-11 13:01:01 EST', 'dirk_baeumer'), ('WONTFIX', '2009-08-30 02:37:09 EDT', 'webmaster')]</t>
  </si>
  <si>
    <t>RESOLVED  DUPLICATE  of bug 46329</t>
  </si>
  <si>
    <t>2003-11-11 05:01:50 EST</t>
  </si>
  <si>
    <t>2003-11-09 16:33 EST</t>
  </si>
  <si>
    <t>2003-11-09 16:34:23 EST</t>
  </si>
  <si>
    <t>[('CREATED', '2003-11-09 16:33 EST'), ('martin_aeschlimann', '2003-11-09 16:34:23 EST', 'dirk_baeumer'), ('3.0 M5', '2003-11-09 16:34:23 EST', 'dirk_baeumer'), ('RESOLVED', '2003-11-11 05:01:50 EST', 'martinae'), ('DUPLICATE', '2003-11-11 05:01:50 EST', 'martinae')]</t>
  </si>
  <si>
    <t>2003-11-11 14:29:43 EST</t>
  </si>
  <si>
    <t>2003-11-10 16:37 EST</t>
  </si>
  <si>
    <t>2003-11-10 16:37:53 EST</t>
  </si>
  <si>
    <t>[('CREATED', '2003-11-10 16:37 EST'), ('3.0 M5', '2003-11-10 16:37:53 EST', 'dirk_baeumer'), ('RESOLVED', '2003-11-11 14:29:43 EST', 'rfuhrer'), ('FIXED', '2003-11-11 14:29:43 EST', 'rfuhrer')]</t>
  </si>
  <si>
    <t>RESOLVED  DUPLICATE  of bug 23699</t>
  </si>
  <si>
    <t>2003-11-13 11:29:43 EST</t>
  </si>
  <si>
    <t>2003-11-12 11:56 EST</t>
  </si>
  <si>
    <t>[('CREATED', '2003-11-12 11:56 EST'), ('RESOLVED', '2003-11-13 11:29:43 EST', 'dirk_baeumer'), ('DUPLICATE', '2003-11-13 11:29:43 EST', 'dirk_baeumer')]</t>
  </si>
  <si>
    <t>2003-11-13 10:18:13 EST</t>
  </si>
  <si>
    <t>2009-08-30 02:21:23 EDT</t>
  </si>
  <si>
    <t>2003-11-13 04:23 EST</t>
  </si>
  <si>
    <t>2003-11-13 05:45:09 EST</t>
  </si>
  <si>
    <t>[('CREATED', '2003-11-13 04:23 EST'), ('jdt-ui-inbox', '2003-11-13 05:45:09 EST', 'philippe_mulet'), ('UI', '2003-11-13 05:45:09 EST', 'philippe_mulet'), ('RESOLVED', '2003-11-13 10:18:13 EST', 'dirk_baeumer'), ('P5', '2003-11-13 10:18:13 EST', 'dirk_baeumer'), ('LATER', '2003-11-13 10:18:13 EST', 'dirk_baeumer'), ('convert field to parameter [refactoring]', '2003-11-13 10:18:13 EST', 'dirk_baeumer'), ('WONTFIX', '2009-08-30 02:21:23 EDT', 'denis.roy')]</t>
  </si>
  <si>
    <t>2003-11-14 14:10:32 EST</t>
  </si>
  <si>
    <t>2003-11-13 13:41 EST</t>
  </si>
  <si>
    <t>2003-11-13 13:41:56 EST</t>
  </si>
  <si>
    <t>2003-11-17 16:22:24 EST</t>
  </si>
  <si>
    <t>bkotch</t>
  </si>
  <si>
    <t>[('CREATED', '2003-11-13 13:41 EST'), ('3.0 M5', '2003-11-13 13:41:56 EST', 'dirk_baeumer'), ('RESOLVED', '2003-11-14 14:10:32 EST', 'rfuhrer'), ('FIXED', '2003-11-14 14:10:32 EST', 'rfuhrer'), ('bkotch', '2003-11-17 16:22:24 EST', 'bkotch')]</t>
  </si>
  <si>
    <t>2006-03-03 02:50:24 EST</t>
  </si>
  <si>
    <t>2003-11-13 17:50 EST</t>
  </si>
  <si>
    <t>2003-11-13 17:50:30 EST</t>
  </si>
  <si>
    <t>h_heinecke</t>
  </si>
  <si>
    <t>[('CREATED', '2003-11-13 17:50 EST'), ('enhancement', '2003-11-13 17:50:30 EST', 'h_heinecke'), ('ASSIGNED', '2003-11-14 04:40:56 EST', 'dirk_baeumer'), ('P4', '2003-11-14 04:40:56 EST', 'dirk_baeumer'), ('Refactor, tolerant extract local variable [refactoring]', '2003-11-14 04:40:56 EST', 'dirk_baeumer'), ('RESOLVED', '2006-03-03 02:50:24 EST', 'h_heinecke'), ('WORKSFORME', '2006-03-03 02:50:24 EST', 'h_heinecke')]</t>
  </si>
  <si>
    <t>2003-11-14 14:21:21 EST</t>
  </si>
  <si>
    <t>2003-11-14 10:56 EST</t>
  </si>
  <si>
    <t>2003-11-14 10:57:05 EST</t>
  </si>
  <si>
    <t>[('CREATED', '2003-11-14 10:56 EST'), ('3.0 M5', '2003-11-14 10:57:05 EST', 'dirk_baeumer'), ('RESOLVED', '2003-11-14 14:21:21 EST', 'rfuhrer'), ('FIXED', '2003-11-14 14:21:21 EST', 'rfuhrer')]</t>
  </si>
  <si>
    <t>49844</t>
  </si>
  <si>
    <t>2004-05-05 14:05:38 EDT</t>
  </si>
  <si>
    <t>2009-08-30 02:23:14 EDT</t>
  </si>
  <si>
    <t>2003-11-14 11:17 EST</t>
  </si>
  <si>
    <t>2003-11-14 11:48:49 EST</t>
  </si>
  <si>
    <t>[('CREATED', '2003-11-14 11:17 EST'), ('jerome_lanneluc', '2003-11-14 11:48:49 EST', 'philippe_mulet'), ('eclipse', '2003-11-19 12:27:46 EST', 'tip'), ('jdt-ui-inbox', '2004-01-09 09:11:52 EST', 'jerome_lanneluc'), ('UI', '2004-01-09 09:11:52 EST', 'jerome_lanneluc'), ('jerome_lanneluc', '2004-01-09 13:08:25 EST', 'dirk_baeumer'), ('dirk_baeumer', '2004-01-12 08:18:00 EST', 'dirk_baeumer'), ('49844', '2004-01-12 08:18:00 EST', 'dirk_baeumer'), ('RESOLVED', '2004-05-05 14:05:38 EDT', 'dirk_baeumer'), ('LATER', '2004-05-05 14:05:38 EDT', 'dirk_baeumer'), ('Bindings.findType() returns null for local classes [refactoring] [general issue]', '2004-05-05 14:05:38 EDT', 'dirk_baeumer'), ('WONTFIX', '2009-08-30 02:23:14 EDT', 'denis.roy')]</t>
  </si>
  <si>
    <t>2003-11-17 04:27:32 EST</t>
  </si>
  <si>
    <t>2003-11-14 14:56 EST</t>
  </si>
  <si>
    <t>[('CREATED', '2003-11-14 14:56 EST'), ('RESOLVED', '2003-11-17 04:27:32 EST', 'dirk_baeumer'), ('WONTFIX', '2003-11-17 04:27:32 EST', 'dirk_baeumer')]</t>
  </si>
  <si>
    <t>2003-12-22 10:23:28 EST</t>
  </si>
  <si>
    <t>2004-02-11 04:32:25 EST</t>
  </si>
  <si>
    <t>2003-11-15 07:49 EST</t>
  </si>
  <si>
    <t>2003-11-15 07:49:26 EST</t>
  </si>
  <si>
    <t>[('CREATED', '2003-11-15 07:49 EST'), ('P5', '2003-11-15 07:49:26 EST', 'thomasw'), ('P2', '2003-11-15 22:05:49 EST', 'thomasw'), ('martin_aeschlimann', '2003-11-17 04:22:29 EST', 'dirk_baeumer'), ('FIXED', '2003-12-22 10:23:28 EST', 'martinae'), ('3.0 M7', '2003-12-22 10:23:28 EST', 'martinae'), ('RESOLVED', '2003-12-22 10:23:28 EST', 'martinae'), ('VERIFIED', '2004-02-11 04:32:25 EST', 'eclipse')]</t>
  </si>
  <si>
    <t>2003-11-24 12:01:58 EST</t>
  </si>
  <si>
    <t>2003-11-17 06:39 EST</t>
  </si>
  <si>
    <t>2003-11-17 06:40:05 EST</t>
  </si>
  <si>
    <t>[('CREATED', '2003-11-17 06:39 EST'), ('3.0 M5', '2003-11-17 06:40:05 EST', 'dirk_baeumer'), ('3.0 M6', '2003-11-21 09:26:43 EST', 'dirk_baeumer'), ('RESOLVED', '2003-11-24 12:01:58 EST', 'dirk_baeumer'), ('FIXED', '2003-11-24 12:01:58 EST', 'dirk_baeumer')]</t>
  </si>
  <si>
    <t>2003-11-17 17:04:03 EST</t>
  </si>
  <si>
    <t>2003-11-17 06:41 EST</t>
  </si>
  <si>
    <t>2003-11-17 06:42:10 EST</t>
  </si>
  <si>
    <t>[('CREATED', '2003-11-17 06:41 EST'), ('tip', '2003-11-17 06:42:10 EST', 'dirk_baeumer'), ('3.0 M5', '2003-11-17 06:42:10 EST', 'dirk_baeumer'), ('RESOLVED', '2003-11-17 17:04:03 EST', 'dirk_baeumer'), ('FIXED', '2003-11-17 17:04:03 EST', 'dirk_baeumer')]</t>
  </si>
  <si>
    <t>RESOLVED  DUPLICATE  of bug 33222</t>
  </si>
  <si>
    <t>2006-06-14 13:29:54 EDT</t>
  </si>
  <si>
    <t>2003-11-17 07:11 EST</t>
  </si>
  <si>
    <t>2003-11-17 13:34:56 EST</t>
  </si>
  <si>
    <t>[('CREATED', '2003-11-17 07:11 EST'), ("Type rename doesn't handle case where homonym is accessible [Refactor]", '2003-11-17 13:34:56 EST', 'dirk_baeumer'), ("Type rename doesn't handle case where homonym is accessible [refactoring] [rename]", '2003-11-18 09:55:48 EST', 'dirk_baeumer'), ('enhancement', '2003-11-18 09:55:48 EST', 'dirk_baeumer'), ('ASSIGNED', '2003-11-18 09:55:48 EST', 'dirk_baeumer'), ('markus_keller', '2006-06-12 05:57:17 EDT', 'martinae'), ('NEW', '2006-06-12 05:57:17 EDT', 'martinae'), ("[rename] Type rename doesn't handle case where homonym is accessible", '2006-06-12 05:57:17 EDT', 'martinae'), ('RESOLVED', '2006-06-14 13:29:54 EDT', 'markus.kell.r'), ('DUPLICATE', '2006-06-14 13:29:54 EDT', 'markus.kell.r')]</t>
  </si>
  <si>
    <t>2003-12-03 08:52:13 EST</t>
  </si>
  <si>
    <t>2003-11-19 05:00 EST</t>
  </si>
  <si>
    <t>2003-11-21 13:31:06 EST</t>
  </si>
  <si>
    <t>[('CREATED', '2003-11-19 05:00 EST'), ('dirk_baeumer', '2003-11-21 13:31:06 EST', 'dirk_baeumer'), ('3.0 M6', '2003-11-21 13:31:06 EST', 'dirk_baeumer'), ('RESOLVED', '2003-12-03 08:52:13 EST', 'dirk_baeumer'), ('FIXED', '2003-12-03 08:52:13 EST', 'dirk_baeumer')]</t>
  </si>
  <si>
    <t>47836 (view as bug list)</t>
  </si>
  <si>
    <t>2003-12-15 13:22:08 EST</t>
  </si>
  <si>
    <t>2003-11-19 05:15 EST</t>
  </si>
  <si>
    <t>2003-11-19 08:04:58 EST</t>
  </si>
  <si>
    <t>2004-01-29 06:06:49 EST</t>
  </si>
  <si>
    <t>[('CREATED', '2003-11-19 05:15 EST'), ('markus_keller', '2003-11-19 08:04:58 EST', 'dirk_baeumer'), ('Editable Table: Key-navigation is bad [refactoring] [misc]', '2003-11-19 08:04:58 EST', 'dirk_baeumer'), ('3.0 M6', '2003-11-19 08:05:09 EST', 'dirk_baeumer'), ('3.0 M7', '2003-12-12 13:48:43 EST', 'markus.kell.r'), ('RESOLVED', '2003-12-15 13:22:08 EST', 'markus.kell.r'), ('FIXED', '2003-12-15 13:22:08 EST', 'markus.kell.r'), ('dirk_baeumer', '2004-01-29 06:06:49 EST', 'markus.kell.r')]</t>
  </si>
  <si>
    <t>2004-01-13 15:40:32 EST</t>
  </si>
  <si>
    <t>2003-11-19 05:29 EST</t>
  </si>
  <si>
    <t>2003-11-19 08:02:09 EST</t>
  </si>
  <si>
    <t>[('CREATED', '2003-11-19 05:29 EST'), ('markus_keller', '2003-11-19 08:02:09 EST', 'dirk_baeumer'), ('refactoring: anonymous subclass of local type can be made nested [refactoring]', '2003-11-19 08:02:09 EST', 'dirk_baeumer'), ('3.0 M6', '2003-11-19 08:02:09 EST', 'dirk_baeumer'), ('3.0 M7', '2003-12-12 13:58:52 EST', 'markus.kell.r'), ('RESOLVED', '2004-01-13 15:40:32 EST', 'markus.kell.r'), ('FIXED', '2004-01-13 15:40:32 EST', 'markus.kell.r')]</t>
  </si>
  <si>
    <t>2003-12-08 13:13:49 EST</t>
  </si>
  <si>
    <t>2003-11-19 05:34 EST</t>
  </si>
  <si>
    <t>2003-11-19 08:02:42 EST</t>
  </si>
  <si>
    <t>[('CREATED', '2003-11-19 05:34 EST'), ('markus_keller', '2003-11-19 08:02:42 EST', 'dirk_baeumer'), ('Change method signature edit dialog: Memonics missing [refactoring]', '2003-11-19 08:02:42 EST', 'dirk_baeumer'), ('3.0 M6', '2003-11-19 08:02:42 EST', 'dirk_baeumer'), ('RESOLVED', '2003-12-08 13:13:49 EST', 'markus.kell.r'), ('FIXED', '2003-12-08 13:13:49 EST', 'markus.kell.r')]</t>
  </si>
  <si>
    <t>2004-05-24 09:44:19 EDT</t>
  </si>
  <si>
    <t>2004-05-28 04:26:44 EDT</t>
  </si>
  <si>
    <t>2003-11-19 05:37 EST</t>
  </si>
  <si>
    <t>2003-11-19 08:45:33 EST</t>
  </si>
  <si>
    <t>[('CREATED', '2003-11-19 05:37 EST'), ('markus_keller', '2003-11-19 08:45:33 EST', 'dirk_baeumer'), ('AssertionFailedException on IntroduceParameter on a local type [refactoring]', '2003-11-19 08:45:33 EST', 'dirk_baeumer'), ('3.0 M6', '2003-11-19 08:45:33 EST', 'dirk_baeumer'), ('3.0 M7', '2003-12-12 13:58:53 EST', 'markus.kell.r'), ('3.0 M8', '2004-01-30 15:38:40 EST', 'markus.kell.r'), ('fpahl', '2004-02-17 02:06:36 EST', 'fpahl'), ('3.0 M9', '2004-03-18 16:42:28 EST', 'markus.kell.r'), ('N.Metchev', '2004-05-18 05:03:35 EDT', 'markus.kell.r'), ('ASSIGNED', '2004-05-21 10:54:05 EDT', 'markus.kell.r'), ('3.0', '2004-05-21 10:54:05 EDT', 'markus.kell.r'), ('RESOLVED', '2004-05-24 09:44:19 EDT', 'markus.kell.r'), ('FIXED', '2004-05-24 09:44:19 EDT', 'markus.kell.r'), ('3.0 RC1', '2004-05-24 09:44:19 EDT', 'markus.kell.r'), ('VERIFIED', '2004-05-28 04:26:44 EDT', 'tmader')]</t>
  </si>
  <si>
    <t>2003-12-15 08:45:01 EST</t>
  </si>
  <si>
    <t>2003-11-19 05:42 EST</t>
  </si>
  <si>
    <t>2003-11-19 08:52:08 EST</t>
  </si>
  <si>
    <t>[('CREATED', '2003-11-19 05:42 EST'), ('tip', '2003-11-19 08:52:08 EST', 'dirk_baeumer'), ('dirk_baeumer', '2003-11-19 12:21:24 EST', 'tip'), ('3.0 M6', '2003-11-21 13:30:21 EST', 'dirk_baeumer'), ('1', '2003-12-14 21:20:13 EST', 'tip'), ('RESOLVED', '2003-12-15 08:45:01 EST', 'dirk_baeumer'), ('FIXED', '2003-12-15 08:45:01 EST', 'dirk_baeumer')]</t>
  </si>
  <si>
    <t>2004-04-15 03:57:36 EDT</t>
  </si>
  <si>
    <t>2003-11-19 05:44 EST</t>
  </si>
  <si>
    <t>2003-11-19 08:54:12 EST</t>
  </si>
  <si>
    <t>[('CREATED', '2003-11-19 05:44 EST'), ('markus_keller', '2003-11-19 08:54:12 EST', 'dirk_baeumer'), ('3.0 M6', '2003-11-19 08:54:12 EST', 'dirk_baeumer'), ('3.0 M7', '2003-12-12 13:53:46 EST', 'markus.kell.r'), ('3.0 M8', '2004-01-29 06:01:59 EST', 'markus.kell.r'), ('ASSIGNED', '2004-01-29 06:01:59 EST', 'markus.kell.r'), ('N.Metchev', '2004-03-11 06:08:49 EST', 'nikolaymetchev'), ('3.0 M9', '2004-03-18 16:45:43 EST', 'markus.kell.r'), ('RESOLVED', '2004-04-15 03:57:36 EDT', 'markus.kell.r'), ('FIXED', '2004-04-15 03:57:36 EDT', 'markus.kell.r')]</t>
  </si>
  <si>
    <t>48350</t>
  </si>
  <si>
    <t>2004-01-13 15:44:20 EST</t>
  </si>
  <si>
    <t>2003-11-19 05:53 EST</t>
  </si>
  <si>
    <t>2003-11-19 08:56:11 EST</t>
  </si>
  <si>
    <t>[('CREATED', '2003-11-19 05:53 EST'), ('markus_keller', '2003-11-19 08:56:11 EST', 'dirk_baeumer'), ("change method signature on local type's ctor fails [refactoring]", '2003-11-19 08:56:11 EST', 'dirk_baeumer'), ('3.0 M6', '2003-11-19 08:56:11 EST', 'dirk_baeumer'), ('dominics', '2003-11-21 13:24:47 EST', 'dirk_baeumer'), ('48350', '2003-12-09 13:08:35 EST', 'markus.kell.r'), ('3.0 M7', '2003-12-12 13:48:45 EST', 'markus.kell.r'), ('RESOLVED', '2004-01-13 15:44:20 EST', 'markus.kell.r'), ('FIXED', '2004-01-13 15:44:20 EST', 'markus.kell.r')]</t>
  </si>
  <si>
    <t>2004-01-12 06:36:00 EST</t>
  </si>
  <si>
    <t>2006-06-13 07:22:26 EDT</t>
  </si>
  <si>
    <t>[('CREATED', '2003-11-19 05:53 EST'), ('enhancement', '2004-01-12 06:36:00 EST', 'dirk_baeumer'), ('ASSIGNED', '2004-01-12 06:36:00 EST', 'dirk_baeumer'), ('markus_keller', '2004-04-15 04:08:43 EDT', 'markus.kell.r'), ('Change method signature: let default value refer to existing parameter [refactoring]', '2004-04-15 04:08:43 EDT', 'markus.kell.r'), ('markus_keller', '2006-06-12 17:33:12 EDT', 'martinae'), ('NEW', '2006-06-12 17:33:12 EDT', 'martinae'), ('[change method signature] let default value refer to existing parameter', '2006-06-12 17:33:12 EDT', 'martinae'), ('ASSIGNED', '2006-06-13 07:22:26 EDT', 'markus.kell.r')]</t>
  </si>
  <si>
    <t>2003-12-16 13:44:42 EST</t>
  </si>
  <si>
    <t>2003-11-19 05:55 EST</t>
  </si>
  <si>
    <t>2003-11-19 09:01:07 EST</t>
  </si>
  <si>
    <t>[('CREATED', '2003-11-19 05:55 EST'), ('Change method signature: Edit dialog: Misses description [refactoring]', '2003-11-19 09:01:07 EST', 'dirk_baeumer'), ('RESOLVED', '2003-12-16 13:44:42 EST', 'dirk_baeumer'), ('WORKSFORME', '2003-12-16 13:44:42 EST', 'dirk_baeumer')]</t>
  </si>
  <si>
    <t>2003-12-11 04:56:17 EST</t>
  </si>
  <si>
    <t>2003-11-19 05:59 EST</t>
  </si>
  <si>
    <t>2003-11-19 08:59:52 EST</t>
  </si>
  <si>
    <t>[('CREATED', '2003-11-19 05:59 EST'), ('markus_keller', '2003-11-19 08:59:52 EST', 'dirk_baeumer'), ('Change method signature: Edit dialog: Window dialog to long [refactoring]', '2003-11-19 08:59:52 EST', 'dirk_baeumer'), ('3.0 M6', '2003-11-19 08:59:52 EST', 'dirk_baeumer'), ('RESOLVED', '2003-12-11 04:56:17 EST', 'markus.kell.r'), ('FIXED', '2003-12-11 04:56:17 EST', 'markus.kell.r')]</t>
  </si>
  <si>
    <t>2004-05-14 15:26:07 EDT</t>
  </si>
  <si>
    <t>2003-11-19 06:03 EST</t>
  </si>
  <si>
    <t>2003-11-19 09:04:35 EST</t>
  </si>
  <si>
    <t>[('CREATED', '2003-11-19 06:03 EST'), ('markus_keller', '2003-11-19 09:04:35 EST', 'dirk_baeumer'), ('Change method signature: Edit dialog: Flaws in input validation [refactoring]', '2003-11-19 09:04:35 EST', 'dirk_baeumer'), ('3.0 M6', '2003-11-19 09:04:35 EST', 'dirk_baeumer'), ('3.0 M7', '2003-12-12 13:53:50 EST', 'markus.kell.r'), ('3.0 M8', '2004-01-30 15:38:38 EST', 'markus.kell.r'), ('3.0 M9', '2004-03-18 16:45:44 EST', 'markus.kell.r'), ('RESOLVED', '2004-05-14 15:26:07 EDT', 'markus.kell.r'), ('FIXED', '2004-05-14 15:26:07 EDT', 'markus.kell.r')]</t>
  </si>
  <si>
    <t>2003-12-15 10:48:12 EST</t>
  </si>
  <si>
    <t>2003-11-19 06:35 EST</t>
  </si>
  <si>
    <t>2003-11-19 09:09:39 EST</t>
  </si>
  <si>
    <t>[('CREATED', '2003-11-19 06:35 EST'), ('markus_keller', '2003-11-19 09:09:39 EST', 'dirk_baeumer'), ('Change method signature: No-op changes in preview [refactoring]', '2003-11-19 09:09:39 EST', 'dirk_baeumer'), ('3.0 M6', '2003-11-19 09:09:39 EST', 'dirk_baeumer'), ('3.0 M7', '2003-12-12 13:48:44 EST', 'markus.kell.r'), ('RESOLVED', '2003-12-15 10:48:12 EST', 'markus.kell.r'), ('FIXED', '2003-12-15 10:48:12 EST', 'markus.kell.r'), ('3.0 M6', '2003-12-15 10:48:12 EST', 'markus.kell.r')]</t>
  </si>
  <si>
    <t>2004-01-05 13:46:17 EST</t>
  </si>
  <si>
    <t>2003-11-19 07:04 EST</t>
  </si>
  <si>
    <t>2003-11-19 07:51:21 EST</t>
  </si>
  <si>
    <t>[('CREATED', '2003-11-19 07:04 EST'), ('enhancements for "Introduce Factory"', '2003-11-19 07:51:21 EST', 'andre_weinand'), ('rfuhrer', '2003-11-19 09:16:45 EST', 'dirk_baeumer'), ('enhancements for "Introduce Factory" [refactoring]', '2003-11-19 09:16:45 EST', 'dirk_baeumer'), ('3.0 M6', '2003-11-19 09:16:45 EST', 'dirk_baeumer'), ('dirk_baeumer', '2003-11-19 09:17:07 EST', 'dirk_baeumer'), ('1', '2003-12-15 15:51:44 EST', 'rfuhrer'), ('3.0 M7', '2003-12-16 11:18:03 EST', 'dirk_baeumer'), ('RESOLVED', '2004-01-05 13:46:17 EST', 'dirk_baeumer'), ('FIXED', '2004-01-05 13:46:17 EST', 'dirk_baeumer')]</t>
  </si>
  <si>
    <t>2003-12-15 08:25:35 EST</t>
  </si>
  <si>
    <t>2003-11-19 10:30 EST</t>
  </si>
  <si>
    <t>2003-11-19 11:09:38 EST</t>
  </si>
  <si>
    <t>[('CREATED', '2003-11-19 10:30 EST'), ('tip', '2003-11-19 11:09:38 EST', 'dirk_baeumer'), ('Generalize type: Put label above the tree [refactoring]', '2003-11-19 11:09:38 EST', 'dirk_baeumer'), ('3.0 M6', '2003-11-19 11:09:38 EST', 'dirk_baeumer'), ('RESOLVED', '2003-12-15 08:25:35 EST', 'dirk_baeumer'), ('FIXED', '2003-12-15 08:25:35 EST', 'dirk_baeumer')]</t>
  </si>
  <si>
    <t>2004-02-13 04:28:55 EST</t>
  </si>
  <si>
    <t>2003-11-19 11:50 EST</t>
  </si>
  <si>
    <t>2003-11-19 12:03:05 EST</t>
  </si>
  <si>
    <t>[('CREATED', '2003-11-19 11:50 EST'), ('Generalize Type: Uses a very long time/memory on a simple method [refactoring]', '2003-11-19 12:03:05 EST', 'dirk_baeumer'), ('3.0 M5', '2003-11-19 12:03:05 EST', 'dirk_baeumer'), ('dirk_baeumer', '2003-11-19 12:03:31 EST', 'dirk_baeumer'), ('tip', '2003-11-19 12:03:31 EST', 'dirk_baeumer'), ('---', '2003-11-19 12:03:31 EST', 'dirk_baeumer'), ('3.0 M6', '2003-11-24 12:06:06 EST', 'dirk_baeumer'), ('3.0 M7', '2003-12-15 08:43:35 EST', 'dirk_baeumer'), ('akiezun', '2004-01-14 16:42:33 EST', 'tip'), ('1', '2004-01-21 13:06:59 EST', 'akiezun'), ('FIXED', '2004-02-13 04:28:55 EST', 'dirk_baeumer'), ('RESOLVED', '2004-02-13 04:28:55 EST', 'dirk_baeumer')]</t>
  </si>
  <si>
    <t>2003-12-15 08:32:21 EST</t>
  </si>
  <si>
    <t>2003-11-19 11:56 EST</t>
  </si>
  <si>
    <t>2003-11-19 12:16:48 EST</t>
  </si>
  <si>
    <t>[('CREATED', '2003-11-19 11:56 EST'), ('tip', '2003-11-19 12:16:48 EST', 'dirk_baeumer'), ('Generalize Type: Long calculation on an interface with no super [refactoring]', '2003-11-19 12:16:48 EST', 'dirk_baeumer'), ('3.0 M6', '2003-11-21 13:28:16 EST', 'dirk_baeumer'), ('FIXED', '2003-12-15 08:32:21 EST', 'dirk_baeumer'), ('RESOLVED', '2003-12-15 08:32:21 EST', 'dirk_baeumer')]</t>
  </si>
  <si>
    <t>RESOLVED  DUPLICATE  of bug 47010</t>
  </si>
  <si>
    <t>2003-11-21 13:27:42 EST</t>
  </si>
  <si>
    <t>2003-11-19 12:11 EST</t>
  </si>
  <si>
    <t>2003-11-19 12:31:53 EST</t>
  </si>
  <si>
    <t>[('CREATED', '2003-11-19 12:11 EST'), ('Generalize Type: Cancel does not seem to work [refactoring]', '2003-11-19 12:31:53 EST', 'dirk_baeumer'), ('RESOLVED', '2003-11-21 13:27:42 EST', 'dirk_baeumer'), ('DUPLICATE', '2003-11-21 13:27:42 EST', 'dirk_baeumer')]</t>
  </si>
  <si>
    <t>2004-02-13 04:32:12 EST</t>
  </si>
  <si>
    <t>2003-11-19 12:18 EST</t>
  </si>
  <si>
    <t>2003-11-19 12:48:04 EST</t>
  </si>
  <si>
    <t>[('CREATED', '2003-11-19 12:18 EST'), ('tip', '2003-11-19 12:48:04 EST', 'dirk_baeumer'), ('Generalize Type: Seems to have a memory leak [refactoring]', '2003-11-19 12:48:04 EST', 'dirk_baeumer'), ('3.0 M6', '2003-11-21 13:26:34 EST', 'dirk_baeumer'), ('3.0 M7', '2003-12-15 08:54:04 EST', 'dirk_baeumer'), ('RESOLVED', '2004-02-13 04:32:12 EST', 'dirk_baeumer'), ('FIXED', '2004-02-13 04:32:12 EST', 'dirk_baeumer')]</t>
  </si>
  <si>
    <t>2003-11-19 12:20 EST</t>
  </si>
  <si>
    <t>2003-11-19 13:50:39 EST</t>
  </si>
  <si>
    <t>2019-11-06 12:38:55 EST</t>
  </si>
  <si>
    <t>[('CREATED', '2003-11-19 12:20 EST'), ('dirk_baeumer', '2003-11-19 13:50:39 EST', 'dirk_baeumer'), ('Generalize Type: Does not seem to seach workspace for references [refactoring]', '2003-11-19 13:50:55 EST', 'dirk_baeumer'), ('tip', '2003-11-19 13:59:08 EST', 'dirk_baeumer'), ('jdt-ui-inbox', '2006-06-02 05:44:26 EDT', 'martinae'), ('[generalize type] Does not seem to seach workspace for references [refactoring]', '2006-06-02 05:44:26 EDT', 'martinae'), ('stalebug', '2019-11-06 12:38:55 EST', 'genie')]</t>
  </si>
  <si>
    <t>46998 (view as bug list)</t>
  </si>
  <si>
    <t>2004-04-30 10:22:48 EDT</t>
  </si>
  <si>
    <t>2003-11-19 12:42 EST</t>
  </si>
  <si>
    <t>2003-11-19 12:42:26 EST</t>
  </si>
  <si>
    <t>[('CREATED', '2003-11-19 12:42 EST'), ('markus_keller', '2003-11-19 12:42:26 EST', 'dirk_baeumer'), ('tip', '2003-11-19 12:42:44 EST', 'dirk_baeumer'), ('rfuhrer', '2003-11-19 12:43:11 EST', 'dirk_baeumer'), ('3.0 M6', '2003-11-19 12:43:11 EST', 'dirk_baeumer'), ('martin_aeschlimann', '2003-11-21 13:27:42 EST', 'dirk_baeumer'), ('3.0 M7', '2003-12-15 08:54:43 EST', 'dirk_baeumer'), ('Make refactorings more responsive to cancel [refactoring]', '2003-12-15 08:54:59 EST', 'dirk_baeumer'), ('3.0', '2004-02-05 21:31:27 EST', 'dirk_baeumer'), ('markus_keller', '2004-04-30 10:15:37 EDT', 'markus.kell.r'), ('3.0 M9', '2004-04-30 10:15:37 EDT', 'markus.kell.r'), ('RESOLVED', '2004-04-30 10:22:48 EDT', 'markus.kell.r'), ('FIXED', '2004-04-30 10:22:48 EDT', 'markus.kell.r')]</t>
  </si>
  <si>
    <t>2003-12-05 13:01:34 EST</t>
  </si>
  <si>
    <t>2003-11-19 12:50 EST</t>
  </si>
  <si>
    <t>2003-11-19 13:13:08 EST</t>
  </si>
  <si>
    <t>[('CREATED', '2003-11-19 12:50 EST'), ('jdt-ui-inbox', '2003-11-19 13:13:08 EST', 'daniel_megert'), ('UI', '2003-11-19 13:13:08 EST', 'daniel_megert'), ('dirk_baeumer', '2003-11-19 13:16:06 EST', 'dirk_baeumer'), ('3.0 M6', '2003-11-19 13:16:06 EST', 'dirk_baeumer'), ('RESOLVED', '2003-12-05 13:01:34 EST', 'dirk_baeumer'), ('WONTFIX', '2003-12-05 13:01:34 EST', 'dirk_baeumer')]</t>
  </si>
  <si>
    <t>2004-02-13 04:33:12 EST</t>
  </si>
  <si>
    <t>2003-11-19 14:14 EST</t>
  </si>
  <si>
    <t>2003-11-19 14:15:08 EST</t>
  </si>
  <si>
    <t>[('CREATED', '2003-11-19 14:14 EST'), ('tip', '2003-11-19 14:15:08 EST', 'dirk_baeumer'), ('Uncontinous progress reporting in change type [refactoring]', '2003-11-19 14:15:08 EST', 'dirk_baeumer'), ('3.0 M6', '2003-11-24 12:09:18 EST', 'dirk_baeumer'), ('3.0 M7', '2003-12-16 09:25:52 EST', 'dirk_baeumer'), ('FIXED', '2004-02-13 04:33:12 EST', 'dirk_baeumer'), ('RESOLVED', '2004-02-13 04:33:12 EST', 'dirk_baeumer')]</t>
  </si>
  <si>
    <t>2003-12-09 11:17:10 EST</t>
  </si>
  <si>
    <t>2003-11-21 13:24:47 EST</t>
  </si>
  <si>
    <t>2003-12-09 11:11:26 EST</t>
  </si>
  <si>
    <t>2003-11-20 05:03 EST</t>
  </si>
  <si>
    <t>2003-11-20 05:18:45 EST</t>
  </si>
  <si>
    <t>[('CREATED', '2003-11-20 05:03 EST'), ('jdt-ui-inbox', '2003-11-20 05:18:45 EST', 'philippe_mulet'), ('UI', '2003-11-20 05:18:45 EST', 'philippe_mulet'), ('RESOLVED', '2003-11-21 13:24:47 EST', 'dirk_baeumer'), ('DUPLICATE', '2003-11-21 13:24:47 EST', 'dirk_baeumer'), ('REOPENED', '2003-12-09 11:11:26 EST', 'markus.kell.r'), ('---', '2003-12-09 11:11:26 EST', 'markus.kell.r'), ('RESOLVED', '2003-12-09 11:17:10 EST', 'markus.kell.r'), ('FIXED', '2003-12-09 11:17:10 EST', 'markus.kell.r'), ('3.0 M6', '2003-12-09 11:17:10 EST', 'markus.kell.r')]</t>
  </si>
  <si>
    <t>2003-11-20 15:33 EST</t>
  </si>
  <si>
    <t>2003-11-21 05:05:00 EST</t>
  </si>
  <si>
    <t>2010-09-21 09:00:48 EDT</t>
  </si>
  <si>
    <t>[('CREATED', '2003-11-20 15:33 EST'), ('eclipse', '2003-11-21 05:05:00 EST', 'dirk_baeumer'), ('Suggestion for extension of call hierarchy [call hierarchy]', '2003-11-21 05:05:00 EST', 'dirk_baeumer'), ('ASSIGNED', '2003-12-16 13:45:34 EST', 'dirk_baeumer'), ('markus_keller', '2004-02-20 13:18:31 EST', 'markus.kell.r'), ('[call hierarchy] Suggestion for extension of call hierarchy', '2006-06-12 08:19:34 EDT', 'martinae'), ('markus_keller', '2006-06-12 08:19:34 EDT', 'martinae'), ('NEW', '2006-06-12 08:19:34 EDT', 'martinae'), ('ASSIGNED', '2006-06-15 05:52:51 EDT', 'markus.kell.r'), ('pavol.zibrita', '2010-09-17 09:04:50 EDT', 'pavol.zibrita'), ('daniel_megert', '2010-09-21 09:00:48 EDT', 'daniel_megert'), ('jdt-ui-inbox', '2010-09-21 09:00:48 EDT', 'daniel_megert')]</t>
  </si>
  <si>
    <t>47205 (view as bug list)</t>
  </si>
  <si>
    <t>2003-11-24 12:03:19 EST</t>
  </si>
  <si>
    <t>2003-11-20 16:41 EST</t>
  </si>
  <si>
    <t>2003-11-21 04:45:15 EST</t>
  </si>
  <si>
    <t>[('CREATED', '2003-11-20 16:41 EST'), ('boris', '2003-11-21 04:45:15 EST', 'dirk_baeumer'), ('tip', '2003-11-21 04:47:50 EST', 'dirk_baeumer'), ('3.0 M6', '2003-11-21 04:47:50 EST', 'dirk_baeumer'), ('FIXED', '2003-11-24 12:03:19 EST', 'dirk_baeumer'), ('RESOLVED', '2003-11-24 12:03:19 EST', 'dirk_baeumer')]</t>
  </si>
  <si>
    <t>RESOLVED  DUPLICATE  of bug 47181</t>
  </si>
  <si>
    <t>2003-11-21 02:56 EST</t>
  </si>
  <si>
    <t>[('CREATED', '2003-11-21 02:56 EST'), ('RESOLVED', '2003-11-21 04:45:15 EST', 'dirk_baeumer'), ('DUPLICATE', '2003-11-21 04:45:15 EST', 'dirk_baeumer')]</t>
  </si>
  <si>
    <t>2003-12-08 13:12:38 EST</t>
  </si>
  <si>
    <t>2003-11-21 06:58 EST</t>
  </si>
  <si>
    <t>2003-11-21 08:40:49 EST</t>
  </si>
  <si>
    <t>[('CREATED', '2003-11-21 06:58 EST'), ('markus_keller', '2003-11-21 08:40:49 EST', 'dirk_baeumer'), ('3.0 M6', '2003-11-21 08:40:49 EST', 'dirk_baeumer'), ('RESOLVED', '2003-12-08 13:12:38 EST', 'markus.kell.r'), ('FIXED', '2003-12-08 13:12:38 EST', 'markus.kell.r')]</t>
  </si>
  <si>
    <t>2003-12-15 08:36:42 EST</t>
  </si>
  <si>
    <t>2003-11-21 06:59 EST</t>
  </si>
  <si>
    <t>2003-11-21 07:00:10 EST</t>
  </si>
  <si>
    <t>[('CREATED', '2003-11-21 06:59 EST'), ('tip', '2003-11-21 07:00:10 EST', 'dirk_baeumer'), ('3.0 M6', '2003-11-21 07:00:10 EST', 'dirk_baeumer'), ('RESOLVED', '2003-12-15 08:36:42 EST', 'dirk_baeumer'), ('FIXED', '2003-12-15 08:36:42 EST', 'dirk_baeumer')]</t>
  </si>
  <si>
    <t>2003-12-15 08:37:35 EST</t>
  </si>
  <si>
    <t>2003-11-21 07:13 EST</t>
  </si>
  <si>
    <t>2003-11-21 07:13:41 EST</t>
  </si>
  <si>
    <t>[('CREATED', '2003-11-21 07:13 EST'), ('tip', '2003-11-21 07:13:41 EST', 'dirk_baeumer'), ('3.0 M6', '2003-11-21 07:13:41 EST', 'dirk_baeumer'), ('RESOLVED', '2003-12-15 08:37:35 EST', 'dirk_baeumer'), ('FIXED', '2003-12-15 08:37:35 EST', 'dirk_baeumer'), ('Change Type: NPE [refactoring]', '2003-12-15 08:37:35 EST', 'dirk_baeumer')]</t>
  </si>
  <si>
    <t>2003-11-21 11:57:51 EST</t>
  </si>
  <si>
    <t>2003-11-21 11:55 EST</t>
  </si>
  <si>
    <t>[('CREATED', '2003-11-21 11:55 EST'), ('RESOLVED', '2003-11-21 11:57:51 EST', 'dirk_baeumer'), ('WONTFIX', '2003-11-21 11:57:51 EST', 'dirk_baeumer'), ("Introduce factory: don't change old signature [refactoring]", '2003-11-21 11:57:51 EST', 'dirk_baeumer')]</t>
  </si>
  <si>
    <t>2003-12-16 13:37:07 EST</t>
  </si>
  <si>
    <t>2009-08-30 02:41:21 EDT</t>
  </si>
  <si>
    <t>2003-11-21 13:27 EST</t>
  </si>
  <si>
    <t>[('CREATED', '2003-11-21 13:27 EST'), ('RESOLVED', '2003-12-16 13:37:07 EST', 'dirk_baeumer'), ('P4', '2003-12-16 13:37:07 EST', 'dirk_baeumer'), ('LATER', '2003-12-16 13:37:07 EST', 'dirk_baeumer'), ('Move method to outer class [Refactoring]', '2003-12-16 13:37:07 EST', 'dirk_baeumer'), ('WONTFIX', '2009-08-30 02:41:21 EDT', 'webmaster')]</t>
  </si>
  <si>
    <t>2004-12-13 12:43:09 EST</t>
  </si>
  <si>
    <t>2004-12-13 12:42:47 EST</t>
  </si>
  <si>
    <t>2003-11-22 13:01 EST</t>
  </si>
  <si>
    <t>2003-11-22 15:39:14 EST</t>
  </si>
  <si>
    <t>[('CREATED', '2003-11-22 13:01 EST'), ('jdt-ui-inbox', '2003-11-22 15:39:14 EST', 'philippe_mulet'), ('UI', '2003-11-22 15:39:14 EST', 'philippe_mulet'), ('3.0 M6', '2003-11-24 04:20:52 EST', 'dirk_baeumer'), ('markus_keller', '2003-11-24 04:20:52 EST', 'dirk_baeumer'), ('NPE when doing Change method signature [refactoring]', '2003-11-24 04:20:52 EST', 'dirk_baeumer'), ('3.0 M7', '2003-12-12 13:48:43 EST', 'markus.kell.r'), ('3.0 M8', '2004-01-30 15:33:35 EST', 'markus.kell.r'), ('fpahl', '2004-02-13 22:34:39 EST', 'fpahl'), ('RESOLVED', '2004-03-18 09:32:12 EST', 'markus.kell.r'), ('REMIND', '2004-03-18 09:32:12 EST', 'markus.kell.r'), ('REOPENED', '2004-12-13 12:42:47 EST', 'markus.kell.r'), ('---', '2004-12-13 12:42:47 EST', 'markus.kell.r'), ('3.1 M4', '2004-12-13 12:42:47 EST', 'markus.kell.r'), ('RESOLVED', '2004-12-13 12:43:09 EST', 'markus.kell.r'), ('DUPLICATE', '2004-12-13 12:43:09 EST', 'markus.kell.r')]</t>
  </si>
  <si>
    <t>2006-06-12 08:29:16 EDT</t>
  </si>
  <si>
    <t>2003-11-23 09:53 EST</t>
  </si>
  <si>
    <t>2003-11-24 04:21:59 EST</t>
  </si>
  <si>
    <t>[('CREATED', '2003-11-23 09:53 EST'), ('enhancement', '2003-11-24 04:21:59 EST', 'dirk_baeumer'), ('ASSIGNED', '2003-11-24 04:21:59 EST', 'dirk_baeumer'), ('P4', '2003-11-24 04:21:59 EST', 'dirk_baeumer'), ('Refactoring: "Convert Anonymous Class to nested" with static [refactoring]', '2003-11-24 04:21:59 EST', 'dirk_baeumer'), ('preuss', '2004-03-04 08:26:51 EST', 'preuss'), ('RESOLVED', '2006-06-12 08:29:16 EDT', 'martinae'), ('WORKSFORME', '2006-06-12 08:29:16 EDT', 'martinae'), ('[convert anonymous] Refactoring: "Convert Anonymous Class to nested" with static', '2006-06-12 08:29:16 EDT', 'martinae')]</t>
  </si>
  <si>
    <t>2003-12-15 08:39:58 EST</t>
  </si>
  <si>
    <t>2003-11-25 07:09 EST</t>
  </si>
  <si>
    <t>2003-11-25 12:56:58 EST</t>
  </si>
  <si>
    <t>[('CREATED', '2003-11-25 07:09 EST'), ('tip', '2003-11-25 12:56:58 EST', 'dirk_baeumer'), ('3.0 M6', '2003-11-25 12:56:58 EST', 'dirk_baeumer'), ('RESOLVED', '2003-12-15 08:39:58 EST', 'dirk_baeumer'), ('FIXED', '2003-12-15 08:39:58 EST', 'dirk_baeumer'), ('Generalize Type: Error thrown [refactoring]', '2003-12-15 08:39:58 EST', 'dirk_baeumer')]</t>
  </si>
  <si>
    <t>2003-11-25 13:06:56 EST</t>
  </si>
  <si>
    <t>2003-11-25 07:12 EST</t>
  </si>
  <si>
    <t>2003-11-25 12:53:16 EST</t>
  </si>
  <si>
    <t>[('CREATED', '2003-11-25 07:12 EST'), ('markus_keller', '2003-11-25 12:53:16 EST', 'dirk_baeumer'), ('Extract Interface: Dialog message should end with a dot [refactoring]', '2003-11-25 12:53:16 EST', 'dirk_baeumer'), ('3.0 M6', '2003-11-25 12:53:16 EST', 'dirk_baeumer'), ('RESOLVED', '2003-11-25 13:06:56 EST', 'markus.kell.r'), ('FIXED', '2003-11-25 13:06:56 EST', 'markus.kell.r')]</t>
  </si>
  <si>
    <t>2004-01-05 13:47:23 EST</t>
  </si>
  <si>
    <t>2003-11-25 07:15 EST</t>
  </si>
  <si>
    <t>2003-11-25 12:58:14 EST</t>
  </si>
  <si>
    <t>[('CREATED', '2003-11-25 07:15 EST'), ('rfuhrer', '2003-11-25 12:58:14 EST', 'dirk_baeumer'), ('3.0 M6', '2003-11-25 12:58:14 EST', 'dirk_baeumer'), ('3.0 M7', '2003-12-16 11:17:40 EST', 'dirk_baeumer'), ('RESOLVED', '2004-01-05 13:47:23 EST', 'dirk_baeumer'), ('FIXED', '2004-01-05 13:47:23 EST', 'dirk_baeumer')]</t>
  </si>
  <si>
    <t>2004-11-25 15:43:37 EST</t>
  </si>
  <si>
    <t>2003-12-17 04:15:54 EST</t>
  </si>
  <si>
    <t>2004-11-25 15:42:57 EST</t>
  </si>
  <si>
    <t>2003-11-25 08:59 EST</t>
  </si>
  <si>
    <t>2003-11-25 10:26:40 EST</t>
  </si>
  <si>
    <t>[('CREATED', '2003-11-25 08:59 EST'), ('jdt-ui-inbox', '2003-11-25 10:26:40 EST', 'dj.houghton'), ('UI', '2003-11-25 10:26:40 EST', 'dj.houghton'), ('JDT', '2003-11-25 10:26:40 EST', 'dj.houghton'), ('markus_keller', '2003-12-16 13:46:54 EST', 'dirk_baeumer'), ('Refactoring fails with "Internal error while creating a change object" (ArrayIndexOutOfBoundsException and InvocationTargetException) [refactoring]', '2003-12-16 13:46:54 EST', 'dirk_baeumer'), ('3.0 M7', '2003-12-16 13:46:54 EST', 'dirk_baeumer'), ('RESOLVED', '2003-12-17 04:15:54 EST', 'markus.kell.r'), ('WORKSFORME', '2003-12-17 04:15:54 EST', 'markus.kell.r'), ('REOPENED', '2004-11-25 15:42:57 EST', 'markus.kell.r'), ('---', '2004-11-25 15:42:57 EST', 'markus.kell.r'), ('RESOLVED', '2004-11-25 15:43:37 EST', 'markus.kell.r'), ('DUPLICATE', '2004-11-25 15:43:37 EST', 'markus.kell.r')]</t>
  </si>
  <si>
    <t>2003-11-26 04:06:22 EST</t>
  </si>
  <si>
    <t>2003-11-25 22:08 EST</t>
  </si>
  <si>
    <t>[('CREATED', '2003-11-25 22:08 EST'), ('RESOLVED', '2003-11-26 04:06:22 EST', 'dirk_baeumer'), ('FIXED', '2003-11-26 04:06:22 EST', 'dirk_baeumer')]</t>
  </si>
  <si>
    <t>29600 (view as bug list)</t>
  </si>
  <si>
    <t>2003-12-09 14:53:37 EST</t>
  </si>
  <si>
    <t>2004-03-02 05:02:59 EST</t>
  </si>
  <si>
    <t>2003-11-26 07:33 EST</t>
  </si>
  <si>
    <t>2003-11-26 07:33:14 EST</t>
  </si>
  <si>
    <t>[('CREATED', '2003-11-26 07:33 EST'), ('2.1.2', '2003-11-26 07:33:14 EST', 'philippe_mulet'), ('dirk_baeumer', '2003-11-26 10:13:23 EST', 'martinae'), ('markus_keller', '2003-11-26 10:13:23 EST', 'martinae'), ('tjbishop', '2003-11-26 23:17:28 EST', 'tjbishop'), ('2.1.3', '2003-12-09 13:48:52 EST', 'dirk_baeumer'), ('FIXED', '2003-12-09 14:53:37 EST', 'markus.kell.r'), ('RESOLVED', '2003-12-09 14:53:37 EST', 'markus.kell.r'), ('VERIFIED', '2004-03-02 05:02:59 EST', 'martinae'), ('mail', '2005-09-06 11:45:35 EDT', 'markus.kell.r')]</t>
  </si>
  <si>
    <t>RESOLVED  DUPLICATE  of bug 145629</t>
  </si>
  <si>
    <t>2006-06-09 11:47:32 EDT</t>
  </si>
  <si>
    <t>2004-05-24 09:44:45 EDT</t>
  </si>
  <si>
    <t>2003-11-26 12:07 EST</t>
  </si>
  <si>
    <t>2003-11-26 12:10:23 EST</t>
  </si>
  <si>
    <t>[('CREATED', '2003-11-26 12:07 EST'), ('jdt-ui-inbox', '2003-11-26 12:10:23 EST', 'eclipse'), ('UI', '2003-11-26 12:10:23 EST', 'eclipse'), ('markus_keller', '2003-11-26 12:26:05 EST', 'dirk_baeumer'), ('introduce parameter fails on annonymous inner class [refactoring]', '2003-11-26 12:26:05 EST', 'dirk_baeumer'), ('3.0 M6', '2003-11-26 12:26:05 EST', 'dirk_baeumer'), ('3.0 M7', '2003-12-12 13:53:50 EST', 'markus.kell.r'), ('3.0 M8', '2004-01-30 15:33:37 EST', 'markus.kell.r'), ('3.0 M9', '2004-03-18 16:42:27 EST', 'markus.kell.r'), ('RESOLVED', '2004-05-18 05:03:35 EDT', 'markus.kell.r'), ('DUPLICATE', '2004-05-18 05:03:35 EDT', 'markus.kell.r'), ('REOPENED', '2004-05-24 09:44:45 EDT', 'markus.kell.r'), ('P4', '2004-05-24 09:44:45 EDT', 'markus.kell.r'), ('---', '2004-05-24 09:44:45 EDT', 'markus.kell.r'), ('---', '2004-05-24 09:44:45 EDT', 'markus.kell.r'), ('ASSIGNED', '2004-05-24 09:44:59 EDT', 'markus.kell.r'), ('RESOLVED', '2006-06-09 11:47:32 EDT', 'markus.kell.r'), ('DUPLICATE', '2006-06-09 11:47:32 EDT', 'markus.kell.r')]</t>
  </si>
  <si>
    <t>2004-05-21 12:09:59 EDT</t>
  </si>
  <si>
    <t>2003-11-26 15:17 EST</t>
  </si>
  <si>
    <t>2003-11-27 05:14:28 EST</t>
  </si>
  <si>
    <t>[('CREATED', '2003-11-26 15:17 EST'), ('jdt-ui-inbox', '2003-11-27 05:14:28 EST', 'philippe_mulet'), ('UI', '2003-11-27 05:14:28 EST', 'philippe_mulet'), ('[DCR] Externalized Strings key refactoring ability', '2003-11-27 05:14:28 EST', 'philippe_mulet'), ('Externalized Strings key refactoring ability [refactoring] [nls]', '2003-11-27 08:52:04 EST', 'dirk_baeumer'), ('normal', '2003-11-27 08:52:04 EST', 'dirk_baeumer'), ('ASSIGNED', '2003-11-27 08:52:04 EST', 'dirk_baeumer'), ('major', '2003-12-03 17:53:45 EST', 'wkral'), ('P1', '2003-12-03 17:53:45 EST', 'wkral'), ('P3', '2003-12-04 05:57:07 EST', 'dirk_baeumer'), ('RESOLVED', '2004-05-21 12:09:59 EDT', 'dirk_baeumer'), ('FIXED', '2004-05-21 12:09:59 EDT', 'dirk_baeumer'), ('3.0 M9', '2004-05-21 12:09:59 EDT', 'dirk_baeumer')]</t>
  </si>
  <si>
    <t>2003-11-26 23:17 EST</t>
  </si>
  <si>
    <t>2003-11-27 08:54:14 EST</t>
  </si>
  <si>
    <t>2019-12-16 14:59:53 EST</t>
  </si>
  <si>
    <t>[('CREATED', '2003-11-26 23:17 EST'), ('dirk_baeumer', '2003-11-27 08:54:14 EST', 'dirk_baeumer'), ('Bindings.visitInterfaces visits only direct superinterfaces [refactoring]', '2003-11-27 08:54:14 EST', 'dirk_baeumer'), ('markus_keller', '2006-06-02 05:38:51 EDT', 'martinae'), ('[inline] Bindings.visitInterfaces visits only direct superinterfaces [refactoring]', '2006-06-02 05:38:51 EDT', 'martinae'), ('stalebug', '2019-12-16 14:59:53 EST', 'genie')]</t>
  </si>
  <si>
    <t>2003-11-28 10:32 EST</t>
  </si>
  <si>
    <t>2003-11-30 01:32:50 EST</t>
  </si>
  <si>
    <t>2013-12-11 08:07:29 EST</t>
  </si>
  <si>
    <t>erlend.k</t>
  </si>
  <si>
    <t>[('CREATED', '2003-11-28 10:32 EST'), ('jdt-ui-inbox', '2003-11-30 01:32:50 EST', 'akiezun'), ('UI', '2003-11-30 01:32:50 EST', 'akiezun'), ('Move refactoring should move private methods [refactoring]', '2003-12-01 04:14:09 EST', 'dirk_baeumer'), ('enhancement', '2003-12-01 04:14:09 EST', 'dirk_baeumer'), ('ASSIGNED', '2003-12-01 04:14:09 EST', 'dirk_baeumer'), ('P4', '2003-12-01 04:14:09 EST', 'dirk_baeumer'), ('christof_marti', '2005-04-07 11:52:46 EDT', 'christof_marti'), ('mlists', '2005-08-24 06:34:51 EDT', 'mlists'), ('eclipse', '2005-11-01 06:46:13 EST', 'eclipse'), ('tobias_widmer', '2006-06-19 09:49:12 EDT', 'martinae'), ('NEW', '2006-06-19 09:49:12 EDT', 'martinae'), ('[move method] Move refactoring should move private methods', '2006-06-19 09:49:12 EDT', 'martinae'), ('[move method] Move refactoring should move private methods [refactoring]', '2006-06-19 09:51:46 EDT', 'tobias_widmer'), ('jdt-ui-inbox', '2007-06-14 10:45:13 EDT', 'martinae'), ('reprogrammer', '2011-11-08 18:18:53 EST', 'reprogrammer'), ('ASSIGNED', '2011-11-15 06:39:41 EST', 'deepakazad'), ('deepak.azad', '2011-11-15 06:39:41 EST', 'deepakazad'), ('[move method][refactoring] Move refactoring should move private methods', '2011-11-15 06:40:02 EST', 'deepakazad'), ('erlend.k', '2013-12-11 08:07:29 EST', 'erlend.k')]</t>
  </si>
  <si>
    <t>2003-12-17 05:17:51 EST</t>
  </si>
  <si>
    <t>2003-11-28 14:09 EST</t>
  </si>
  <si>
    <t>2003-12-16 14:00:51 EST</t>
  </si>
  <si>
    <t>[('CREATED', '2003-11-28 14:09 EST'), ('daniel_megert', '2003-12-16 14:00:51 EST', 'dirk_baeumer'), ('Types view not linked to Package View. [browsing]', '2003-12-16 14:00:51 EST', 'dirk_baeumer'), ('RESOLVED', '2003-12-17 05:17:51 EST', 'daniel_megert'), ('WORKSFORME', '2003-12-17 05:17:51 EST', 'daniel_megert')]</t>
  </si>
  <si>
    <t>2003-12-02 13:22:36 EST</t>
  </si>
  <si>
    <t>2003-11-28 14:14 EST</t>
  </si>
  <si>
    <t>[('CREATED', '2003-11-28 14:14 EST'), ('RESOLVED', '2003-12-02 13:22:36 EST', 'dirk_baeumer'), ('WORKSFORME', '2003-12-02 13:22:36 EST', 'dirk_baeumer')]</t>
  </si>
  <si>
    <t>2004-06-09 05:49:17 EDT</t>
  </si>
  <si>
    <t>2004-06-11 05:20:51 EDT</t>
  </si>
  <si>
    <t>2003-12-01 05:43 EST</t>
  </si>
  <si>
    <t>2003-12-01 12:30:20 EST</t>
  </si>
  <si>
    <t>[('CREATED', '2003-12-01 05:43 EST'), ('Exception in Extract Interface refactoring [refactoring]', '2003-12-01 12:30:20 EST', 'dirk_baeumer'), ('markus_keller', '2003-12-16 14:03:14 EST', 'dirk_baeumer'), ('3.0 M7', '2003-12-16 14:03:14 EST', 'dirk_baeumer'), ('3.0 M8', '2004-02-11 14:01:30 EST', 'markus.kell.r'), ('3.0', '2004-03-18 15:14:05 EST', 'markus.kell.r'), ('RESOLVED', '2004-06-09 05:49:17 EDT', 'markus.kell.r'), ('FIXED', '2004-06-09 05:49:17 EDT', 'markus.kell.r'), ('3.0 RC2', '2004-06-09 05:49:17 EDT', 'markus.kell.r'), ('VERIFIED', '2004-06-11 05:20:51 EDT', 'dirk_baeumer')]</t>
  </si>
  <si>
    <t>2004-03-22 11:23:59 EST</t>
  </si>
  <si>
    <t>2003-12-01 06:19 EST</t>
  </si>
  <si>
    <t>2003-12-01 06:46:39 EST</t>
  </si>
  <si>
    <t>[('CREATED', '2003-12-01 06:19 EST'), ('jdt-ui-inbox', '2003-12-01 06:46:39 EST', 'philippe_mulet'), ('UI', '2003-12-01 06:46:39 EST', 'philippe_mulet'), ("Refactoring doesn't take other source folders into account [refactoring]", '2003-12-01 12:43:53 EST', 'dirk_baeumer'), ('markus_keller', '2003-12-01 13:12:24 EST', 'dirk_baeumer'), ('3.0 M7', '2003-12-01 13:12:24 EST', 'dirk_baeumer'), ('3.0 M8', '2004-01-30 15:02:29 EST', 'markus.kell.r'), ('RESOLVED', '2004-03-22 11:23:59 EST', 'markus.kell.r'), ('FIXED', '2004-03-22 11:23:59 EST', 'markus.kell.r'), ("Move CU doesn't add import to cus in other package fragments of source package [refactoring]", '2004-03-22 11:23:59 EST', 'markus.kell.r')]</t>
  </si>
  <si>
    <t>2006-06-12 06:03:25 EDT</t>
  </si>
  <si>
    <t>2003-12-01 06:55 EST</t>
  </si>
  <si>
    <t>2003-12-01 12:46:47 EST</t>
  </si>
  <si>
    <t>[('CREATED', '2003-12-01 06:55 EST'), ('ASSIGNED', '2003-12-01 12:46:47 EST', 'dirk_baeumer'), ('Copy and paste of a package across projects does not work recursively [refactoring] [reorg]', '2003-12-01 12:46:47 EST', 'dirk_baeumer'), ('RESOLVED', '2006-06-12 06:03:25 EDT', 'martinae'), ('WONTFIX', '2006-06-12 06:03:25 EDT', 'martinae')]</t>
  </si>
  <si>
    <t>2003-12-01 12:48:02 EST</t>
  </si>
  <si>
    <t>2003-12-01 06:59 EST</t>
  </si>
  <si>
    <t>[('CREATED', '2003-12-01 06:59 EST'), ('RESOLVED', '2003-12-01 12:48:02 EST', 'dirk_baeumer'), ('DUPLICATE', '2003-12-01 12:48:02 EST', 'dirk_baeumer')]</t>
  </si>
  <si>
    <t>2004-03-18 16:39:23 EST</t>
  </si>
  <si>
    <t>2003-12-01 09:00 EST</t>
  </si>
  <si>
    <t>2003-12-01 09:12:44 EST</t>
  </si>
  <si>
    <t>[('CREATED', '2003-12-01 09:00 EST'), ('jdt-ui-inbox', '2003-12-01 09:12:44 EST', 'eclipse'), ('UI', '2003-12-01 09:12:44 EST', 'eclipse'), ('3.0 M7', '2003-12-01 12:52:58 EST', 'dirk_baeumer'), ('markus_keller', '2003-12-01 12:52:58 EST', 'dirk_baeumer'), ('convert local variable to field gives erroneous error [refactoring]', '2003-12-01 12:52:58 EST', 'dirk_baeumer'), ('3.0 M8', '2004-01-30 15:33:34 EST', 'markus.kell.r'), ('RESOLVED', '2004-03-18 16:39:23 EST', 'markus.kell.r'), ('FIXED', '2004-03-18 16:39:23 EST', 'markus.kell.r')]</t>
  </si>
  <si>
    <t>2003-12-09 13:55:51 EST</t>
  </si>
  <si>
    <t>2003-12-01 12:10 EST</t>
  </si>
  <si>
    <t>2003-12-01 13:11:05 EST</t>
  </si>
  <si>
    <t>[('CREATED', '2003-12-01 12:10 EST'), ('markus_keller', '2003-12-01 13:11:05 EST', 'dirk_baeumer'), ('3.0 M6', '2003-12-01 13:11:05 EST', 'dirk_baeumer'), ('refactor rename throws NPE [refactoring]', '2003-12-01 13:11:21 EST', 'dirk_baeumer'), ('RESOLVED', '2003-12-09 13:55:51 EST', 'markus.kell.r'), ('FIXED', '2003-12-09 13:55:51 EST', 'markus.kell.r'), ('refactor rename duplicate local variable throws NPE [refactoring]', '2003-12-09 13:55:51 EST', 'markus.kell.r')]</t>
  </si>
  <si>
    <t>RESOLVED  DUPLICATE  of bug 46926</t>
  </si>
  <si>
    <t>2003-12-01 13:55 EST</t>
  </si>
  <si>
    <t>2003-12-01 13:55:55 EST</t>
  </si>
  <si>
    <t>[('CREATED', '2003-12-01 13:55 EST'), ('3.0 M6', '2003-12-01 13:55:55 EST', 'dirk_baeumer'), ('3.0 M7', '2003-12-12 13:53:52 EST', 'markus.kell.r'), ('RESOLVED', '2004-01-29 06:06:49 EST', 'markus.kell.r'), ('DUPLICATE', '2004-01-29 06:06:49 EST', 'markus.kell.r')]</t>
  </si>
  <si>
    <t>49064 (view as bug list)</t>
  </si>
  <si>
    <t>2004-06-03 11:11:37 EDT</t>
  </si>
  <si>
    <t>2004-06-11 05:10:49 EDT</t>
  </si>
  <si>
    <t>2004-05-28 05:09:01 EDT</t>
  </si>
  <si>
    <t>2003-12-01 14:00 EST</t>
  </si>
  <si>
    <t>2003-12-17 16:29:19 EST</t>
  </si>
  <si>
    <t>[('CREATED', '2003-12-01 14:00 EST'), ('ggregory', '2003-12-17 16:29:19 EST', 'dirk_baeumer'), ('RESOLVED', '2004-05-27 06:26:32 EDT', 'markus.kell.r'), ('FIXED', '2004-05-27 06:26:32 EDT', 'markus.kell.r'), ('3.0 RC1', '2004-05-27 06:26:32 EDT', 'markus.kell.r'), ('VERIFIED', '2004-05-28 05:03:42 EDT', 'martinae'), ('REOPENED', '2004-05-28 05:09:01 EDT', 'tmader'), ('---', '2004-05-28 05:09:01 EDT', 'tmader'), ('ASSIGNED', '2004-05-28 05:32:51 EDT', 'markus.kell.r'), ('3.0 RC2', '2004-05-28 05:32:51 EDT', 'markus.kell.r'), ('RESOLVED', '2004-06-03 11:11:37 EDT', 'markus.kell.r'), ('FIXED', '2004-06-03 11:11:37 EDT', 'markus.kell.r'), ('VERIFIED', '2004-06-11 05:10:49 EDT', 'dirk_baeumer')]</t>
  </si>
  <si>
    <t>2003-12-11 08:11:39 EST</t>
  </si>
  <si>
    <t>2003-12-17 10:13:02 EST</t>
  </si>
  <si>
    <t>2003-12-01 14:06 EST</t>
  </si>
  <si>
    <t>2003-12-01 14:06:16 EST</t>
  </si>
  <si>
    <t>[('CREATED', '2003-12-01 14:06 EST'), ('P2', '2003-12-01 14:06:16 EST', 'dirk_baeumer'), ('3.0 M6', '2003-12-01 14:06:16 EST', 'dirk_baeumer'), ('RESOLVED', '2003-12-11 08:11:39 EST', 'dirk_baeumer'), ('FIXED', '2003-12-11 08:11:39 EST', 'dirk_baeumer'), ('VERIFIED', '2003-12-17 10:13:02 EST', 'tmader')]</t>
  </si>
  <si>
    <t>2003-12-16 14:08:58 EST</t>
  </si>
  <si>
    <t>2003-12-02 04:12 EST</t>
  </si>
  <si>
    <t>[('CREATED', '2003-12-02 04:12 EST'), ('RESOLVED', '2003-12-16 14:08:58 EST', 'dirk_baeumer'), ('WONTFIX', '2003-12-16 14:08:58 EST', 'dirk_baeumer')]</t>
  </si>
  <si>
    <t>2003-12-03 08:16:30 EST</t>
  </si>
  <si>
    <t>2003-12-02 05:49 EST</t>
  </si>
  <si>
    <t>2003-12-02 05:49:33 EST</t>
  </si>
  <si>
    <t>[('CREATED', '2003-12-02 05:49 EST'), ('3.0 M6', '2003-12-02 05:49:33 EST', 'dirk_baeumer'), ('RESOLVED', '2003-12-03 08:16:30 EST', 'dirk_baeumer'), ('FIXED', '2003-12-03 08:16:30 EST', 'dirk_baeumer'), ('Extract Method: should generate Javadoc [refactoring]', '2003-12-03 08:16:30 EST', 'dirk_baeumer')]</t>
  </si>
  <si>
    <t>2003-12-11 12:22:14 EST</t>
  </si>
  <si>
    <t>2003-12-02 05:51 EST</t>
  </si>
  <si>
    <t>2003-12-02 05:51:16 EST</t>
  </si>
  <si>
    <t>[('CREATED', '2003-12-02 05:51 EST'), ('3.0 M6', '2003-12-02 05:51:16 EST', 'dirk_baeumer'), ('RESOLVED', '2003-12-11 12:22:14 EST', 'markus.kell.r'), ('FIXED', '2003-12-11 12:22:14 EST', 'markus.kell.r')]</t>
  </si>
  <si>
    <t>2003-12-03 12:07:45 EST</t>
  </si>
  <si>
    <t>2003-12-03 12:05 EST</t>
  </si>
  <si>
    <t>[('CREATED', '2003-12-03 12:05 EST'), ('kai-uwe_maetzel', '2003-12-03 12:07:45 EST', 'martinae'), ('RESOLVED', '2003-12-03 12:07:45 EST', 'martinae'), ('FIXED', '2003-12-03 12:07:45 EST', 'martinae'), ('3.0 M6', '2003-12-03 12:07:45 EST', 'martinae')]</t>
  </si>
  <si>
    <t>54947 (view as bug list)</t>
  </si>
  <si>
    <t>2003-12-04 06:46 EST</t>
  </si>
  <si>
    <t>2003-12-04 06:48:41 EST</t>
  </si>
  <si>
    <t>2011-04-26 05:30:25 EDT</t>
  </si>
  <si>
    <t>[('CREATED', '2003-12-04 06:46 EST'), ('enhancement', '2003-12-04 06:48:41 EST', 'dirk_baeumer'), ('ASSIGNED', '2003-12-04 06:48:41 EST', 'dirk_baeumer'), ('Extract method and continue [refactoring]', '2003-12-04 06:48:41 EST', 'dirk_baeumer'), ('eclipse', '2004-03-16 13:01:09 EST', 'dirk_baeumer'), ('markus_keller', '2004-11-10 10:39:04 EST', 'markus.kell.r'), ('All', '2004-11-10 10:39:04 EST', 'markus.kell.r'), ('All', '2004-11-10 10:39:04 EST', 'markus.kell.r'), ('Extract method and continue [refactoring] [2]', '2004-11-11 05:11:31 EST', 'dirk_baeumer'), ('[extract method] Extract method and continue', '2006-06-15 04:21:17 EDT', 'martinae'), ('bmuskalla', '2009-06-21 16:27:08 EDT', 'markus.kell.r'), ('NEW', '2009-06-21 16:27:08 EDT', 'markus.kell.r'), ('ASSIGNED', '2009-07-25 09:15:41 EDT', 'b.muskalla'), ('1', '2009-08-03 05:16:47 EDT', 'markus.kell.r'), ('iplog+', '2009-08-03 05:32:25 EDT', 'markus.kell.r'), ('3.6 M1', '2009-08-03 05:32:56 EDT', 'markus.kell.r'), ('3.6 M2', '2009-08-05 09:32:48 EDT', 'markus.kell.r'), ('3.6 M3', '2009-09-15 05:47:07 EDT', 'markus.kell.r'), ('daniel_megert', '2009-10-19 08:38:53 EDT', 'daniel_megert'), ('3.6 M4', '2009-10-19 08:38:53 EDT', 'daniel_megert'), ('3.6 M5', '2009-12-07 14:08:06 EST', 'markus.kell.r'), ('3.6 M6', '2010-01-25 12:51:51 EST', 'markus.kell.r'), ('3.6 M7', '2010-03-08 09:28:58 EST', 'markus.kell.r'), ('3.7', '2010-04-08 11:15:50 EDT', 'markus.kell.r'), ('[extract method] Test cases for extract method and continue', '2010-04-08 11:15:50 EDT', 'markus.kell.r'), ('---', '2011-04-26 05:30:25 EDT', 'markus.kell.r')]</t>
  </si>
  <si>
    <t>2003-12-04 18:27 EST</t>
  </si>
  <si>
    <t>2003-12-04 18:27:44 EST</t>
  </si>
  <si>
    <t>2006-06-12 06:13:58 EDT</t>
  </si>
  <si>
    <t>[('CREATED', '2003-12-04 18:27 EST'), ('nick_edgar', '2003-12-04 18:27:44 EST', 'dirk_baeumer'), ('ASSIGNED', '2003-12-04 18:27:44 EST', 'dirk_baeumer'), ('[rename] Create template method from existing code [refactoring]', '2006-06-12 06:13:58 EDT', 'martinae'), ('markus_keller', '2006-06-12 06:13:58 EDT', 'martinae'), ('NEW', '2006-06-12 06:13:58 EDT', 'martinae')]</t>
  </si>
  <si>
    <t>2003-12-08 17:50:55 EST</t>
  </si>
  <si>
    <t>2003-12-04 19:52 EST</t>
  </si>
  <si>
    <t>2003-12-05 10:35:05 EST</t>
  </si>
  <si>
    <t>[('CREATED', '2003-12-04 19:52 EST'), ('jdt-ui-inbox', '2003-12-05 10:35:05 EST', 'eclipse'), ('UI', '2003-12-05 10:35:05 EST', 'eclipse'), ('RESOLVED', '2003-12-08 17:50:55 EST', 'dirk_baeumer'), ('WORKSFORME', '2003-12-08 17:50:55 EST', 'dirk_baeumer')]</t>
  </si>
  <si>
    <t>2003-12-05 13:47:46 EST</t>
  </si>
  <si>
    <t>2004-03-12 05:14:13 EST</t>
  </si>
  <si>
    <t>2003-12-05 06:14 EST</t>
  </si>
  <si>
    <t>2003-12-05 06:38:50 EST</t>
  </si>
  <si>
    <t>[('CREATED', '2003-12-05 06:14 EST'), ('jdt-ui-inbox', '2003-12-05 06:38:50 EST', 'philippe_mulet'), ('UI', '2003-12-05 06:38:50 EST', 'philippe_mulet'), ('silvio_boehler', '2003-12-05 11:36:44 EST', 'dirk_baeumer'), ('Formatter: Dialog Layout Problems [formatter]', '2003-12-05 11:36:44 EST', 'dirk_baeumer'), ('3.0 M6', '2003-12-05 11:36:44 EST', 'dirk_baeumer'), ('RESOLVED', '2003-12-05 13:47:46 EST', 'silvio_boehler'), ('FIXED', '2003-12-05 13:47:46 EST', 'silvio_boehler'), ('VERIFIED', '2004-03-12 05:14:13 EST', 'sdavids')]</t>
  </si>
  <si>
    <t>38105 71762 102134 120811 131556 132047 (view as bug list)</t>
  </si>
  <si>
    <t>2006-03-21 04:45:47 EST</t>
  </si>
  <si>
    <t>2006-03-28 10:07:34 EST</t>
  </si>
  <si>
    <t>2003-12-07 11:32 EST</t>
  </si>
  <si>
    <t>2003-12-08 04:08:20 EST</t>
  </si>
  <si>
    <t>[('CREATED', '2003-12-07 11:32 EST'), ('ASSIGNED', '2003-12-08 04:08:20 EST', 'dirk_baeumer'), ('extract local variable could be smarter [refactoring]', '2003-12-08 04:08:20 EST', 'dirk_baeumer'), ('eclipsebt', '2004-08-11 11:55:13 EDT', 'markus.kell.r'), ('rafael_chaves', '2004-11-03 16:17:55 EST', 'eclipse'), ('markus_keller', '2004-11-04 04:48:17 EST', 'dirk_baeumer'), ('NEW', '2004-11-04 04:48:17 EST', 'dirk_baeumer'), ('extract local variable could be smarter [refactoring] [extract local]', '2004-11-04 04:48:17 EST', 'dirk_baeumer'), ('3.1', '2004-11-04 04:48:17 EST', 'dirk_baeumer'), ('ASSIGNED', '2005-05-02 11:11:56 EDT', 'markus.kell.r'), ('P4', '2005-05-02 11:11:56 EDT', 'markus.kell.r'), ('P3', '2005-06-22 08:44:37 EDT', 'markus.kell.r'), ('3.2', '2005-06-22 08:44:37 EDT', 'markus.kell.r'), ('daniel.megert', '2005-12-14 11:22:59 EST', 'markus.kell.r'), ('extract local variable could be smarter and introduce a block [refactoring] [extract local]', '2005-12-14 11:25:01 EST', 'markus.kell.r'), ('3.2 M5', '2005-12-14 11:25:01 EST', 'markus.kell.r'), ('3.2 M6', '2006-02-09 11:40:06 EST', 'markus.kell.r'), ('bmiller', '2006-03-21 04:16:38 EST', 'markus.kell.r'), ('ha_tech_2004', '2006-03-21 04:35:10 EST', 'markus.kell.r'), ('RESOLVED', '2006-03-21 04:45:47 EST', 'markus.kell.r'), ('FIXED', '2006-03-21 04:45:47 EST', 'markus.kell.r'), ('dirk_baeumer', '2006-03-22 05:03:06 EST', 'markus.kell.r'), ('VERIFIED', '2006-03-28 10:07:34 EST', 'tobias_widmer')]</t>
  </si>
  <si>
    <t>RESOLVED  DUPLICATE  of bug 36350</t>
  </si>
  <si>
    <t>2007-10-11 04:05:51 EDT</t>
  </si>
  <si>
    <t>2003-12-07 16:53 EST</t>
  </si>
  <si>
    <t>2003-12-07 18:18:08 EST</t>
  </si>
  <si>
    <t>[('CREATED', '2003-12-07 16:53 EST'), ('jdt-ui-inbox', '2003-12-07 18:18:08 EST', 'philippe_mulet'), ('UI', '2003-12-07 18:18:08 EST', 'philippe_mulet'), ('ASSIGNED', '2003-12-08 04:02:48 EST', 'dirk_baeumer'), ('P4', '2003-12-08 04:02:48 EST', 'dirk_baeumer'), ('Convert Immutable to Mutable (String to StringBuffer) [quick assist]', '2003-12-08 04:02:48 EST', 'dirk_baeumer'), ('martin_aeschlimann', '2006-06-12 17:33:58 EDT', 'martinae'), ('NEW', '2006-06-12 17:33:58 EDT', 'martinae'), ('[quick assist] Convert Immutable to Mutable (String to StringBuffer)', '2006-06-12 17:33:58 EDT', 'martinae'), ('martin_aeschlimann', '2007-10-11 04:04:45 EDT', 'martinae'), ('helpwanted', '2007-10-11 04:04:45 EDT', 'martinae'), ('RESOLVED', '2007-10-11 04:05:51 EDT', 'martinae'), ('DUPLICATE', '2007-10-11 04:05:51 EDT', 'martinae')]</t>
  </si>
  <si>
    <t>2003-12-09 17:40:22 EST</t>
  </si>
  <si>
    <t>2003-12-07 18:48 EST</t>
  </si>
  <si>
    <t>2003-12-09 12:37:43 EST</t>
  </si>
  <si>
    <t>[('CREATED', '2003-12-07 18:48 EST'), ('jdt-ui-inbox', '2003-12-09 12:37:43 EST', 'Olivier_Thomann'), ('UI', '2003-12-09 12:37:43 EST', 'Olivier_Thomann'), ('RESOLVED', '2003-12-09 17:40:22 EST', 'dirk_baeumer'), ('WORKSFORME', '2003-12-09 17:40:22 EST', 'dirk_baeumer')]</t>
  </si>
  <si>
    <t>2003-12-10 04:57:48 EST</t>
  </si>
  <si>
    <t>2009-08-30 02:21:26 EDT</t>
  </si>
  <si>
    <t>2003-12-08 05:21 EST</t>
  </si>
  <si>
    <t>2003-12-08 09:28:31 EST</t>
  </si>
  <si>
    <t>[('CREATED', '2003-12-08 05:21 EST'), ('P4', '2003-12-08 09:28:31 EST', 'dirk_baeumer'), ('Add embed method refactoring [refactoring]', '2003-12-08 09:28:31 EST', 'dirk_baeumer'), ('RESOLVED', '2003-12-10 04:57:48 EST', 'dirk_baeumer'), ('LATER', '2003-12-10 04:57:48 EST', 'dirk_baeumer'), ('WONTFIX', '2009-08-30 02:21:26 EDT', 'denis.roy')]</t>
  </si>
  <si>
    <t>2004-01-05 06:08:44 EST</t>
  </si>
  <si>
    <t>2003-12-08 11:16 EST</t>
  </si>
  <si>
    <t>2003-12-11 15:15:42 EST</t>
  </si>
  <si>
    <t>[('CREATED', '2003-12-08 11:16 EST'), ('N.Metchev', '2003-12-11 15:15:42 EST', 'nikolaymetchev'), ('markus_keller', '2003-12-14 13:37:01 EST', 'dirk_baeumer'), ('3.0 M7', '2003-12-14 13:37:01 EST', 'dirk_baeumer'), ('RESOLVED', '2004-01-05 06:08:44 EST', 'markus.kell.r'), ('FIXED', '2004-01-05 06:08:44 EST', 'markus.kell.r')]</t>
  </si>
  <si>
    <t>2004-02-16 14:31:54 EST</t>
  </si>
  <si>
    <t>2003-12-09 04:37 EST</t>
  </si>
  <si>
    <t>2003-12-09 17:49:07 EST</t>
  </si>
  <si>
    <t>[('CREATED', '2003-12-09 04:37 EST'), ('3.0 M7', '2003-12-09 17:49:07 EST', 'dirk_baeumer'), ('markus_keller', '2003-12-09 17:49:07 EST', 'dirk_baeumer'), ('introduce parameter throws NPE if there are compiler errors [refactoring]', '2003-12-09 17:49:07 EST', 'dirk_baeumer'), ('3.0 M8', '2004-01-30 15:38:37 EST', 'markus.kell.r'), ('fpahl', '2004-02-16 05:58:26 EST', 'fpahl'), ('RESOLVED', '2004-02-16 14:31:54 EST', 'markus.kell.r'), ('FIXED', '2004-02-16 14:31:54 EST', 'markus.kell.r')]</t>
  </si>
  <si>
    <t>2003-12-10 05:49:50 EST</t>
  </si>
  <si>
    <t>2003-12-09 15:32 EST</t>
  </si>
  <si>
    <t>2003-12-09 17:30:04 EST</t>
  </si>
  <si>
    <t>[('CREATED', '2003-12-09 15:32 EST'), ('markus_keller', '2003-12-09 17:30:04 EST', 'dirk_baeumer'), ('ArrayIndexOutOfBoundsException when using escape key [reorg]', '2003-12-09 17:30:04 EST', 'dirk_baeumer'), ('3.0 M7', '2003-12-09 17:30:04 EST', 'dirk_baeumer'), ('RESOLVED', '2003-12-10 05:49:50 EST', 'markus.kell.r'), ('FIXED', '2003-12-10 05:49:50 EST', 'markus.kell.r'), ('3.0 M6', '2003-12-10 05:49:50 EST', 'markus.kell.r')]</t>
  </si>
  <si>
    <t>2004-01-07 05:21:21 EST</t>
  </si>
  <si>
    <t>2003-12-10 04:18:14 EST</t>
  </si>
  <si>
    <t>2003-12-10 04:58:56 EST</t>
  </si>
  <si>
    <t>2003-12-10 03:52 EST</t>
  </si>
  <si>
    <t>[('CREATED', '2003-12-10 03:52 EST'), ('RESOLVED', '2003-12-10 04:18:14 EST', 'dirk_baeumer'), ('WORKSFORME', '2003-12-10 04:18:14 EST', 'dirk_baeumer'), ('---', '2003-12-10 04:58:56 EST', 'preuss'), ('normal', '2003-12-10 04:58:56 EST', 'preuss'), ('REOPENED', '2003-12-10 04:58:56 EST', 'preuss'), ('markus_keller', '2003-12-16 16:52:47 EST', 'dirk_baeumer'), ('NEW', '2003-12-16 16:52:47 EST', 'dirk_baeumer'), ('3.0 M7', '2003-12-16 16:52:47 EST', 'dirk_baeumer'), ('RESOLVED', '2004-01-07 05:21:21 EST', 'markus.kell.r'), ('FIXED', '2004-01-07 05:21:21 EST', 'markus.kell.r')]</t>
  </si>
  <si>
    <t>2004-05-14 04:26:35 EDT</t>
  </si>
  <si>
    <t>2004-05-19 05:03:43 EDT</t>
  </si>
  <si>
    <t>2003-12-10 14:47 EST</t>
  </si>
  <si>
    <t>2003-12-11 16:57:51 EST</t>
  </si>
  <si>
    <t>[('CREATED', '2003-12-10 14:47 EST'), ('jdt-ui-inbox', '2003-12-11 16:57:51 EST', 'philippe_mulet'), ('UI', '2003-12-11 16:57:51 EST', 'philippe_mulet'), ('markus_keller', '2003-12-14 09:56:13 EST', 'dirk_baeumer'), ('Loss of multi-declaration fields when pulling up method [refactoring]', '2003-12-14 09:56:13 EST', 'dirk_baeumer'), ('RESOLVED', '2004-05-14 04:26:35 EDT', 'markus.kell.r'), ('FIXED', '2004-05-14 04:26:35 EDT', 'markus.kell.r'), ('3.0 M9', '2004-05-14 04:26:35 EDT', 'markus.kell.r'), ('VERIFIED', '2004-05-19 05:03:43 EDT', 'eclipse')]</t>
  </si>
  <si>
    <t>RESOLVED  DUPLICATE  of bug 37844</t>
  </si>
  <si>
    <t>2003-12-11 11:32:36 EST</t>
  </si>
  <si>
    <t>2003-12-11 11:24 EST</t>
  </si>
  <si>
    <t>2003-12-11 11:25:28 EST</t>
  </si>
  <si>
    <t>[('CREATED', '2003-12-11 11:24 EST'), ('tore', '2003-12-11 11:25:28 EST', 'oyvind.harboe'), ('RESOLVED', '2003-12-11 11:32:36 EST', 'dirk_baeumer'), ('DUPLICATE', '2003-12-11 11:32:36 EST', 'dirk_baeumer')]</t>
  </si>
  <si>
    <t>53717 (view as bug list)</t>
  </si>
  <si>
    <t>2004-05-12 05:02:39 EDT</t>
  </si>
  <si>
    <t>2003-12-11 11:43 EST</t>
  </si>
  <si>
    <t>2003-12-11 11:43:57 EST</t>
  </si>
  <si>
    <t>[('CREATED', '2003-12-11 11:43 EST'), ('45238', '2003-12-11 11:43:57 EST', 'douglas.pollock'), ('Merge undo, redo, move and rename with Platform UI [refactoring]', '2004-01-05 08:31:01 EST', 'dirk_baeumer'), ('dirk_baeumer, kai-uwe_maetzel', '2004-01-13 14:37:36 EST', 'douglas.pollock'), ('dirk_baeumer', '2004-01-22 05:12:25 EST', 'martinae'), ('lchuat', '2004-03-04 11:10:52 EST', 'debbie_wilson'), ('3.0', '2004-03-09 12:49:23 EST', 'dirk_baeumer'), ('3.0 M9', '2004-04-06 12:35:06 EDT', 'dirk_baeumer'), ('RESOLVED', '2004-05-12 05:02:39 EDT', 'dirk_baeumer'), ('FIXED', '2004-05-12 05:02:39 EDT', 'dirk_baeumer')]</t>
  </si>
  <si>
    <t>2004-05-12 04:08:35 EDT</t>
  </si>
  <si>
    <t>2003-12-11 12:20 EST</t>
  </si>
  <si>
    <t>2004-05-06 09:37:07 EDT</t>
  </si>
  <si>
    <t>[('CREATED', '2003-12-11 12:20 EST'), ('1', '2004-05-06 09:37:07 EDT', 'rfuhrer'), ('RESOLVED', '2004-05-12 04:08:35 EDT', 'dirk_baeumer'), ('FIXED', '2004-05-12 04:08:35 EDT', 'dirk_baeumer'), ('Exception while introducing factory [refactoring]', '2004-05-12 04:08:35 EDT', 'dirk_baeumer')]</t>
  </si>
  <si>
    <t>2003-12-14 09:59:15 EST</t>
  </si>
  <si>
    <t>2003-12-11 12:51 EST</t>
  </si>
  <si>
    <t>2003-12-11 16:36:16 EST</t>
  </si>
  <si>
    <t>[('CREATED', '2003-12-11 12:51 EST'), ('jdt-ui-inbox', '2003-12-11 16:36:16 EST', 'philippe_mulet'), ('UI', '2003-12-11 16:36:16 EST', 'philippe_mulet'), ('RESOLVED', '2003-12-14 09:59:15 EST', 'dirk_baeumer'), ('WORKSFORME', '2003-12-14 09:59:15 EST', 'dirk_baeumer')]</t>
  </si>
  <si>
    <t>42997 (view as bug list)</t>
  </si>
  <si>
    <t>2004-01-06 12:26:46 EST</t>
  </si>
  <si>
    <t>2003-12-15 04:28 EST</t>
  </si>
  <si>
    <t>2003-12-15 04:28:33 EST</t>
  </si>
  <si>
    <t>[('CREATED', '2003-12-15 04:28 EST'), ('All', '2003-12-15 04:28:33 EST', 'andre_weinand'), ('All', '2003-12-15 04:28:33 EST', 'andre_weinand'), ('markus_keller', '2003-12-16 17:22:21 EST', 'dirk_baeumer'), ('3.0 M7', '2003-12-16 17:22:21 EST', 'dirk_baeumer'), ('RESOLVED', '2004-01-06 12:26:46 EST', 'markus.kell.r'), ('FIXED', '2004-01-06 12:26:46 EST', 'markus.kell.r'), ('alex_blewitt', '2004-06-04 11:42:13 EDT', 'markus.kell.r')]</t>
  </si>
  <si>
    <t>2004-04-28 12:33:50 EDT</t>
  </si>
  <si>
    <t>2003-12-15 06:30 EST</t>
  </si>
  <si>
    <t>2004-02-12 15:02:29 EST</t>
  </si>
  <si>
    <t>[('CREATED', '2003-12-15 06:30 EST'), ('3.0 M8', '2004-02-12 15:02:29 EST', 'tip'), ('3.0 M9', '2004-03-23 14:16:20 EST', 'dirk_baeumer'), ('1', '2004-04-20 14:22:31 EDT', 'tip'), ('1', '2004-04-20 14:23:07 EDT', 'tip'), ('1', '2004-04-22 10:28:10 EDT', 'tip'), ('RESOLVED', '2004-04-28 12:33:50 EDT', 'dirk_baeumer'), ('FIXED', '2004-04-28 12:33:50 EDT', 'dirk_baeumer')]</t>
  </si>
  <si>
    <t>2020-02-04 07:40:58 EST</t>
  </si>
  <si>
    <t>2003-12-15 08:46 EST</t>
  </si>
  <si>
    <t>2003-12-15 08:47:02 EST</t>
  </si>
  <si>
    <t>[('CREATED', '2003-12-15 08:46 EST'), ('3.0 M7', '2003-12-15 08:47:02 EST', 'dirk_baeumer'), ('3.0 M8', '2004-02-12 15:02:54 EST', 'tip'), ('3.0 M9', '2004-03-23 14:16:58 EST', 'dirk_baeumer'), ('---', '2004-05-05 21:53:21 EDT', 'tip'), ('WONTFIX', '2020-02-04 07:40:58 EST', 'genie'), ('CLOSED', '2020-02-04 07:40:58 EST', 'genie'), ('stalebug', '2020-02-04 07:40:58 EST', 'genie')]</t>
  </si>
  <si>
    <t>2003-12-15 08:49 EST</t>
  </si>
  <si>
    <t>2004-02-12 15:03:16 EST</t>
  </si>
  <si>
    <t>2019-12-26 15:38:03 EST</t>
  </si>
  <si>
    <t>[('CREATED', '2003-12-15 08:49 EST'), ('3.0 M8', '2004-02-12 15:03:16 EST', 'tip'), ('3.0 M9', '2004-03-23 14:17:09 EST', 'dirk_baeumer'), ('---', '2004-05-05 21:54:29 EDT', 'tip'), ('stalebug', '2019-12-26 15:38:03 EST', 'genie')]</t>
  </si>
  <si>
    <t>2004-05-27 03:43:28 EDT</t>
  </si>
  <si>
    <t>2004-05-28 05:13:13 EDT</t>
  </si>
  <si>
    <t>2003-12-15 14:44 EST</t>
  </si>
  <si>
    <t>2003-12-15 14:45:05 EST</t>
  </si>
  <si>
    <t>[('CREATED', '2003-12-15 14:44 EST'), ('3.0', '2003-12-15 14:45:05 EST', 'dirk_baeumer'), ('RESOLVED', '2004-05-27 03:43:28 EDT', 'markus.kell.r'), ('FIXED', '2004-05-27 03:43:28 EDT', 'markus.kell.r'), ('3.0 RC1', '2004-05-27 03:43:28 EDT', 'markus.kell.r'), ('VERIFIED', '2004-05-28 05:13:13 EDT', 'tmader')]</t>
  </si>
  <si>
    <t>2003-12-16 05:31:42 EST</t>
  </si>
  <si>
    <t>2003-12-15 17:16 EST</t>
  </si>
  <si>
    <t>2003-12-15 18:11:19 EST</t>
  </si>
  <si>
    <t>[('CREATED', '2003-12-15 17:16 EST'), ('jdt-ui-inbox', '2003-12-15 18:11:19 EST', 'philippe_mulet'), ('UI', '2003-12-15 18:11:19 EST', 'philippe_mulet'), ('LATER', '2003-12-16 05:31:42 EST', 'dirk_baeumer'), ('Cannot rename a class by editing the source, leaves UI in odd state [refactoring]', '2003-12-16 05:31:42 EST', 'dirk_baeumer'), ('enhancement', '2003-12-16 05:31:42 EST', 'dirk_baeumer'), ('RESOLVED', '2003-12-16 05:31:42 EST', 'dirk_baeumer'), ('P4', '2003-12-16 05:31:42 EST', 'dirk_baeumer'), ('WONTFIX', '2009-08-30 02:38:31 EDT', 'webmaster')]</t>
  </si>
  <si>
    <t>2003-12-16 05:45:01 EST</t>
  </si>
  <si>
    <t>2003-12-16 00:53 EST</t>
  </si>
  <si>
    <t>2003-12-16 05:31:20 EST</t>
  </si>
  <si>
    <t>[('CREATED', '2003-12-16 00:53 EST'), ('jdt-ui-inbox', '2003-12-16 05:31:20 EST', 'philippe_mulet'), ('UI', '2003-12-16 05:31:20 EST', 'philippe_mulet'), ('RESOLVED', '2003-12-16 05:45:01 EST', 'dirk_baeumer'), ('FIXED', '2003-12-16 05:45:01 EST', 'dirk_baeumer')]</t>
  </si>
  <si>
    <t>2004-02-08 23:43:11 EST</t>
  </si>
  <si>
    <t>2003-12-16 06:16 EST</t>
  </si>
  <si>
    <t>2004-01-05 13:36:44 EST</t>
  </si>
  <si>
    <t>[('CREATED', '2003-12-16 06:16 EST'), ('3.0 M7', '2004-01-05 13:36:44 EST', 'dirk_baeumer'), ('1', '2004-01-05 15:19:20 EST', 'rfuhrer'), ('RESOLVED', '2004-02-08 23:43:11 EST', 'dirk_baeumer'), ('FIXED', '2004-02-08 23:43:11 EST', 'dirk_baeumer')]</t>
  </si>
  <si>
    <t>2006-06-15 04:13:03 EDT</t>
  </si>
  <si>
    <t>2009-05-04 06:38:06 EDT</t>
  </si>
  <si>
    <t>2003-12-16 13:28 EST</t>
  </si>
  <si>
    <t>2003-12-16 17:04:16 EST</t>
  </si>
  <si>
    <t>[('CREATED', '2003-12-16 13:28 EST'), ('jdt-ui-inbox', '2003-12-16 17:04:16 EST', 'philippe_mulet'), ('UI', '2003-12-16 17:04:16 EST', 'philippe_mulet'), ('ASSIGNED', '2003-12-16 17:44:08 EST', 'dirk_baeumer'), ('P4', '2003-12-16 17:44:08 EST', 'dirk_baeumer'), ('Refactor/Extract method could suggest method name from // comment [refactoring]', '2003-12-16 17:44:08 EST', 'dirk_baeumer'), ('helpwanted', '2006-06-15 04:13:03 EDT', 'martinae'), ('LATER', '2006-06-15 04:13:03 EDT', 'martinae'), ('[extract method] guess method name from // comment', '2006-06-15 04:13:03 EDT', 'martinae'), ('RESOLVED', '2006-06-15 04:13:03 EDT', 'martinae'), ('markus_keller', '2009-05-04 06:38:06 EDT', 'markus.kell.r'), (nan, '2009-05-04 06:38:06 EDT', 'markus.kell.r'), ('WONTFIX', '2009-05-04 06:38:06 EDT', 'markus.kell.r')]</t>
  </si>
  <si>
    <t>2003-12-16 16:04:59 EST</t>
  </si>
  <si>
    <t>2003-12-16 15:59 EST</t>
  </si>
  <si>
    <t>[('CREATED', '2003-12-16 15:59 EST'), ('RESOLVED', '2003-12-16 16:04:59 EST', 'dirk_baeumer'), ('DUPLICATE', '2003-12-16 16:04:59 EST', 'dirk_baeumer')]</t>
  </si>
  <si>
    <t>2003-12-16 17:38:27 EST</t>
  </si>
  <si>
    <t>2003-12-16 16:22 EST</t>
  </si>
  <si>
    <t>[('CREATED', '2003-12-16 16:22 EST'), ('RESOLVED', '2003-12-16 17:38:27 EST', 'dirk_baeumer'), ('WORKSFORME', '2003-12-16 17:38:27 EST', 'dirk_baeumer'), ('Move of Java class generated exception [refactoring]', '2003-12-16 17:38:27 EST', 'dirk_baeumer')]</t>
  </si>
  <si>
    <t>2003-12-21 11:16:36 EST</t>
  </si>
  <si>
    <t>2009-08-30 02:36:46 EDT</t>
  </si>
  <si>
    <t>2003-12-16 17:26 EST</t>
  </si>
  <si>
    <t>[('CREATED', '2003-12-16 17:26 EST'), ('RESOLVED', '2003-12-21 11:16:36 EST', 'dirk_baeumer'), ('LATER', '2003-12-21 11:16:36 EST', 'dirk_baeumer'), ('Add Refactor-&gt;Delete [refactoring]', '2003-12-21 11:16:36 EST', 'dirk_baeumer'), ('WONTFIX', '2009-08-30 02:36:46 EDT', 'webmaster')]</t>
  </si>
  <si>
    <t>2004-05-11 13:19:19 EDT</t>
  </si>
  <si>
    <t>2003-12-17 05:16 EST</t>
  </si>
  <si>
    <t>2003-12-17 05:17:11 EST</t>
  </si>
  <si>
    <t>[('CREATED', '2003-12-17 05:16 EST'), ('3.0 M7', '2003-12-17 05:17:11 EST', 'markus.kell.r'), ('3.0 M8', '2004-02-11 14:10:48 EST', 'markus.kell.r'), ('3.0', '2004-03-18 15:14:45 EST', 'markus.kell.r'), ('FIXED', '2004-05-11 13:19:19 EDT', 'markus.kell.r'), ('3.0 M9', '2004-05-11 13:19:19 EDT', 'markus.kell.r'), ('RESOLVED', '2004-05-11 13:19:19 EDT', 'markus.kell.r')]</t>
  </si>
  <si>
    <t>2006-04-05 14:19:27 EDT</t>
  </si>
  <si>
    <t>2009-08-30 02:37:16 EDT</t>
  </si>
  <si>
    <t>2003-12-17 05:42 EST</t>
  </si>
  <si>
    <t>2003-12-17 06:17:24 EST</t>
  </si>
  <si>
    <t>[('CREATED', '2003-12-17 05:42 EST'), ('dirk_baeumer', '2003-12-17 06:17:24 EST', 'dirk_baeumer'), ('Refactor-&gt;generalize type unavailable on type in editor context menu [refactoring]', '2003-12-17 06:17:24 EST', 'dirk_baeumer'), ('3.0', '2003-12-17 06:17:24 EST', 'dirk_baeumer'), ('3.1', '2004-06-25 11:30:19 EDT', 'dirk_baeumer'), ('---', '2005-04-07 05:35:11 EDT', 'dirk_baeumer'), ('minor', '2005-04-07 05:35:11 EDT', 'dirk_baeumer'), ('RESOLVED', '2006-04-05 14:19:27 EDT', 'dirk_baeumer'), ('LATER', '2006-04-05 14:19:27 EDT', 'dirk_baeumer'), ('WONTFIX', '2009-08-30 02:37:16 EDT', 'webmaster'), ('jdt-ui-inbox', '2009-08-30 02:37:16 EDT', 'webmaster')]</t>
  </si>
  <si>
    <t>2004-05-13 08:58:10 EDT</t>
  </si>
  <si>
    <t>2003-12-17 05:46 EST</t>
  </si>
  <si>
    <t>2003-12-17 05:49:44 EST</t>
  </si>
  <si>
    <t>[('CREATED', '2003-12-17 05:46 EST'), ('tip', '2003-12-17 05:49:44 EST', 'dirk_baeumer'), ('Silent failure in "Generalize Type" on field declaration [refactoring]', '2003-12-17 05:49:44 EST', 'dirk_baeumer'), ('3.0 M7', '2003-12-17 05:49:44 EST', 'dirk_baeumer'), ('3.0 M8', '2004-02-12 15:03:57 EST', 'tip'), ('3.0 M9', '2004-03-23 14:17:45 EST', 'dirk_baeumer'), ('RESOLVED', '2004-05-13 08:58:10 EDT', 'dirk_baeumer'), ('WORKSFORME', '2004-05-13 08:58:10 EDT', 'dirk_baeumer')]</t>
  </si>
  <si>
    <t>2004-06-22 14:53:09 EDT</t>
  </si>
  <si>
    <t>2003-12-17 06:05 EST</t>
  </si>
  <si>
    <t>2003-12-17 06:20:58 EST</t>
  </si>
  <si>
    <t>[('CREATED', '2003-12-17 06:05 EST'), ('ASSIGNED', '2003-12-17 06:20:58 EST', 'dirk_baeumer'), ('Vague error message for "Pull up" on anonymous inner method [refactoring]', '2003-12-17 06:20:58 EST', 'dirk_baeumer'), ('3.0', '2003-12-17 06:20:58 EST', 'dirk_baeumer'), ('RESOLVED', '2004-06-22 14:53:09 EDT', 'dirk_baeumer'), ('FIXED', '2004-06-22 14:53:09 EDT', 'dirk_baeumer')]</t>
  </si>
  <si>
    <t>2006-06-12 08:04:56 EDT</t>
  </si>
  <si>
    <t>2003-12-17 06:20 EST</t>
  </si>
  <si>
    <t>2004-01-05 08:34:51 EST</t>
  </si>
  <si>
    <t>[('CREATED', '2003-12-17 06:20 EST'), ('ASSIGNED', '2004-01-05 08:34:51 EST', 'dirk_baeumer'), ('P4', '2004-01-05 08:34:51 EST', 'dirk_baeumer'), ('Trouble inling anonymous inner method [refactoring]', '2004-01-05 08:34:51 EST', 'dirk_baeumer'), ('RESOLVED', '2006-06-12 08:04:56 EDT', 'martinae'), ('WORKSFORME', '2006-06-12 08:04:56 EDT', 'martinae')]</t>
  </si>
  <si>
    <t>2003-12-17 14:16:10 EST</t>
  </si>
  <si>
    <t>2003-12-18 05:54:07 EST</t>
  </si>
  <si>
    <t>2003-12-17 06:26 EST</t>
  </si>
  <si>
    <t>2003-12-17 09:31:22 EST</t>
  </si>
  <si>
    <t>[('CREATED', '2003-12-17 06:26 EST'), (nan, '2003-12-17 09:31:22 EST', 'dirk_baeumer'), ('martin_aeschlimann', '2003-12-17 09:31:22 EST', 'dirk_baeumer'), ('RESOLVED', '2003-12-17 14:16:10 EST', 'martinae'), ('FIXED', '2003-12-17 14:16:10 EST', 'martinae'), ('3.0 M6', '2003-12-17 14:16:10 EST', 'martinae'), ('VERIFIED', '2003-12-18 05:54:07 EST', 'daniel_megert')]</t>
  </si>
  <si>
    <t>2004-01-06 03:48:10 EST</t>
  </si>
  <si>
    <t>2003-12-17 08:37 EST</t>
  </si>
  <si>
    <t>2003-12-17 09:01:40 EST</t>
  </si>
  <si>
    <t>[('CREATED', '2003-12-17 08:37 EST'), ('markus_keller', '2003-12-17 09:01:40 EST', 'dirk_baeumer'), ('Move static members: Labels [refactoring]', '2003-12-17 09:01:40 EST', 'dirk_baeumer'), ('3.0 M7', '2003-12-17 09:01:40 EST', 'dirk_baeumer'), ('FIXED', '2004-01-06 03:48:10 EST', 'markus.kell.r'), ('RESOLVED', '2004-01-06 03:48:10 EST', 'markus.kell.r')]</t>
  </si>
  <si>
    <t>RESOLVED  DUPLICATE  of bug 43594</t>
  </si>
  <si>
    <t>2006-06-12 08:14:32 EDT</t>
  </si>
  <si>
    <t>2003-12-17 08:40 EST</t>
  </si>
  <si>
    <t>2003-12-17 08:55:22 EST</t>
  </si>
  <si>
    <t>[('CREATED', '2003-12-17 08:40 EST'), ('Move static members: Should open and reveal the moved method [refactoring]', '2003-12-17 08:55:22 EST', 'dirk_baeumer'), ('ASSIGNED', '2004-01-12 06:06:13 EST', 'dirk_baeumer'), ('P4', '2004-01-12 06:06:13 EST', 'dirk_baeumer'), ('RESOLVED', '2006-06-12 08:14:32 EDT', 'martinae'), ('DUPLICATE', '2006-06-12 08:14:32 EDT', 'martinae')]</t>
  </si>
  <si>
    <t>49231 (view as bug list)</t>
  </si>
  <si>
    <t>2004-01-05 13:26:47 EST</t>
  </si>
  <si>
    <t>2003-12-17 09:24 EST</t>
  </si>
  <si>
    <t>2003-12-17 10:35:01 EST</t>
  </si>
  <si>
    <t>[('CREATED', '2003-12-17 09:24 EST'), ('markus_keller', '2003-12-17 10:35:01 EST', 'markus.kell.r'), ('channingwalton', '2003-12-21 10:54:47 EST', 'dirk_baeumer'), ('RESOLVED', '2004-01-05 13:26:47 EST', 'markus.kell.r'), ('FIXED', '2004-01-05 13:26:47 EST', 'markus.kell.r')]</t>
  </si>
  <si>
    <t>2004-03-22 15:16:41 EST</t>
  </si>
  <si>
    <t>2003-12-17 10:11 EST</t>
  </si>
  <si>
    <t>2004-01-05 08:36:10 EST</t>
  </si>
  <si>
    <t>[('CREATED', '2003-12-17 10:11 EST'), ('dirk_baeumer', '2004-01-05 08:36:10 EST', 'dirk_baeumer'), ('Extract Method: changed parameter name not used in return statement [refactoring]', '2004-01-05 08:36:10 EST', 'dirk_baeumer'), ('3.0', '2004-01-05 08:36:10 EST', 'dirk_baeumer'), ('3.0 M8', '2004-03-22 15:16:31 EST', 'dirk_baeumer'), ('RESOLVED', '2004-03-22 15:16:41 EST', 'dirk_baeumer'), ('FIXED', '2004-03-22 15:16:41 EST', 'dirk_baeumer')]</t>
  </si>
  <si>
    <t>RESOLVED  DUPLICATE  of bug 33737</t>
  </si>
  <si>
    <t>2003-12-17 16:23:54 EST</t>
  </si>
  <si>
    <t>2003-12-17 14:42 EST</t>
  </si>
  <si>
    <t>[('CREATED', '2003-12-17 14:42 EST'), ('RESOLVED', '2003-12-17 16:23:54 EST', 'dirk_baeumer'), ('DUPLICATE', '2003-12-17 16:23:54 EST', 'dirk_baeumer')]</t>
  </si>
  <si>
    <t>RESOLVED  DUPLICATE  of bug 47837</t>
  </si>
  <si>
    <t>2003-12-17 16:26:54 EST</t>
  </si>
  <si>
    <t>2003-12-17 15:00 EST</t>
  </si>
  <si>
    <t>2003-12-17 15:23:54 EST</t>
  </si>
  <si>
    <t>[('CREATED', '2003-12-17 15:00 EST'), ('jdt-ui-inbox', '2003-12-17 15:23:54 EST', 'philippe_mulet'), ('UI', '2003-12-17 15:23:54 EST', 'philippe_mulet'), ('RESOLVED', '2003-12-17 16:25:30 EST', 'dirk_baeumer'), ('DUPLICATE', '2003-12-17 16:25:30 EST', 'dirk_baeumer'), ('REOPENED', '2003-12-17 16:26:54 EST', 'dirk_baeumer'), ('---', '2003-12-17 16:26:54 EST', 'dirk_baeumer'), ('RESOLVED', '2003-12-17 16:29:19 EST', 'dirk_baeumer'), ('DUPLICATE', '2003-12-17 16:29:19 EST', 'dirk_baeumer')]</t>
  </si>
  <si>
    <t>2003-12-18 12:11:30 EST</t>
  </si>
  <si>
    <t>2003-12-18 11:36 EST</t>
  </si>
  <si>
    <t>[('CREATED', '2003-12-18 11:36 EST'), ('RESOLVED', '2003-12-18 12:11:30 EST', 'dirk_baeumer'), ('DUPLICATE', '2003-12-18 12:11:30 EST', 'dirk_baeumer')]</t>
  </si>
  <si>
    <t>2004-01-05 14:00:35 EST</t>
  </si>
  <si>
    <t>2003-12-20 08:02 EST</t>
  </si>
  <si>
    <t>2003-12-21 10:57:52 EST</t>
  </si>
  <si>
    <t>[('CREATED', '2003-12-20 08:02 EST'), ('markus_keller', '2003-12-21 10:57:52 EST', 'dirk_baeumer'), ('Editable Table: can have empty rows [refactoring]', '2003-12-21 10:57:52 EST', 'dirk_baeumer'), ('3.0 M7', '2003-12-21 10:57:52 EST', 'dirk_baeumer'), ('All', '2003-12-23 08:38:45 EST', 'andre_weinand'), ('All', '2003-12-23 08:38:45 EST', 'andre_weinand'), ('RESOLVED', '2004-01-05 14:00:35 EST', 'markus.kell.r'), ('FIXED', '2004-01-05 14:00:35 EST', 'markus.kell.r')]</t>
  </si>
  <si>
    <t>RESOLVED  DUPLICATE  of bug 49010</t>
  </si>
  <si>
    <t>2003-12-21 10:54:47 EST</t>
  </si>
  <si>
    <t>2003-12-20 08:16 EST</t>
  </si>
  <si>
    <t>[('CREATED', '2003-12-20 08:16 EST'), ('RESOLVED', '2003-12-21 10:54:47 EST', 'dirk_baeumer'), ('DUPLICATE', '2003-12-21 10:54:47 EST', 'dirk_baeumer')]</t>
  </si>
  <si>
    <t>2004-01-30 15:32:47 EST</t>
  </si>
  <si>
    <t>2003-12-20 08:18 EST</t>
  </si>
  <si>
    <t>2003-12-21 10:52:40 EST</t>
  </si>
  <si>
    <t>[('CREATED', '2003-12-20 08:18 EST'), ('daniel_megert', '2003-12-21 10:52:40 EST', 'dirk_baeumer'), ('markus_keller', '2003-12-21 10:52:40 EST', 'dirk_baeumer'), ('Refactoring: Move static method content assist key binding is CTRL-SPACE [general issue]', '2003-12-21 10:52:40 EST', 'dirk_baeumer'), ('3.0 M7', '2003-12-21 10:52:40 EST', 'dirk_baeumer'), ('RESOLVED', '2004-01-30 15:32:47 EST', 'markus.kell.r'), ('FIXED', '2004-01-30 15:32:47 EST', 'markus.kell.r')]</t>
  </si>
  <si>
    <t>2004-05-12 08:58:45 EDT</t>
  </si>
  <si>
    <t>2003-12-26 10:34 EST</t>
  </si>
  <si>
    <t>2004-01-05 15:53:40 EST</t>
  </si>
  <si>
    <t>[('CREATED', '2003-12-26 10:34 EST'), ('jdt-ui-inbox', '2004-01-05 15:53:40 EST', 'dj.houghton'), ('UI', '2004-01-05 15:53:40 EST', 'dj.houghton'), ('JDT', '2004-01-05 15:53:40 EST', 'dj.houghton'), ('3.0', '2004-01-05 17:56:00 EST', 'dirk_baeumer'), ('markus_keller', '2004-01-05 17:56:00 EST', 'dirk_baeumer'), ('Pull up gives not applicable found problem [refactoring]', '2004-01-05 17:56:00 EST', 'dirk_baeumer'), ('RESOLVED', '2004-05-12 08:58:45 EDT', 'markus.kell.r'), ('FIXED', '2004-05-12 08:58:45 EDT', 'markus.kell.r'), ('3.0 M9', '2004-05-12 08:58:45 EDT', 'markus.kell.r')]</t>
  </si>
  <si>
    <t>2003-12-28 12:07:05 EST</t>
  </si>
  <si>
    <t>2003-12-28 07:21 EST</t>
  </si>
  <si>
    <t>[('CREATED', '2003-12-28 07:21 EST'), ('RESOLVED', '2003-12-28 12:07:05 EST', 'dirk_baeumer'), ('DUPLICATE', '2003-12-28 12:07:05 EST', 'dirk_baeumer')]</t>
  </si>
  <si>
    <t>2006-06-12 08:25:43 EDT</t>
  </si>
  <si>
    <t>2003-12-30 14:39 EST</t>
  </si>
  <si>
    <t>2004-01-02 19:10:33 EST</t>
  </si>
  <si>
    <t>[('CREATED', '2003-12-30 14:39 EST'), ('enhancement', '2004-01-02 19:10:33 EST', 'dirk_baeumer'), ('ASSIGNED', '2004-01-02 19:10:33 EST', 'dirk_baeumer'), ('P4', '2004-01-02 19:10:33 EST', 'dirk_baeumer'), ('Add a command to duplicate a class [reorg] [ccp]', '2004-01-02 19:10:33 EST', 'dirk_baeumer'), ('martin_aeschlimann', '2006-06-12 08:25:43 EDT', 'martinae'), ('RESOLVED', '2006-06-12 08:25:43 EDT', 'martinae'), ('WONTFIX', '2006-06-12 08:25:43 EDT', 'martinae')]</t>
  </si>
  <si>
    <t>2005-02-18 13:58:07 EST</t>
  </si>
  <si>
    <t>2004-01-01 06:59 EST</t>
  </si>
  <si>
    <t>2004-01-02 18:07:34 EST</t>
  </si>
  <si>
    <t>[('CREATED', '2004-01-01 06:59 EST'), ('jdt-ui-inbox', '2004-01-02 18:07:34 EST', 'andre_weinand'), ('UI', '2004-01-02 18:07:34 EST', 'andre_weinand'), ('All', '2004-01-02 18:07:34 EST', 'andre_weinand'), ('All', '2004-01-02 18:07:34 EST', 'andre_weinand'), ('ASSIGNED', '2004-01-02 18:53:15 EST', 'dirk_baeumer'), ("Extract Constant Refactoring: remember 'qualify constant' state [refactoring]", '2004-01-02 18:53:15 EST', 'dirk_baeumer'), ('markus_keller', '2005-02-18 08:22:45 EST', 'markus.kell.r'), ('NEW', '2005-02-18 08:22:45 EST', 'markus.kell.r'), ('RESOLVED', '2005-02-18 13:58:07 EST', 'markus.kell.r'), ('FIXED', '2005-02-18 13:58:07 EST', 'markus.kell.r'), ('3.1 M6', '2005-02-18 13:58:07 EST', 'markus.kell.r')]</t>
  </si>
  <si>
    <t>2004-01-05 01:00:42 EST</t>
  </si>
  <si>
    <t>2004-01-03 17:19 EST</t>
  </si>
  <si>
    <t>[('CREATED', '2004-01-03 17:19 EST'), ('RESOLVED', '2004-01-05 01:00:42 EST', 'akiezun'), ('DUPLICATE', '2004-01-05 01:00:42 EST', 'akiezun')]</t>
  </si>
  <si>
    <t>2004-01-06 15:02:28 EST</t>
  </si>
  <si>
    <t>2004-01-06 14:06 EST</t>
  </si>
  <si>
    <t>juha.palomaki</t>
  </si>
  <si>
    <t>[('CREATED', '2004-01-06 14:06 EST'), ('RESOLVED', '2004-01-06 15:02:28 EST', 'juha.palomaki'), ('INVALID', '2004-01-06 15:02:28 EST', 'juha.palomaki')]</t>
  </si>
  <si>
    <t>RESOLVED  DUPLICATE  of bug 34568</t>
  </si>
  <si>
    <t>2004-05-06 17:55:53 EDT</t>
  </si>
  <si>
    <t>2004-01-06 14:38 EST</t>
  </si>
  <si>
    <t>2004-04-26 16:23:41 EDT</t>
  </si>
  <si>
    <t>[('CREATED', '2004-01-06 14:38 EST'), (nan, '2004-04-26 16:23:41 EDT', 'kent_johnson'), ('jdt-ui-inbox', '2004-04-26 16:23:41 EDT', 'kent_johnson'), ('UI', '2004-04-26 16:23:41 EDT', 'kent_johnson'), ('RESOLVED', '2004-05-06 17:55:53 EDT', 'dirk_baeumer'), ('DUPLICATE', '2004-05-06 17:55:53 EDT', 'dirk_baeumer')]</t>
  </si>
  <si>
    <t>2004-02-12 13:53:36 EST</t>
  </si>
  <si>
    <t>2004-01-07 17:16 EST</t>
  </si>
  <si>
    <t>2004-01-07 21:39:35 EST</t>
  </si>
  <si>
    <t>[('CREATED', '2004-01-07 17:16 EST'), ('jdt-ui-inbox', '2004-01-07 21:39:35 EST', 'Olivier_Thomann'), ('UI', '2004-01-07 21:39:35 EST', 'Olivier_Thomann'), ('3.0', '2004-01-08 04:19:44 EST', 'dirk_baeumer'), ('markus_keller', '2004-01-08 04:19:44 EST', 'dirk_baeumer'), ('Changing the result class when refactoring a method in an interface should cause the result class to be imported in implementing classes [refactoring]', '2004-01-08 04:19:44 EST', 'dirk_baeumer'), ('RESOLVED', '2004-02-12 13:53:36 EST', 'markus.kell.r'), ('FIXED', '2004-02-12 13:53:36 EST', 'markus.kell.r'), ('3.0 M7', '2004-02-12 13:53:36 EST', 'markus.kell.r')]</t>
  </si>
  <si>
    <t>RESOLVED  DUPLICATE  of bug 63908</t>
  </si>
  <si>
    <t>2004-05-25 15:53:33 EDT</t>
  </si>
  <si>
    <t>2004-01-08 14:03 EST</t>
  </si>
  <si>
    <t>2004-02-04 07:08:29 EST</t>
  </si>
  <si>
    <t>[('CREATED', '2004-01-08 14:03 EST'), ('jdt-ui-inbox', '2004-02-04 07:08:29 EST', 'jerome_lanneluc'), ('UI', '2004-02-04 07:08:29 EST', 'jerome_lanneluc'), ('markus_keller', '2004-02-05 16:31:17 EST', 'martinae'), ('RESOLVED', '2004-05-25 15:53:33 EDT', 'markus.kell.r'), ('DUPLICATE', '2004-05-25 15:53:33 EDT', 'markus.kell.r')]</t>
  </si>
  <si>
    <t>2004-01-12 06:52:20 EST</t>
  </si>
  <si>
    <t>2004-01-08 14:22 EST</t>
  </si>
  <si>
    <t>2004-01-12 06:32:56 EST</t>
  </si>
  <si>
    <t>[('CREATED', '2004-01-08 14:22 EST'), ('markus_keller', '2004-01-12 06:32:56 EST', 'dirk_baeumer'), ('wrong-sounding phrase in string externalization dialog [refactoring] [nls]', '2004-01-12 06:32:56 EST', 'dirk_baeumer'), ('RESOLVED', '2004-01-12 06:52:20 EST', 'markus.kell.r'), ('FIXED', '2004-01-12 06:52:20 EST', 'markus.kell.r'), ('3.0 M7', '2004-01-12 06:52:20 EST', 'markus.kell.r')]</t>
  </si>
  <si>
    <t>2004-05-11 10:04:27 EDT</t>
  </si>
  <si>
    <t>2004-01-09 10:38 EST</t>
  </si>
  <si>
    <t>2004-01-09 10:38:16 EST</t>
  </si>
  <si>
    <t>[('CREATED', '2004-01-09 10:38 EST'), ('3.0 M7', '2004-01-09 10:38:16 EST', 'dirk_baeumer'), ('3.0 M8', '2004-01-30 06:40:03 EST', 'markus.kell.r'), ('3.0 M9', '2004-03-18 16:45:44 EST', 'markus.kell.r'), ('RESOLVED', '2004-05-11 10:04:27 EDT', 'markus.kell.r'), ('FIXED', '2004-05-11 10:04:27 EDT', 'markus.kell.r')]</t>
  </si>
  <si>
    <t>49994</t>
  </si>
  <si>
    <t>2004-05-14 09:14:23 EDT</t>
  </si>
  <si>
    <t>2004-01-09 11:36 EST</t>
  </si>
  <si>
    <t>2004-01-09 12:57:28 EST</t>
  </si>
  <si>
    <t>[('CREATED', '2004-01-09 11:36 EST'), ('markus_keller', '2004-01-09 12:57:28 EST', 'dirk_baeumer'), ('3.0', '2004-01-09 12:57:28 EST', 'dirk_baeumer'), ('49994', '2004-01-20 08:54:03 EST', 'markus.kell.r'), ('ASSIGNED', '2004-01-20 08:54:03 EST', 'markus.kell.r'), ('RESOLVED', '2004-05-14 09:14:23 EDT', 'markus.kell.r'), ('FIXED', '2004-05-14 09:14:23 EDT', 'markus.kell.r'), ('3.0 M9', '2004-05-14 09:14:23 EDT', 'markus.kell.r')]</t>
  </si>
  <si>
    <t>2004-03-22 05:14:09 EST</t>
  </si>
  <si>
    <t>2004-01-09 16:06 EST</t>
  </si>
  <si>
    <t>2004-01-09 16:06:58 EST</t>
  </si>
  <si>
    <t>[('CREATED', '2004-01-09 16:06 EST'), ('performance', '2004-01-09 16:06:58 EST', 'grant_gayed'), ('tip', '2004-01-12 05:37:19 EST', 'dirk_baeumer'), ('P2', '2004-01-12 05:37:19 EST', 'dirk_baeumer'), ('Generalize Type refactoring leaks a GC [refactoring]', '2004-01-12 05:37:19 EST', 'dirk_baeumer'), ('3.0 M7', '2004-01-12 05:37:19 EST', 'dirk_baeumer'), ('3.0 M8', '2004-02-13 04:37:55 EST', 'dirk_baeumer'), ('3.0 M9', '2004-03-19 21:44:01 EST', 'tip'), ('dirk_baeumer', '2004-03-22 05:13:25 EST', 'dirk_baeumer'), ('3.0 M8', '2004-03-22 05:13:25 EST', 'dirk_baeumer'), ('FIXED', '2004-03-22 05:14:09 EST', 'dirk_baeumer'), ('RESOLVED', '2004-03-22 05:14:09 EST', 'dirk_baeumer')]</t>
  </si>
  <si>
    <t>2004-01-14 05:48:05 EST</t>
  </si>
  <si>
    <t>2004-01-12 05:50 EST</t>
  </si>
  <si>
    <t>2004-01-12 08:58:19 EST</t>
  </si>
  <si>
    <t>2004-01-14 05:48:31 EST</t>
  </si>
  <si>
    <t>[('CREATED', '2004-01-12 05:50 EST'), ('jdt-ui-inbox', '2004-01-12 08:58:19 EST', 'Olivier_Thomann'), ('UI', '2004-01-12 08:58:19 EST', 'Olivier_Thomann'), ('markus_keller', '2004-01-14 04:48:56 EST', 'martinae'), ('refactoring "Convert local variable to field" is buggy for arrays [refactoring]', '2004-01-14 04:48:56 EST', 'martinae'), ('RESOLVED', '2004-01-14 05:48:05 EST', 'markus.kell.r'), ('FIXED', '2004-01-14 05:48:05 EST', 'markus.kell.r'), ('3.0 M7', '2004-01-14 05:48:31 EST', 'markus.kell.r')]</t>
  </si>
  <si>
    <t>2004-02-12 12:05:47 EST</t>
  </si>
  <si>
    <t>2004-02-12 12:06:29 EST</t>
  </si>
  <si>
    <t>2004-01-14 05:31 EST</t>
  </si>
  <si>
    <t>2004-01-14 06:35:50 EST</t>
  </si>
  <si>
    <t>[('CREATED', '2004-01-14 05:31 EST'), ('markus_keller', '2004-01-14 06:35:50 EST', 'martinae'), ('49994', '2004-01-14 12:16:50 EST', 'markus.kell.r'), ('3.0 M7', '2004-01-14 12:16:50 EST', 'markus.kell.r'), ('RESOLVED', '2004-02-12 12:05:47 EST', 'markus.kell.r'), ('FIXED', '2004-02-12 12:05:47 EST', 'markus.kell.r'), ('VERIFIED', '2004-02-12 12:06:29 EST', 'markus.kell.r')]</t>
  </si>
  <si>
    <t>2004-01-14 17:12 EST</t>
  </si>
  <si>
    <t>2004-01-15 04:59:06 EST</t>
  </si>
  <si>
    <t>2007-06-14 10:43:29 EDT</t>
  </si>
  <si>
    <t>[('CREATED', '2004-01-14 17:12 EST'), ('jdt-ui-inbox', '2004-01-15 04:59:06 EST', 'daniel_megert'), ('UI', '2004-01-15 04:59:06 EST', 'daniel_megert'), ('ASSIGNED', '2004-01-16 07:17:29 EST', 'martinae'), ('mlists', '2006-01-17 04:42:29 EST', 'mlists'), ('tobias_widmer', '2006-01-17 05:05:06 EST', 'martinae'), ('NEW', '2006-01-17 05:05:06 EST', 'martinae'), ('[generate delegate] grouping like override method [code generation]', '2006-05-29 05:53:38 EDT', 'tobias_widmer'), ('jdt-ui-inbox', '2007-06-14 10:43:29 EDT', 'martinae')]</t>
  </si>
  <si>
    <t>RESOLVED  DUPLICATE  of bug 23889</t>
  </si>
  <si>
    <t>2004-01-19 03:55:38 EST</t>
  </si>
  <si>
    <t>2004-01-16 10:12 EST</t>
  </si>
  <si>
    <t>2004-01-17 17:54:50 EST</t>
  </si>
  <si>
    <t>[('CREATED', '2004-01-16 10:12 EST'), ('jdt-ui-inbox', '2004-01-17 17:54:50 EST', 'Olivier_Thomann'), ('UI', '2004-01-17 17:54:50 EST', 'Olivier_Thomann'), ('RESOLVED', '2004-01-19 03:55:38 EST', 'martinae'), ('DUPLICATE', '2004-01-19 03:55:38 EST', 'martinae')]</t>
  </si>
  <si>
    <t>2006-04-07 07:05:51 EDT</t>
  </si>
  <si>
    <t>2004-01-16 11:14 EST</t>
  </si>
  <si>
    <t>2004-01-19 05:26:52 EST</t>
  </si>
  <si>
    <t>[('CREATED', '2004-01-16 11:14 EST'), ('dirk_baeumer', '2004-01-19 05:26:52 EST', 'martinae'), ('[refactoring] [inline] inline static method fails to qualify access to field', '2006-04-05 14:21:03 EDT', 'dirk_baeumer'), ('RESOLVED', '2006-04-07 07:05:51 EDT', 'dirk_baeumer'), ('FIXED', '2006-04-07 07:05:51 EDT', 'dirk_baeumer'), ('3.2 RC1', '2006-04-07 07:05:51 EDT', 'dirk_baeumer')]</t>
  </si>
  <si>
    <t>57641 273420 (view as bug list)</t>
  </si>
  <si>
    <t>2019-05-12 13:01:43 EDT</t>
  </si>
  <si>
    <t>2004-01-16 15:01 EST</t>
  </si>
  <si>
    <t>2004-01-16 17:08:29 EST</t>
  </si>
  <si>
    <t>[('CREATED', '2004-01-16 15:01 EST'), ('jdt-ui-inbox', '2004-01-16 17:08:29 EST', 'dj.houghton'), ('UI', '2004-01-16 17:08:29 EST', 'dj.houghton'), ('JDT', '2004-01-16 17:08:29 EST', 'dj.houghton'), ('dirk_baeumer', '2004-01-19 13:18:08 EST', 'martinae'), ('markus_keller', '2004-06-01 05:55:52 EDT', 'markus.kell.r'), ('jdt-ui-inbox', '2006-04-05 14:22:44 EDT', 'dirk_baeumer'), ('tobias_widmer', '2006-04-07 10:04:28 EDT', 'martinae'), ("[reorg delete] Can't delete a linked folder that points to a non-existant directory on disk", '2006-04-07 10:04:28 EDT', 'martinae'), ('[reorg] cannot delete a linked folder that points to a non-existant directory on disk [refactoring]', '2006-05-29 05:54:18 EDT', 'tobias_widmer'), ('Ferdinand.Albrecht', '2007-03-29 04:32:40 EDT', 'markus.kell.r'), ('jdt-ui-inbox', '2007-06-14 10:47:01 EDT', 'martinae'), ('daniel_megert', '2009-04-27 09:05:22 EDT', 'daniel_megert'), ('ASSIGNED', '2009-04-27 09:05:22 EDT', 'daniel_megert'), ('All', '2009-04-27 09:05:22 EDT', 'daniel_megert'), ('All', '2009-04-27 09:05:22 EDT', 'daniel_megert'), ('peter.van.der.vossen', '2009-04-27 09:05:34 EDT', 'daniel_megert'), ('stalebug', '2019-05-10 13:39:35 EDT', 'genie'), ('RESOLVED', '2019-05-12 13:01:43 EDT', 'daniel_megert'), (nan, '2019-05-12 13:01:43 EDT', 'daniel_megert'), ('WORKSFORME', '2019-05-12 13:01:43 EDT', 'daniel_megert')]</t>
  </si>
  <si>
    <t>2004-01-22 13:11:18 EST</t>
  </si>
  <si>
    <t>2009-08-30 02:14:15 EDT</t>
  </si>
  <si>
    <t>2004-01-20 23:41 EST</t>
  </si>
  <si>
    <t>2004-01-22 05:05:03 EST</t>
  </si>
  <si>
    <t>[('CREATED', '2004-01-20 23:41 EST'), ('dirk_baeumer', '2004-01-22 05:05:03 EST', 'martinae'), ('jdt-ui-inbox', '2004-01-22 13:10:58 EST', 'dirk_baeumer'), ('P5', '2004-01-22 13:10:58 EST', 'dirk_baeumer'), ('RESOLVED', '2004-01-22 13:11:18 EST', 'dirk_baeumer'), ('LATER', '2004-01-22 13:11:18 EST', 'dirk_baeumer'), ('WONTFIX', '2009-08-30 02:14:15 EDT', 'denis.roy')]</t>
  </si>
  <si>
    <t>2004-03-19 06:22:40 EST</t>
  </si>
  <si>
    <t>2004-01-26 08:45:57 EST</t>
  </si>
  <si>
    <t>2004-01-21 09:46 EST</t>
  </si>
  <si>
    <t>2004-01-22 04:48:02 EST</t>
  </si>
  <si>
    <t>[('CREATED', '2004-01-21 09:46 EST'), ('RESOLVED', '2004-01-22 04:48:02 EST', 'martinae'), ('WORKSFORME', '2004-01-22 04:48:02 EST', 'martinae'), ('---', '2004-01-26 08:45:57 EST', 'eclipse'), ('daniel_megert', '2004-01-26 08:45:57 EST', 'eclipse'), ('REOPENED', '2004-01-26 08:45:57 EST', 'eclipse'), ('All', '2004-01-26 08:45:57 EST', 'eclipse'), ('martin_aeschlimann', '2004-01-28 11:44:27 EST', 'martinae'), ('NEW', '2004-01-28 11:44:27 EST', 'martinae'), ('RESOLVED', '2004-03-19 06:22:40 EST', 'martinae'), ('WORKSFORME', '2004-03-19 06:22:40 EST', 'martinae')]</t>
  </si>
  <si>
    <t>54620 (view as bug list)</t>
  </si>
  <si>
    <t>2004-03-11 06:56:27 EST</t>
  </si>
  <si>
    <t>2004-01-23 15:44 EST</t>
  </si>
  <si>
    <t>2004-01-23 15:51:27 EST</t>
  </si>
  <si>
    <t>2004-03-15 06:33:24 EST</t>
  </si>
  <si>
    <t>[('CREATED', '2004-01-23 15:44 EST'), ('jdt-ui-inbox', '2004-01-23 15:51:27 EST', 'philippe_mulet'), ('UI', '2004-01-23 15:51:27 EST', 'philippe_mulet'), ('dirk_baeumer', '2004-01-26 13:45:33 EST', 'martinae'), ('markus_keller', '2004-01-27 17:40:26 EST', 'dirk_baeumer'), ('P2', '2004-01-27 17:40:26 EST', 'dirk_baeumer'), ('3.0', '2004-01-27 17:40:26 EST', 'dirk_baeumer'), ('RESOLVED', '2004-03-11 06:56:27 EST', 'markus.kell.r'), ('FIXED', '2004-03-11 06:56:27 EST', 'markus.kell.r'), ('3.0 M8', '2004-03-11 06:56:27 EST', 'markus.kell.r'), ('eclipse-bugs', '2004-03-15 06:33:24 EST', 'markus.kell.r')]</t>
  </si>
  <si>
    <t>89942 184558 196648 (view as bug list)</t>
  </si>
  <si>
    <t>2009-08-03 15:01:32 EDT</t>
  </si>
  <si>
    <t>2009-08-04 06:40:03 EDT</t>
  </si>
  <si>
    <t>2004-01-26 09:45 EST</t>
  </si>
  <si>
    <t>2004-01-26 13:24:40 EST</t>
  </si>
  <si>
    <t>[('CREATED', '2004-01-26 09:45 EST'), ('dirk_baeumer', '2004-01-26 13:24:40 EST', 'martinae'), ('[refactoring] [extract method] Name ambigous return value in error message at method extraction', '2006-04-05 14:23:08 EDT', 'dirk_baeumer'), ('[extract method] Name ambigous return value in error message', '2006-06-02 06:11:31 EDT', 'martinae'), ('jdt-ui-inbox', '2006-06-02 06:11:31 EDT', 'martinae'), ('markus_keller', '2009-06-18 19:00:23 EDT', 'b.muskalla'), ('bmuskalla', '2009-06-18 19:00:23 EDT', 'b.muskalla'), ('konigsberg', '2009-06-21 16:58:58 EDT', 'markus.kell.r'), ('mikepschneider', '2009-06-21 17:02:22 EDT', 'markus.kell.r'), ('thorbjoern', '2009-08-03 14:12:21 EDT', 'markus.kell.r'), ('RESOLVED', '2009-08-03 15:01:32 EDT', 'markus.kell.r'), ('FIXED', '2009-08-03 15:01:32 EDT', 'markus.kell.r'), ('[extract method] Name ambiguous return value in error message', '2009-08-03 15:01:32 EDT', 'markus.kell.r'), ('3.6 M1', '2009-08-03 15:01:32 EDT', 'markus.kell.r'), ('iplog+', '2009-08-03 15:01:40 EDT', 'markus.kell.r'), ('raksha.vasisht', '2009-08-04 05:51:20 EDT', 'raksha.vasisht'), ('VERIFIED', '2009-08-04 06:40:03 EDT', 'markus.kell.r')]</t>
  </si>
  <si>
    <t>2004-02-04 19:44:25 EST</t>
  </si>
  <si>
    <t>2004-01-26 13:34 EST</t>
  </si>
  <si>
    <t>2004-01-26 13:50:36 EST</t>
  </si>
  <si>
    <t>[('CREATED', '2004-01-26 13:34 EST'), ('dirk_baeumer', '2004-01-26 13:50:36 EST', 'martinae'), ('RESOLVED', '2004-02-04 19:44:25 EST', 'dirk_baeumer'), ('FIXED', '2004-02-04 19:44:25 EST', 'dirk_baeumer')]</t>
  </si>
  <si>
    <t>2004-02-13 04:34:51 EST</t>
  </si>
  <si>
    <t>2004-01-27 02:43 EST</t>
  </si>
  <si>
    <t>[('CREATED', '2004-01-27 02:43 EST'), ('RESOLVED', '2004-02-13 04:34:51 EST', 'dirk_baeumer'), ('FIXED', '2004-02-13 04:34:51 EST', 'dirk_baeumer')]</t>
  </si>
  <si>
    <t>2004-02-12 13:11:25 EST</t>
  </si>
  <si>
    <t>2004-01-27 09:23 EST</t>
  </si>
  <si>
    <t>2004-01-27 14:20:00 EST</t>
  </si>
  <si>
    <t>[('CREATED', '2004-01-27 09:23 EST'), ('tip', '2004-01-27 14:20:00 EST', 'akiezun'), ('dirk_baeumer', '2004-01-28 11:40:01 EST', 'martinae'), ('RESOLVED', '2004-02-12 13:11:25 EST', 'dirk_baeumer'), ('FIXED', '2004-02-12 13:11:25 EST', 'dirk_baeumer')]</t>
  </si>
  <si>
    <t>138130 (view as bug list)</t>
  </si>
  <si>
    <t>2004-01-28 11:24:13 EST</t>
  </si>
  <si>
    <t>2009-08-30 02:23:09 EDT</t>
  </si>
  <si>
    <t>2004-01-28 06:25 EST</t>
  </si>
  <si>
    <t>2012-07-09 14:42:50 EDT</t>
  </si>
  <si>
    <t>[('CREATED', '2004-01-28 06:25 EST'), ('RESOLVED', '2004-01-28 11:24:13 EST', 'martinae'), ('LATER', '2004-01-28 11:24:13 EST', 'martinae'), ('martin_aeschlimann', '2004-01-28 11:24:31 EST', 'martinae'), ('WONTFIX', '2009-08-30 02:23:09 EDT', 'denis.roy'), ('andy', '2012-07-09 14:42:50 EDT', 'markus.kell.r')]</t>
  </si>
  <si>
    <t>69047 (view as bug list)</t>
  </si>
  <si>
    <t>2006-07-21 14:09:29 EDT</t>
  </si>
  <si>
    <t>2004-01-29 04:48 EST</t>
  </si>
  <si>
    <t>2004-01-29 05:35:13 EST</t>
  </si>
  <si>
    <t>[('CREATED', '2004-01-29 04:48 EST'), ('erich_gamma', '2004-01-29 05:35:13 EST', 'martinae'), ("Show In Package Explorer doesn't work for CUs not on classpath [package explorer]", '2004-01-29 05:35:13 EST', 'martinae'), ('akiezun', '2004-06-30 13:40:07 EDT', 'dirk_baeumer'), ('3.2', '2005-07-20 10:45:17 EDT', 'markus.kell.r'), ('markus_keller', '2005-07-20 10:45:17 EDT', 'markus.kell.r'), ('ASSIGNED', '2006-04-28 10:16:59 EDT', 'markus.kell.r'), ('3.3', '2006-04-28 10:16:59 EDT', 'markus.kell.r'), ("[package explorer] Show In Package Explorer doesn't work for CUs not on classpath", '2006-06-08 11:31:45 EDT', 'markus.kell.r'), ('RESOLVED', '2006-07-21 14:09:29 EDT', 'markus.kell.r'), ('FIXED', '2006-07-21 14:09:29 EDT', 'markus.kell.r')]</t>
  </si>
  <si>
    <t>2020-03-12 07:44:43 EDT</t>
  </si>
  <si>
    <t>2004-01-29 10:04 EST</t>
  </si>
  <si>
    <t>2004-01-30 06:18:26 EST</t>
  </si>
  <si>
    <t>[('CREATED', '2004-01-29 10:04 EST'), ('jdt-ui-inbox', '2004-01-30 06:18:26 EST', 'daniel_megert'), ('UI', '2004-01-30 06:18:26 EST', 'daniel_megert'), ('markus_keller', '2004-02-09 09:44:09 EST', 'martinae'), ('tobias_widmer', '2006-08-03 10:05:19 EDT', 'martinae'), ('[reorg] constructor not visible after class move / refactoring', '2006-08-03 10:05:19 EDT', 'martinae'), ('jdt-ui-inbox', '2007-06-14 10:47:09 EDT', 'martinae'), ('CLOSED', '2020-03-12 07:44:43 EDT', 'genie'), ('stalebug', '2020-03-12 07:44:43 EDT', 'genie'), ('WONTFIX', '2020-03-12 07:44:43 EDT', 'genie')]</t>
  </si>
  <si>
    <t>2004-05-12 11:02:33 EDT</t>
  </si>
  <si>
    <t>2004-01-29 15:01 EST</t>
  </si>
  <si>
    <t>2004-02-09 09:44:57 EST</t>
  </si>
  <si>
    <t>[('CREATED', '2004-01-29 15:01 EST'), ('markus_keller', '2004-02-09 09:44:57 EST', 'martinae'), ('major', '2004-02-09 09:44:57 EST', 'martinae'), ('ASSIGNED', '2004-02-11 11:12:03 EST', 'markus.kell.r'), ('3.0 M8', '2004-02-11 11:12:03 EST', 'markus.kell.r'), ('3.0 M9', '2004-03-18 16:45:45 EST', 'markus.kell.r'), ('RESOLVED', '2004-05-12 11:02:33 EDT', 'markus.kell.r'), ('FIXED', '2004-05-12 11:02:33 EDT', 'markus.kell.r')]</t>
  </si>
  <si>
    <t>2004-05-12 05:12:27 EDT</t>
  </si>
  <si>
    <t>2004-01-29 23:03 EST</t>
  </si>
  <si>
    <t>2004-02-02 21:27:22 EST</t>
  </si>
  <si>
    <t>[('CREATED', '2004-01-29 23:03 EST'), ('markus_keller', '2004-02-02 21:27:22 EST', 'dirk_baeumer'), ('Rename Local Variable refactoring should offer to update Javadoc comments [refactoring]', '2004-02-02 21:27:22 EST', 'dirk_baeumer'), ('ASSIGNED', '2004-04-15 10:17:37 EDT', 'markus.kell.r'), ('3.0', '2004-04-15 10:17:37 EDT', 'markus.kell.r'), ('---', '2004-04-27 08:47:46 EDT', 'dirk_baeumer'), ('RESOLVED', '2004-05-12 05:12:27 EDT', 'markus.kell.r'), ('FIXED', '2004-05-12 05:12:27 EDT', 'markus.kell.r'), ('3.0 M9', '2004-05-12 05:12:27 EDT', 'markus.kell.r')]</t>
  </si>
  <si>
    <t>2004-02-23 14:58:00 EST</t>
  </si>
  <si>
    <t>2004-01-30 10:23 EST</t>
  </si>
  <si>
    <t>[('CREATED', '2004-01-30 10:23 EST'), ('RESOLVED', '2004-02-23 14:58:00 EST', 'markus.kell.r'), ('FIXED', '2004-02-23 14:58:00 EST', 'markus.kell.r'), ('3.0 M8', '2004-02-23 14:58:00 EST', 'markus.kell.r')]</t>
  </si>
  <si>
    <t>RESOLVED  DUPLICATE  of bug 41903</t>
  </si>
  <si>
    <t>2004-01-30 13:59 EST</t>
  </si>
  <si>
    <t>2004-02-05 13:47:59 EST</t>
  </si>
  <si>
    <t>[('CREATED', '2004-01-30 13:59 EST'), ('"Use supertype ..." doesn\'t seem to consider inherited methods [refafactoring]', '2004-02-05 13:47:59 EST', 'steimann'), ('"Use supertype ..." doesn\'t seem to consider inherited methods [refactoring]', '2004-02-05 13:51:38 EST', 'steimann'), ('akiezun', '2004-02-09 09:41:15 EST', 'martinae'), ('dirk_baeumer', '2004-02-16 08:40:53 EST', 'martinae'), ('markus_keller', '2004-07-08 06:55:49 EDT', 'markus.kell.r'), ('DUPLICATE', '2004-07-08 06:59:16 EDT', 'markus.kell.r'), ('3.1', '2004-07-08 06:59:16 EDT', 'markus.kell.r'), ('RESOLVED', '2004-07-08 06:59:16 EDT', 'markus.kell.r')]</t>
  </si>
  <si>
    <t>2004-02-12 07:00:36 EST</t>
  </si>
  <si>
    <t>2004-02-12 07:01:08 EST</t>
  </si>
  <si>
    <t>2004-01-30 14:32 EST</t>
  </si>
  <si>
    <t>2004-01-30 15:34:26 EST</t>
  </si>
  <si>
    <t>[('CREATED', '2004-01-30 14:32 EST'), ('major', '2004-01-30 15:34:26 EST', 'pombredanne'), ('P1', '2004-01-30 15:34:26 EST', 'pombredanne'), ('3.0 M6', '2004-01-30 15:34:26 EST', 'pombredanne'), ('jdt-ui-inbox', '2004-01-30 18:55:56 EST', 'philippe_mulet'), ('UI', '2004-01-30 18:55:56 EST', 'philippe_mulet'), ('akiezun', '2004-01-31 00:11:08 EST', 'akiezun'), ('P3', '2004-01-31 00:11:08 EST', 'akiezun'), ('---', '2004-01-31 00:11:08 EST', 'akiezun'), ('1', '2004-02-04 11:46:53 EST', 'pombredanne'), ('3.0M6 - Refactor rename for class members ignore non java files, and java files which are not in the same source folder.', '2004-02-04 11:55:55 EST', 'pombredanne'), ('dirk_baeumer', '2004-02-05 12:34:58 EST', 'martinae'), ('markus_keller', '2004-02-11 11:07:19 EST', 'markus.kell.r'), ('RESOLVED', '2004-02-12 07:00:36 EST', 'markus.kell.r'), ('FIXED', '2004-02-12 07:00:36 EST', 'markus.kell.r'), ('VERIFIED', '2004-02-12 07:01:08 EST', 'markus.kell.r')]</t>
  </si>
  <si>
    <t>2004-02-05 16:57:48 EST</t>
  </si>
  <si>
    <t>2004-01-30 17:31 EST</t>
  </si>
  <si>
    <t>[('CREATED', '2004-01-30 17:31 EST'), ('RESOLVED', '2004-02-05 16:57:48 EST', 'martinae'), ('WORKSFORME', '2004-02-05 16:57:48 EST', 'martinae')]</t>
  </si>
  <si>
    <t>2004-07-08 07:09:00 EDT</t>
  </si>
  <si>
    <t>2004-02-01 02:22 EST</t>
  </si>
  <si>
    <t>2004-02-01 02:27:12 EST</t>
  </si>
  <si>
    <t>[('CREATED', '2004-02-01 02:22 EST'), ('akiezun', '2004-02-01 02:27:12 EST', 'steimann'), ('"Use supertype ..." does not use supertype [refactoring]', '2004-02-03 20:04:16 EST', 'dirk_baeumer'), ('dirk_baeumer', '2004-02-05 16:35:16 EST', 'martinae'), ('tip', '2004-02-05 21:12:44 EST', 'dirk_baeumer'), ('markus_keller', '2004-07-08 07:07:30 EDT', 'markus.kell.r'), ('DUPLICATE', '2004-07-08 07:09:00 EDT', 'markus.kell.r'), ('RESOLVED', '2004-07-08 07:09:00 EDT', 'markus.kell.r')]</t>
  </si>
  <si>
    <t>2004-02-03 20:05:43 EST</t>
  </si>
  <si>
    <t>2009-08-30 02:34:55 EDT</t>
  </si>
  <si>
    <t>2004-02-01 11:14 EST</t>
  </si>
  <si>
    <t>2004-02-02 04:42:54 EST</t>
  </si>
  <si>
    <t>[('CREATED', '2004-02-01 11:14 EST'), ('jdt-ui-inbox', '2004-02-02 04:42:54 EST', 'jerome_lanneluc'), ('UI', '2004-02-02 04:42:54 EST', 'jerome_lanneluc'), ('RESOLVED', '2004-02-03 20:05:43 EST', 'dirk_baeumer'), ('P4', '2004-02-03 20:05:43 EST', 'dirk_baeumer'), ('LATER', '2004-02-03 20:05:43 EST', 'dirk_baeumer'), ('What about introduce some patterns into Eclipse? [refactoring] [code manipulation]', '2004-02-03 20:05:43 EST', 'dirk_baeumer'), ('mlists', '2005-05-29 21:46:45 EDT', 'mlists'), ('WONTFIX', '2009-08-30 02:34:55 EDT', 'webmaster')]</t>
  </si>
  <si>
    <t>2004-02-13 04:38:36 EST</t>
  </si>
  <si>
    <t>2004-02-01 20:41 EST</t>
  </si>
  <si>
    <t>2004-02-01 23:34:40 EST</t>
  </si>
  <si>
    <t>[('CREATED', '2004-02-01 20:41 EST'), ('akiezun', '2004-02-01 23:34:40 EST', 'akiezun'), ('dirk_baeumer', '2004-02-05 16:46:24 EST', 'martinae'), ('RESOLVED', '2004-02-13 04:38:36 EST', 'dirk_baeumer'), ('FIXED', '2004-02-13 04:38:36 EST', 'dirk_baeumer'), ('3.0 M7', '2004-02-13 04:38:36 EST', 'dirk_baeumer')]</t>
  </si>
  <si>
    <t>51045</t>
  </si>
  <si>
    <t>2004-05-18 05:18:45 EDT</t>
  </si>
  <si>
    <t>2009-08-30 02:22:21 EDT</t>
  </si>
  <si>
    <t>2004-02-02 05:55 EST</t>
  </si>
  <si>
    <t>2004-02-02 05:56:13 EST</t>
  </si>
  <si>
    <t>[('CREATED', '2004-02-02 05:55 EST'), ('51045', '2004-02-02 05:56:13 EST', 'daniel_megert'), ('dirk_baeumer', '2004-02-05 16:48:36 EST', 'martinae'), ('Delete refactoring should use scheduling rules', '2004-03-10 04:58:20 EST', 'dirk_baeumer'), ('Refactoring should use scheduling rules [refactoring]', '2004-03-22 15:27:47 EST', 'dirk_baeumer'), ('RESOLVED', '2004-05-18 05:18:45 EDT', 'dirk_baeumer'), ('LATER', '2004-05-18 05:18:45 EDT', 'dirk_baeumer'), ('WONTFIX', '2009-08-30 02:22:21 EDT', 'denis.roy'), ('jdt-ui-inbox', '2009-08-30 02:22:21 EDT', 'denis.roy')]</t>
  </si>
  <si>
    <t>2004-02-13 04:31:33 EST</t>
  </si>
  <si>
    <t>2004-02-02 10:25 EST</t>
  </si>
  <si>
    <t>2004-02-05 16:46:50 EST</t>
  </si>
  <si>
    <t>[('CREATED', '2004-02-02 10:25 EST'), ('dirk_baeumer', '2004-02-05 16:46:50 EST', 'martinae'), ('RESOLVED', '2004-02-13 04:31:33 EST', 'dirk_baeumer'), ('FIXED', '2004-02-13 04:31:33 EST', 'dirk_baeumer')]</t>
  </si>
  <si>
    <t>2004-02-05 16:44:24 EST</t>
  </si>
  <si>
    <t>2009-08-30 02:23:53 EDT</t>
  </si>
  <si>
    <t>2004-02-03 11:26 EST</t>
  </si>
  <si>
    <t>[('CREATED', '2004-02-03 11:26 EST'), ('RESOLVED', '2004-02-05 16:44:24 EST', 'martinae'), ('LATER', '2004-02-05 16:44:24 EST', 'martinae'), ('WONTFIX', '2009-08-30 02:23:53 EDT', 'denis.roy')]</t>
  </si>
  <si>
    <t>2006-04-05 14:24:57 EDT</t>
  </si>
  <si>
    <t>2004-02-03 11:30 EST</t>
  </si>
  <si>
    <t>2004-02-05 16:43:07 EST</t>
  </si>
  <si>
    <t>[('CREATED', '2004-02-03 11:30 EST'), ('dirk_baeumer', '2004-02-05 16:43:07 EST', 'martinae'), ('RESOLVED', '2006-04-05 14:24:57 EDT', 'dirk_baeumer'), ('WORKSFORME', '2006-04-05 14:24:57 EDT', 'dirk_baeumer')]</t>
  </si>
  <si>
    <t>2006-04-05 14:26:23 EDT</t>
  </si>
  <si>
    <t>2004-02-03 15:32 EST</t>
  </si>
  <si>
    <t>2004-02-05 16:37:48 EST</t>
  </si>
  <si>
    <t>2018-02-09 14:41:44 EST</t>
  </si>
  <si>
    <t>ericwill</t>
  </si>
  <si>
    <t>[('CREATED', '2004-02-03 15:32 EST'), ('dirk_baeumer', '2004-02-05 16:37:48 EST', 'martinae'), ('RESOLVED', '2006-04-05 14:26:23 EDT', 'dirk_baeumer'), ('WORKSFORME', '2006-04-05 14:26:23 EDT', 'dirk_baeumer'), ('530969', '2018-02-09 14:26:40 EST', 'ericwill'), (nan, '2018-02-09 14:41:44 EST', 'ericwill')]</t>
  </si>
  <si>
    <t>2004-02-08 23:41:34 EST</t>
  </si>
  <si>
    <t>2004-02-11 11:52:43 EST</t>
  </si>
  <si>
    <t>2004-02-04 10:00 EST</t>
  </si>
  <si>
    <t>2004-02-04 10:05:10 EST</t>
  </si>
  <si>
    <t>[('CREATED', '2004-02-04 10:00 EST'), ('major', '2004-02-04 10:05:10 EST', 'jerome_lanneluc'), ('dirk_baeumer', '2004-02-05 12:44:11 EST', 'martinae'), ('3.0 M7', '2004-02-05 12:44:11 EST', 'martinae'), ('RESOLVED', '2004-02-08 23:41:34 EST', 'dirk_baeumer'), ('FIXED', '2004-02-08 23:41:34 EST', 'dirk_baeumer'), ('VERIFIED', '2004-02-11 11:52:43 EST', 'tmader')]</t>
  </si>
  <si>
    <t>2004-02-09 18:01:02 EST</t>
  </si>
  <si>
    <t>2004-02-05 14:27 EST</t>
  </si>
  <si>
    <t>2004-02-09 09:38:55 EST</t>
  </si>
  <si>
    <t>[('CREATED', '2004-02-05 14:27 EST'), ('dirk_baeumer', '2004-02-09 09:38:55 EST', 'martinae'), ('RESOLVED', '2004-02-09 18:01:02 EST', 'dirk_baeumer'), ('WORKSFORME', '2004-02-09 18:01:02 EST', 'dirk_baeumer')]</t>
  </si>
  <si>
    <t>2004-02-06 11:48:15 EST</t>
  </si>
  <si>
    <t>2004-02-06 09:51 EST</t>
  </si>
  <si>
    <t>2004-02-06 11:33:59 EST</t>
  </si>
  <si>
    <t>[('CREATED', '2004-02-06 09:51 EST'), ('jdt-ui-inbox', '2004-02-06 11:33:59 EST', 'dj.houghton'), ('UI', '2004-02-06 11:33:59 EST', 'dj.houghton'), ('JDT', '2004-02-06 11:33:59 EST', 'dj.houghton'), ('RESOLVED', '2004-02-06 11:48:15 EST', 'akiezun'), ('DUPLICATE', '2004-02-06 11:48:15 EST', 'akiezun')]</t>
  </si>
  <si>
    <t>171123 (view as bug list)</t>
  </si>
  <si>
    <t>2006-05-24 15:31:33 EDT</t>
  </si>
  <si>
    <t>2009-08-30 02:15:01 EDT</t>
  </si>
  <si>
    <t>2004-02-06 10:51 EST</t>
  </si>
  <si>
    <t>2004-02-06 10:53:34 EST</t>
  </si>
  <si>
    <t>[('CREATED', '2004-02-06 10:51 EST'), ('http://pag.csail.mit.edu/~saff/continuoustesting.html', '2004-02-06 10:53:34 EST', 'david'), ('akiezun', '2004-02-06 11:27:57 EST', 'akiezun'), ('erich_gamma', '2004-02-09 09:17:32 EST', 'martinae'), ('john-mason.shackelford', '2004-02-10 18:15:54 EST', 'jpshack'), ('ed.burnette', '2004-02-13 21:59:17 EST', 'ed.burnette'), ('fg', '2004-02-21 18:19:31 EST', 'fg'), ('horst.naujoks', '2004-02-25 09:31:29 EST', 'horst.naujoks'), ('smesh', '2004-02-25 19:56:16 EST', 'Sam.Mesh'), ('andrew.ochsner', '2004-03-04 14:00:29 EST', 'andrew.ochsner'), ('jbr', '2004-03-05 10:33:22 EST', 'jbr'), ('1', '2004-03-09 18:45:21 EST', 'david'), ('gian.franco.bonini', '2004-03-10 06:09:03 EST', 'gian.franco.bonini'), ('dcorbin', '2004-03-11 07:06:53 EST', 'dcorbin'), ('carsten.behring', '2004-03-14 15:46:09 EST', 'carsten.behring'), ('tlroche', '2004-04-21 17:06:59 EDT', 'tlroche'), (nan, '2004-07-01 14:53:56 EDT', 'andrew.ochsner'), ('preuss', '2005-02-03 15:45:41 EST', 'preuss'), ('goerge', '2005-03-13 08:55:26 EST', 'goerge'), ('mlists', '2005-06-17 10:16:20 EDT', 'mlists'), ('pombredanne', '2005-11-02 22:19:48 EST', 'pombredanne'), ('eclipse', '2005-11-13 07:15:20 EST', 'g.albrecht'), (nan, '2005-11-13 08:32:38 EST', 'eclipse'), ('dcarew', '2006-05-24 01:33:26 EDT', 'dcarew'), ('jdt-ui-inbox', '2006-05-24 05:24:34 EDT', 'erich_gamma'), ('erich_gamma', '2006-05-24 05:24:34 EDT', 'erich_gamma'), ('gunnar', '2006-05-24 11:47:36 EDT', 'gunnar'), ('RESOLVED', '2006-05-24 15:31:33 EDT', 'martinae'), ('helpwanted', '2006-05-24 15:31:33 EDT', 'martinae'), ('LATER', '2006-05-24 15:31:33 EDT', 'martinae'), ('remy.suen', '2007-01-19 20:39:42 EST', 'remy.suen'), ('WONTFIX', '2009-08-30 02:15:01 EDT', 'denis.roy')]</t>
  </si>
  <si>
    <t>2004-02-12 03:49:42 EST</t>
  </si>
  <si>
    <t>2004-02-10 12:02 EST</t>
  </si>
  <si>
    <t>2004-02-11 15:33:55 EST</t>
  </si>
  <si>
    <t>[('CREATED', '2004-02-10 12:02 EST'), ('markus_keller', '2004-02-11 15:33:55 EST', 'martinae'), ('RESOLVED', '2004-02-12 03:49:42 EST', 'markus.kell.r'), ('FIXED', '2004-02-12 03:49:42 EST', 'markus.kell.r'), ('3.0 M7', '2004-02-12 03:49:42 EST', 'markus.kell.r')]</t>
  </si>
  <si>
    <t>RESOLVED  DUPLICATE  of bug 43277</t>
  </si>
  <si>
    <t>2004-02-12 04:20:30 EST</t>
  </si>
  <si>
    <t>2004-02-10 14:10 EST</t>
  </si>
  <si>
    <t>2004-02-10 15:40:37 EST</t>
  </si>
  <si>
    <t>[('CREATED', '2004-02-10 14:10 EST'), ('jdt-ui-inbox', '2004-02-10 15:40:37 EST', 'philippe_mulet'), ('UI', '2004-02-10 15:40:37 EST', 'philippe_mulet'), ('akiezun', '2004-02-11 01:01:25 EST', 'akiezun'), ('enhancement', '2004-02-11 01:01:25 EST', 'akiezun'), ('[refactoring]: Move member to new File... not available', '2004-02-11 01:01:25 EST', 'akiezun'), ('markus_keller', '2004-02-11 15:31:03 EST', 'martinae'), ('RESOLVED', '2004-02-12 04:20:30 EST', 'markus.kell.r'), ('DUPLICATE', '2004-02-12 04:20:30 EST', 'markus.kell.r')]</t>
  </si>
  <si>
    <t>51821</t>
  </si>
  <si>
    <t>2004-02-20 14:57:05 EST</t>
  </si>
  <si>
    <t>2004-03-12 05:52:17 EST</t>
  </si>
  <si>
    <t>2004-02-10 15:22 EST</t>
  </si>
  <si>
    <t>2004-02-11 15:29:11 EST</t>
  </si>
  <si>
    <t>[('CREATED', '2004-02-10 15:22 EST'), ('markus_keller', '2004-02-11 15:29:11 EST', 'martinae'), ('ASSIGNED', '2004-02-12 06:20:46 EST', 'markus.kell.r'), ('3.0', '2004-02-12 06:20:46 EST', 'markus.kell.r'), ('51821', '2004-02-12 06:20:46 EST', 'markus.kell.r'), ('RESOLVED', '2004-02-20 14:57:05 EST', 'markus.kell.r'), ('FIXED', '2004-02-20 14:57:05 EST', 'markus.kell.r'), ('3.0 M8', '2004-02-20 14:57:05 EST', 'markus.kell.r'), ('VERIFIED', '2004-03-12 05:52:17 EST', 'sdavids')]</t>
  </si>
  <si>
    <t>2004-03-22 09:59:15 EST</t>
  </si>
  <si>
    <t>2004-02-10 16:01 EST</t>
  </si>
  <si>
    <t>2004-02-10 16:25:50 EST</t>
  </si>
  <si>
    <t>[('CREATED', '2004-02-10 16:01 EST'), ('jdt-ui-inbox', '2004-02-10 16:25:50 EST', 'Olivier_Thomann'), ('UI', '2004-02-10 16:25:50 EST', 'Olivier_Thomann'), ('dirk_baeumer', '2004-02-11 15:27:02 EST', 'martinae'), ('P4', '2004-02-12 09:28:18 EST', 'dirk_baeumer'), ('"Encapuslate field" can fail when two variables in one variable declaration. [refactoring]', '2004-02-12 09:28:18 EST', 'dirk_baeumer'), ('dstalnov', '2004-02-25 10:55:56 EST', 'dstalnov'), ('1', '2004-03-16 16:04:20 EST', 'dstalnov'), ('RESOLVED', '2004-03-22 09:59:15 EST', 'dirk_baeumer'), ('FIXED', '2004-03-22 09:59:15 EST', 'dirk_baeumer'), ('3.0 M8', '2004-03-22 09:59:15 EST', 'dirk_baeumer')]</t>
  </si>
  <si>
    <t>62771 (view as bug list)</t>
  </si>
  <si>
    <t>2004-02-11 09:07 EST</t>
  </si>
  <si>
    <t>2004-02-11 09:07:30 EST</t>
  </si>
  <si>
    <t>2019-10-20 04:12:03 EDT</t>
  </si>
  <si>
    <t>[('CREATED', '2004-02-11 09:07 EST'), ('UI', '2004-02-11 09:07:30 EST', 'martinae'), ("[move static members] Code assist : shouldn't suggest binary types", '2006-08-03 10:03:23 EDT', 'martinae'), ('tobias_widmer', '2006-08-03 10:03:23 EDT', 'martinae'), ('jdt-ui-inbox', '2007-06-14 10:45:25 EDT', 'martinae'), ('stalebug', '2019-10-20 04:12:03 EDT', 'genie')]</t>
  </si>
  <si>
    <t>2006-08-03 10:02:41 EDT</t>
  </si>
  <si>
    <t>2004-05-14 13:16:58 EDT</t>
  </si>
  <si>
    <t>2004-05-24 06:02:41 EDT</t>
  </si>
  <si>
    <t>2004-02-11 11:39 EST</t>
  </si>
  <si>
    <t>2004-02-11 12:04:59 EST</t>
  </si>
  <si>
    <t>[('CREATED', '2004-02-11 11:39 EST'), ('markus_keller', '2004-02-11 12:04:59 EST', 'martinae'), ('ASSIGNED', '2004-02-11 13:00:08 EST', 'markus.kell.r'), ('3.0', '2004-02-11 13:00:08 EST', 'markus.kell.r'), ('RESOLVED', '2004-05-14 13:16:58 EDT', 'markus.kell.r'), ('DUPLICATE', '2004-05-14 13:16:58 EDT', 'markus.kell.r'), ('REOPENED', '2004-05-24 06:02:41 EDT', 'markus.kell.r'), ('P4', '2004-05-24 06:02:41 EDT', 'markus.kell.r'), ('---', '2004-05-24 06:02:41 EDT', 'markus.kell.r'), ('---', '2004-05-24 06:02:41 EDT', 'markus.kell.r'), ('ASSIGNED', '2004-05-24 06:03:36 EDT', 'markus.kell.r'), ('RESOLVED', '2006-08-03 10:02:41 EDT', 'martinae'), ('LATER', '2006-08-03 10:02:41 EDT', 'martinae'), ('[change method signature] allow to chose types when ambiguities are detected', '2006-08-03 10:02:41 EDT', 'martinae'), ('WONTFIX', '2009-08-30 02:22:45 EDT', 'denis.roy'), ('jdt-ui-inbox', '2009-08-30 02:22:45 EDT', 'denis.roy')]</t>
  </si>
  <si>
    <t>2004-03-23 04:56:07 EST</t>
  </si>
  <si>
    <t>2009-08-30 02:05:25 EDT</t>
  </si>
  <si>
    <t>2004-02-12 06:36 EST</t>
  </si>
  <si>
    <t>2004-02-16 07:23:25 EST</t>
  </si>
  <si>
    <t>[('CREATED', '2004-02-12 06:36 EST'), ('dirk_baeumer', '2004-02-16 07:23:25 EST', 'martinae'), ('refactoring prevented because of non-existent errors [refactoring]', '2004-02-17 05:16:52 EST', 'dirk_baeumer'), ('RESOLVED', '2004-03-23 04:56:07 EST', 'dirk_baeumer'), ('P4', '2004-03-23 04:56:07 EST', 'dirk_baeumer'), ('REMIND', '2004-03-23 04:56:07 EST', 'dirk_baeumer'), ('needinfo', '2009-08-30 02:05:25 EDT', 'denis.roy'), ('INVALID', '2009-08-30 02:05:25 EDT', 'denis.roy'), ('jdt-ui-inbox', '2009-08-30 02:05:25 EDT', 'denis.roy')]</t>
  </si>
  <si>
    <t>2004-02-21 11:54:39 EST</t>
  </si>
  <si>
    <t>2009-08-30 02:42:21 EDT</t>
  </si>
  <si>
    <t>2004-02-20 15:12:27 EST</t>
  </si>
  <si>
    <t>2004-02-12 16:07 EST</t>
  </si>
  <si>
    <t>2004-02-13 04:25:56 EST</t>
  </si>
  <si>
    <t>[('CREATED', '2004-02-12 16:07 EST'), ('RESOLVED', '2004-02-13 04:25:56 EST', 'dirk_baeumer'), ('WONTFIX', '2004-02-13 04:25:56 EST', 'dirk_baeumer'), ('Refactor Rename of class members does not offer the option to update non-java files [refactoring]', '2004-02-13 04:25:56 EST', 'dirk_baeumer'), ('dirk_baeumer', '2004-02-20 15:12:27 EST', 'pombredanne'), ('REOPENED', '2004-02-20 15:12:27 EST', 'pombredanne'), ('---', '2004-02-20 15:12:27 EST', 'pombredanne'), ('enhancement', '2004-02-21 11:54:39 EST', 'dirk_baeumer'), ('RESOLVED', '2004-02-21 11:54:39 EST', 'dirk_baeumer'), ('helpwanted', '2004-02-21 11:54:39 EST', 'dirk_baeumer'), ('LATER', '2004-02-21 11:54:39 EST', 'dirk_baeumer'), ('WONTFIX', '2009-08-30 02:42:21 EDT', 'webmaster')]</t>
  </si>
  <si>
    <t>2004-02-20 14:12:17 EST</t>
  </si>
  <si>
    <t>2004-02-13 08:39 EST</t>
  </si>
  <si>
    <t>[('CREATED', '2004-02-13 08:39 EST'), ('RESOLVED', '2004-02-20 14:12:17 EST', 'martinae'), ('FIXED', '2004-02-20 14:12:17 EST', 'martinae'), ('3.0 M8', '2004-02-20 14:12:17 EST', 'martinae')]</t>
  </si>
  <si>
    <t>2004-05-12 11:52:57 EDT</t>
  </si>
  <si>
    <t>2004-02-13 10:17 EST</t>
  </si>
  <si>
    <t>2004-02-16 06:54:52 EST</t>
  </si>
  <si>
    <t>[('CREATED', '2004-02-13 10:17 EST'), ('markus_keller', '2004-02-16 06:54:52 EST', 'martinae'), ('RESOLVED', '2004-05-12 11:52:57 EDT', 'markus.kell.r'), ('FIXED', '2004-05-12 11:52:57 EDT', 'markus.kell.r'), ('3.0 M9', '2004-05-12 11:52:57 EDT', 'markus.kell.r')]</t>
  </si>
  <si>
    <t>2004-02-17 05:20:15 EST</t>
  </si>
  <si>
    <t>2004-02-13 10:46 EST</t>
  </si>
  <si>
    <t>2004-02-15 13:01:12 EST</t>
  </si>
  <si>
    <t>[('CREATED', '2004-02-13 10:46 EST'), ('jdt-ui-inbox', '2004-02-15 13:01:12 EST', 'Olivier_Thomann'), ('UI', '2004-02-15 13:01:12 EST', 'Olivier_Thomann'), ('dirk_baeumer', '2004-02-16 06:54:23 EST', 'martinae'), ('RESOLVED', '2004-02-17 05:20:15 EST', 'dirk_baeumer'), ('WONTFIX', '2004-02-17 05:20:15 EST', 'dirk_baeumer')]</t>
  </si>
  <si>
    <t>2004-02-16 12:07:32 EST</t>
  </si>
  <si>
    <t>2004-02-14 13:40 EST</t>
  </si>
  <si>
    <t>[('CREATED', '2004-02-14 13:40 EST'), ('RESOLVED', '2004-02-16 12:07:32 EST', 'markus.kell.r'), ('FIXED', '2004-02-16 12:07:32 EST', 'markus.kell.r'), ('3.0 M8', '2004-02-16 12:07:32 EST', 'markus.kell.r')]</t>
  </si>
  <si>
    <t>2004-02-18 04:30:52 EST</t>
  </si>
  <si>
    <t>2004-02-14 22:28 EST</t>
  </si>
  <si>
    <t>2004-02-15 13:10:04 EST</t>
  </si>
  <si>
    <t>[('CREATED', '2004-02-14 22:28 EST'), ('jdt-ui-inbox', '2004-02-15 13:10:04 EST', 'Olivier_Thomann'), ('UI', '2004-02-15 13:10:04 EST', 'Olivier_Thomann'), ('dirk_baeumer', '2004-02-16 04:33:01 EST', 'martinae'), ('major', '2004-02-16 04:33:01 EST', 'martinae'), ('P2', '2004-02-16 04:33:14 EST', 'martinae'), ('RESOLVED', '2004-02-18 04:30:52 EST', 'dirk_baeumer'), ('WORKSFORME', '2004-02-18 04:30:52 EST', 'dirk_baeumer')]</t>
  </si>
  <si>
    <t>2004-02-16 11:21:35 EST</t>
  </si>
  <si>
    <t>2004-02-15 08:08 EST</t>
  </si>
  <si>
    <t>[('CREATED', '2004-02-15 08:08 EST'), ('RESOLVED', '2004-02-16 11:21:35 EST', 'markus.kell.r'), ('FIXED', '2004-02-16 11:21:35 EST', 'markus.kell.r'), ('3.0 M8', '2004-02-16 11:21:35 EST', 'markus.kell.r')]</t>
  </si>
  <si>
    <t>RESOLVED  DUPLICATE  of bug 42439</t>
  </si>
  <si>
    <t>2005-09-16 11:21:57 EDT</t>
  </si>
  <si>
    <t>2004-02-15 09:39 EST</t>
  </si>
  <si>
    <t>2004-02-16 04:31:57 EST</t>
  </si>
  <si>
    <t>[('CREATED', '2004-02-15 09:39 EST'), ('markus_keller', '2004-02-16 04:31:57 EST', 'martinae'), ('dirk_baeumer', '2004-02-16 06:23:52 EST', 'markus.kell.r'), ('RESOLVED', '2005-09-16 11:21:57 EDT', 'markus.kell.r'), ('DUPLICATE', '2005-09-16 11:21:57 EDT', 'markus.kell.r')]</t>
  </si>
  <si>
    <t>2004-03-23 04:57:54 EST</t>
  </si>
  <si>
    <t>2009-08-30 02:37:21 EDT</t>
  </si>
  <si>
    <t>2004-02-15 09:40 EST</t>
  </si>
  <si>
    <t>2004-02-15 12:06:09 EST</t>
  </si>
  <si>
    <t>[('CREATED', '2004-02-15 09:40 EST'), ('akiezun', '2004-02-15 12:06:09 EST', 'akiezun'), ('dirk_baeumer', '2004-02-16 04:31:33 EST', 'martinae'), ('P4', '2004-02-16 05:52:01 EST', 'dirk_baeumer'), ('RESOLVED', '2004-03-23 04:57:54 EST', 'dirk_baeumer'), ('LATER', '2004-03-23 04:57:54 EST', 'dirk_baeumer'), ('jdt-ui-inbox', '2009-08-30 02:37:21 EDT', 'webmaster'), ('WONTFIX', '2009-08-30 02:37:21 EDT', 'webmaster')]</t>
  </si>
  <si>
    <t>2008-12-01 07:07:42 EST</t>
  </si>
  <si>
    <t>2004-02-16 08:20 EST</t>
  </si>
  <si>
    <t>2004-02-16 08:35:02 EST</t>
  </si>
  <si>
    <t>[('CREATED', '2004-02-16 08:20 EST'), ('markus_keller', '2004-02-16 08:35:02 EST', 'martinae'), ('wrong imports at move or pull up method [refactoring]', '2004-02-16 08:35:02 EST', 'martinae'), ('tobias_widmer', '2006-08-03 12:02:04 EDT', 'martinae'), ('[pull up] wrong imports at move or pull up method [refactoring]', '2006-08-03 12:02:04 EDT', 'martinae'), ('jdt-ui-inbox', '2007-06-14 10:46:34 EDT', 'martinae'), ('mn', '2008-11-29 17:38:26 EST', 'mn'), ('daniel_megert', '2008-12-01 07:07:42 EST', 'daniel_megert'), ('RESOLVED', '2008-12-01 07:07:42 EST', 'daniel_megert'), ('All', '2008-12-01 07:07:42 EST', 'daniel_megert'), ('All', '2008-12-01 07:07:42 EST', 'daniel_megert'), ('WORKSFORME', '2008-12-01 07:07:42 EST', 'daniel_megert')]</t>
  </si>
  <si>
    <t>2004-02-16 08:31 EST</t>
  </si>
  <si>
    <t>2004-02-16 08:34:18 EST</t>
  </si>
  <si>
    <t>2007-06-14 10:45:59 EDT</t>
  </si>
  <si>
    <t>[('CREATED', '2004-02-16 08:31 EST'), ('dirk_baeumer', '2004-02-16 08:34:18 EST', 'martinae'), ('pull-up static initializer [refactoring]', '2004-02-16 08:34:18 EST', 'martinae'), ('P4', '2004-02-17 05:15:42 EST', 'dirk_baeumer'), ('tobias_widmer', '2006-04-05 14:26:45 EDT', 'dirk_baeumer'), ('[pull up] allow pull up of static initializer [refactoring]', '2006-05-29 05:55:06 EDT', 'tobias_widmer'), ('jdt-ui-inbox', '2007-06-14 10:45:59 EDT', 'martinae')]</t>
  </si>
  <si>
    <t>2004-02-17 05:13:01 EST</t>
  </si>
  <si>
    <t>2009-08-30 02:21:49 EDT</t>
  </si>
  <si>
    <t>2004-02-16 09:30 EST</t>
  </si>
  <si>
    <t>2004-02-16 13:31:05 EST</t>
  </si>
  <si>
    <t>[('CREATED', '2004-02-16 09:30 EST'), ('dirk_baeumer', '2004-02-16 13:31:05 EST', 'martinae'), ('Support for staged refactoring [refactoring]', '2004-02-16 13:31:05 EST', 'martinae'), ('jdt-ui-inbox', '2004-02-17 05:12:43 EST', 'dirk_baeumer'), ('RESOLVED', '2004-02-17 05:13:01 EST', 'dirk_baeumer'), ('LATER', '2004-02-17 05:13:01 EST', 'dirk_baeumer'), ('WONTFIX', '2009-08-30 02:21:49 EDT', 'denis.roy')]</t>
  </si>
  <si>
    <t>2004-03-10 12:36:36 EST</t>
  </si>
  <si>
    <t>2004-03-24 04:09:15 EST</t>
  </si>
  <si>
    <t>2004-02-17 09:51 EST</t>
  </si>
  <si>
    <t>2004-02-17 12:07:06 EST</t>
  </si>
  <si>
    <t>[('CREATED', '2004-02-17 09:51 EST'), ('major', '2004-02-17 12:07:06 EST', 'nikolaymetchev'), ('markus_keller', '2004-02-18 04:42:53 EST', 'martinae'), ('critical', '2004-02-24 07:10:06 EST', 'nikolaymetchev'), ('markus_keller', '2004-02-24 14:32:52 EST', 'markus.kell.r'), ('dirk_baeumer', '2004-02-24 14:32:52 EST', 'markus.kell.r'), ('3.0', '2004-02-24 14:32:52 EST', 'markus.kell.r'), (nan, '2004-03-10 05:10:20 EST', 'dirk_baeumer'), ('markus_keller', '2004-03-10 05:10:20 EST', 'dirk_baeumer'), ('3.0 M8', '2004-03-10 05:10:20 EST', 'dirk_baeumer'), ('FIXED', '2004-03-10 12:36:36 EST', 'markus.kell.r'), ('RESOLVED', '2004-03-10 12:36:36 EST', 'markus.kell.r'), ('VERIFIED', '2004-03-24 04:09:15 EST', 'tmader')]</t>
  </si>
  <si>
    <t>52828 (view as bug list)</t>
  </si>
  <si>
    <t>2004-03-22 09:24:33 EST</t>
  </si>
  <si>
    <t>2004-03-24 09:28:56 EST</t>
  </si>
  <si>
    <t>2004-02-17 12:32 EST</t>
  </si>
  <si>
    <t>2004-02-18 04:40:50 EST</t>
  </si>
  <si>
    <t>[('CREATED', '2004-02-17 12:32 EST'), ('markus_keller', '2004-02-18 04:40:50 EST', 'martinae'), ('dirk_baeumer', '2004-02-18 06:19:57 EST', 'markus.kell.r'), ('markus_keller', '2004-02-18 08:41:41 EST', 'markus.kell.r'), ('vilmar', '2004-02-24 06:46:23 EST', 'markus.kell.r'), ('major', '2004-02-24 06:47:38 EST', 'markus.kell.r'), ('All', '2004-02-24 06:47:38 EST', 'markus.kell.r'), ('P2', '2004-02-24 06:47:38 EST', 'markus.kell.r'), ('3.0 M8', '2004-02-24 06:47:38 EST', 'markus.kell.r'), ('RESOLVED', '2004-03-22 09:24:33 EST', 'dirk_baeumer'), ('FIXED', '2004-03-22 09:24:33 EST', 'dirk_baeumer'), ('VERIFIED', '2004-03-24 09:28:56 EST', 'daniel_megert')]</t>
  </si>
  <si>
    <t>2004-02-20 14:15:23 EST</t>
  </si>
  <si>
    <t>2004-02-17 13:55 EST</t>
  </si>
  <si>
    <t>2004-02-17 22:41:33 EST</t>
  </si>
  <si>
    <t>[('CREATED', '2004-02-17 13:55 EST'), ('jdt-ui-inbox', '2004-02-17 22:41:33 EST', 'Olivier_Thomann'), ('UI', '2004-02-17 22:41:33 EST', 'Olivier_Thomann'), ('markus_keller', '2004-02-18 04:35:19 EST', 'martinae'), ('RESOLVED', '2004-02-20 14:15:23 EST', 'markus.kell.r'), ('WORKSFORME', '2004-02-20 14:15:23 EST', 'markus.kell.r'), ('3.0 M8', '2004-02-20 14:15:23 EST', 'markus.kell.r')]</t>
  </si>
  <si>
    <t>2004-02-20 09:24:48 EST</t>
  </si>
  <si>
    <t>2004-02-17 17:54 EST</t>
  </si>
  <si>
    <t>2004-02-18 04:33:43 EST</t>
  </si>
  <si>
    <t>[('CREATED', '2004-02-17 17:54 EST'), ('markus_keller', '2004-02-18 04:33:43 EST', 'martinae'), ('RESOLVED', '2004-02-20 09:24:48 EST', 'markus.kell.r'), ('FIXED', '2004-02-20 09:24:48 EST', 'markus.kell.r'), ('3.0 M8', '2004-02-20 09:24:48 EST', 'markus.kell.r')]</t>
  </si>
  <si>
    <t>2004-02-18 14:13:09 EST</t>
  </si>
  <si>
    <t>2004-02-17 19:39 EST</t>
  </si>
  <si>
    <t>2004-02-17 22:43:06 EST</t>
  </si>
  <si>
    <t>[('CREATED', '2004-02-17 19:39 EST'), ('jdt-ui-inbox', '2004-02-17 22:43:06 EST', 'Olivier_Thomann'), ('UI', '2004-02-17 22:43:06 EST', 'Olivier_Thomann'), ('markus_keller', '2004-02-18 04:30:51 EST', 'martinae'), ('dirk_baeumer', '2004-02-18 05:36:07 EST', 'markus.kell.r'), ('RESOLVED', '2004-02-18 14:13:09 EST', 'dirk_baeumer'), ('WORKSFORME', '2004-02-18 14:13:09 EST', 'dirk_baeumer')]</t>
  </si>
  <si>
    <t>2004-02-23 07:09:56 EST</t>
  </si>
  <si>
    <t>2004-02-18 06:24 EST</t>
  </si>
  <si>
    <t>2004-02-20 11:11:15 EST</t>
  </si>
  <si>
    <t>2004-02-28 01:47:35 EST</t>
  </si>
  <si>
    <t>[('CREATED', '2004-02-18 06:24 EST'), ('dirk_baeumer', '2004-02-20 11:11:15 EST', 'martinae'), ('markus_keller', '2004-02-21 11:49:51 EST', 'dirk_baeumer'), ('3.0', '2004-02-21 11:49:51 EST', 'dirk_baeumer'), ('RESOLVED', '2004-02-23 07:09:56 EST', 'markus.kell.r'), ('FIXED', '2004-02-23 07:09:56 EST', 'markus.kell.r'), ('3.0 M8', '2004-02-23 07:09:56 EST', 'markus.kell.r'), ('akiezun', '2004-02-28 01:47:35 EST', 'akiezun')]</t>
  </si>
  <si>
    <t>2004-03-15 13:56:59 EST</t>
  </si>
  <si>
    <t>2004-02-18 15:47 EST</t>
  </si>
  <si>
    <t>[('CREATED', '2004-02-18 15:47 EST'), ('RESOLVED', '2004-03-15 13:56:59 EST', 'markus.kell.r'), ('DUPLICATE', '2004-03-15 13:56:59 EST', 'markus.kell.r')]</t>
  </si>
  <si>
    <t>2006-06-02 05:35:59 EDT</t>
  </si>
  <si>
    <t>2004-02-18 15:51 EST</t>
  </si>
  <si>
    <t>2004-02-18 16:05:22 EST</t>
  </si>
  <si>
    <t>[('CREATED', '2004-02-18 15:51 EST'), ('jdt-ui-inbox', '2004-02-18 16:05:22 EST', 'Olivier_Thomann'), ('UI', '2004-02-18 16:05:22 EST', 'Olivier_Thomann'), ('dirk_baeumer', '2004-02-19 13:19:16 EST', 'martinae'), ('P4', '2004-02-21 11:43:45 EST', 'dirk_baeumer'), ('Add refactoring for creating accessor/mutators out of inst var access sites. [refactoring]', '2004-02-21 11:43:45 EST', 'dirk_baeumer'), ('martin_aeschlimann', '2004-02-21 11:44:56 EST', 'dirk_baeumer'), ('RESOLVED', '2006-06-02 05:35:59 EDT', 'martinae'), ('DUPLICATE', '2006-06-02 05:35:59 EDT', 'martinae')]</t>
  </si>
  <si>
    <t>2004-02-21 11:50:47 EST</t>
  </si>
  <si>
    <t>2009-08-30 02:21:55 EDT</t>
  </si>
  <si>
    <t>2004-02-19 16:13 EST</t>
  </si>
  <si>
    <t>2004-02-20 11:55:38 EST</t>
  </si>
  <si>
    <t>[('CREATED', '2004-02-19 16:13 EST'), ('jdt-ui-inbox', '2004-02-20 11:55:38 EST', 'Tod_Creasey'), ('JDT', '2004-02-20 11:55:38 EST', 'Tod_Creasey'), ('dirk_baeumer', '2004-02-20 11:59:11 EST', 'martinae'), ('RESOLVED', '2004-02-21 11:50:47 EST', 'dirk_baeumer'), ('P4', '2004-02-21 11:50:47 EST', 'dirk_baeumer'), ('LATER', '2004-02-21 11:50:47 EST', 'dirk_baeumer'), ('Add ability to save list of changed files [refactoring]', '2004-02-21 11:50:47 EST', 'dirk_baeumer'), ('WONTFIX', '2009-08-30 02:21:55 EDT', 'denis.roy'), ('jdt-ui-inbox', '2009-08-30 02:21:55 EDT', 'denis.roy')]</t>
  </si>
  <si>
    <t>2004-05-14 05:59:29 EDT</t>
  </si>
  <si>
    <t>2004-02-19 21:09 EST</t>
  </si>
  <si>
    <t>2004-02-20 10:09:11 EST</t>
  </si>
  <si>
    <t>[('CREATED', '2004-02-19 21:09 EST'), ('markus_keller', '2004-02-20 10:09:11 EST', 'martinae'), ('RESOLVED', '2004-05-14 05:59:29 EDT', 'markus.kell.r'), ('FIXED', '2004-05-14 05:59:29 EDT', 'markus.kell.r'), ('3.0 M9', '2004-05-14 05:59:29 EDT', 'markus.kell.r')]</t>
  </si>
  <si>
    <t>2004-03-18 08:22:24 EST</t>
  </si>
  <si>
    <t>2004-02-20 05:55 EST</t>
  </si>
  <si>
    <t>2004-02-20 06:55:35 EST</t>
  </si>
  <si>
    <t>[('CREATED', '2004-02-20 05:55 EST'), ('jdt-ui-inbox', '2004-02-20 06:55:35 EST', 'philippe_mulet'), ('UI', '2004-02-20 06:55:35 EST', 'philippe_mulet'), ('markus_keller', '2004-02-20 10:05:29 EST', 'martinae'), ('P2', '2004-02-20 10:05:41 EST', 'martinae'), ('RESOLVED', '2004-03-18 08:22:24 EST', 'markus.kell.r'), ('P3', '2004-03-18 08:22:24 EST', 'markus.kell.r'), ('WORKSFORME', '2004-03-18 08:22:24 EST', 'markus.kell.r'), ('3.0 M8', '2004-03-18 08:22:24 EST', 'markus.kell.r')]</t>
  </si>
  <si>
    <t>2004-03-11 08:08:02 EST</t>
  </si>
  <si>
    <t>2004-02-21 10:32 EST</t>
  </si>
  <si>
    <t>2004-02-23 09:24:50 EST</t>
  </si>
  <si>
    <t>[('CREATED', '2004-02-21 10:32 EST'), ('ASSIGNED', '2004-02-23 09:24:50 EST', 'markus.kell.r'), ('3.0', '2004-02-23 09:24:50 EST', 'markus.kell.r'), ('1', '2004-03-06 11:26:49 EST', 'eclipse'), ('RESOLVED', '2004-03-11 08:08:02 EST', 'eclipse'), ('WORKSFORME', '2004-03-11 08:08:02 EST', 'eclipse')]</t>
  </si>
  <si>
    <t>42248 (view as bug list)</t>
  </si>
  <si>
    <t>54431</t>
  </si>
  <si>
    <t>2004-05-07 13:56:52 EDT</t>
  </si>
  <si>
    <t>2004-09-17 11:03:15 EDT</t>
  </si>
  <si>
    <t>2004-02-22 13:18 EST</t>
  </si>
  <si>
    <t>2004-02-22 13:29:27 EST</t>
  </si>
  <si>
    <t>2004-09-17 11:03:24 EDT</t>
  </si>
  <si>
    <t>[('CREATED', '2004-02-22 13:18 EST'), ('Self Encapsulate Field; warning reported as error [refactoring]', '2004-02-22 13:29:27 EST', 'sdavids'), ('dirk_baeumer', '2004-02-22 14:17:56 EST', 'martinae'), ('P2', '2004-02-22 14:17:56 EST', 'martinae'), ('3.0 M8', '2004-02-22 14:17:56 EST', 'martinae'), ('54431', '2004-03-22 06:02:12 EST', 'dirk_baeumer'), ('rfaust', '2004-03-22 14:55:57 EST', 'dirk_baeumer'), ('markus_keller', '2004-03-23 14:13:51 EST', 'dirk_baeumer'), ('P3', '2004-03-23 14:13:51 EST', 'dirk_baeumer'), ('Check how refactorings handle non Java errors [refactoring]', '2004-03-23 14:13:51 EST', 'dirk_baeumer'), ('3.0 M9', '2004-03-23 14:13:51 EST', 'dirk_baeumer'), ('RESOLVED', '2004-05-07 13:56:52 EDT', 'dirk_baeumer'), ('FIXED', '2004-05-07 13:56:52 EDT', 'dirk_baeumer'), ('VERIFIED', '2004-09-17 11:03:15 EDT', 'sdavids'), ('CLOSED', '2004-09-17 11:03:24 EDT', 'sdavids')]</t>
  </si>
  <si>
    <t>2004-04-27 08:50:25 EDT</t>
  </si>
  <si>
    <t>2004-09-17 11:00:40 EDT</t>
  </si>
  <si>
    <t>2004-02-22 13:32 EST</t>
  </si>
  <si>
    <t>2004-02-22 14:18:29 EST</t>
  </si>
  <si>
    <t>2004-09-17 11:00:49 EDT</t>
  </si>
  <si>
    <t>[('CREATED', '2004-02-22 13:32 EST'), ('dirk_baeumer', '2004-02-22 14:18:29 EST', 'martinae'), ('3.0', '2004-03-10 05:17:53 EST', 'dirk_baeumer'), ('RESOLVED', '2004-04-27 08:50:25 EDT', 'dirk_baeumer'), ('FIXED', '2004-04-27 08:50:25 EDT', 'dirk_baeumer'), ('3.0 M9', '2004-04-27 08:50:25 EDT', 'dirk_baeumer'), ('VERIFIED', '2004-09-17 11:00:40 EDT', 'sdavids'), ('CLOSED', '2004-09-17 11:00:49 EDT', 'sdavids')]</t>
  </si>
  <si>
    <t>2004-03-08 03:54:02 EST</t>
  </si>
  <si>
    <t>2009-08-30 02:23:54 EDT</t>
  </si>
  <si>
    <t>2004-02-22 17:11 EST</t>
  </si>
  <si>
    <t>2004-03-04 06:52:08 EST</t>
  </si>
  <si>
    <t>[('CREATED', '2004-02-22 17:11 EST'), ('jdt-ui-inbox', '2004-03-04 06:52:08 EST', 'jerome_lanneluc'), ('UI', '2004-03-04 06:52:08 EST', 'jerome_lanneluc'), ('RESOLVED', '2004-03-08 03:54:02 EST', 'martinae'), ('LATER', '2004-03-08 03:54:02 EST', 'martinae'), ('WONTFIX', '2009-08-30 02:23:54 EDT', 'denis.roy')]</t>
  </si>
  <si>
    <t>10656 32996 118136 (view as bug list)</t>
  </si>
  <si>
    <t>2004-02-22 22:23 EST</t>
  </si>
  <si>
    <t>2004-02-22 22:25:20 EST</t>
  </si>
  <si>
    <t>2011-10-14 14:26:58 EDT</t>
  </si>
  <si>
    <t>milesparker</t>
  </si>
  <si>
    <t>[('CREATED', '2004-02-22 22:23 EST'), ('[Refactoring] Extract Field', '2004-02-22 22:25:20 EST', 'j.c.yip'), ('dirk_baeumer', '2004-02-24 13:13:47 EST', 'martinae'), ('P4', '2004-03-10 05:12:55 EST', 'dirk_baeumer'), ('Extract Field [refactoring]', '2004-03-10 05:12:55 EST', 'dirk_baeumer'), ('N.Metchev', '2004-06-24 07:59:34 EDT', 'nikolaymetchev'), ('eclipse', '2005-11-28 12:10:24 EST', 'martinae'), ('tobias_widmer', '2005-11-28 12:43:23 EST', 'dirk_baeumer'), ('[refactoring] Extract Field', '2005-11-28 12:43:23 EST', 'dirk_baeumer'), ('[extract field] provide new extract field refactoring [refactoring]', '2006-05-29 05:56:05 EDT', 'tobias_widmer'), ('[refactoring] [dcr] provide new extract field refactoring', '2007-06-11 04:41:12 EDT', 'martinae'), ('jdt-ui-inbox', '2007-06-11 04:41:12 EDT', 'martinae'), ('preuss', '2007-06-21 04:25:22 EDT', 'martinae'), ('alex_blewitt', '2007-06-21 04:26:20 EDT', 'martinae'), ('mlists', '2007-08-01 10:09:02 EDT', 'mlists'), ('daniel_megert', '2008-01-31 12:14:48 EST', 'daniel_megert'), ('P3', '2008-01-31 12:14:48 EST', 'daniel_megert'), ('3.4', '2008-01-31 12:14:48 EST', 'daniel_megert'), ('martin_aeschlimann', '2008-04-24 10:16:50 EDT', 'martinae'), ('3.5', '2008-04-24 10:16:50 EDT', 'martinae'), ('eclipse', '2008-08-21 02:30:50 EDT', 'eclipse'), ('ASSIGNED', '2008-08-21 03:54:10 EDT', 'daniel_megert'), ('All', '2008-08-21 03:54:10 EDT', 'daniel_megert'), ('All', '2008-08-21 03:54:10 EDT', 'daniel_megert'), ('kscheglov', '2008-10-16 04:37:43 EDT', 'Konstantin.Scheglov'), ('helpwanted', '2009-04-30 09:05:21 EDT', 'daniel_megert'), ('---', '2009-04-30 09:05:21 EDT', 'daniel_megert'), ('deepak.azad', '2010-09-25 05:29:53 EDT', 'deepakazad'), ('[refactoring] provide new extract field refactoring', '2010-11-04 06:45:04 EDT', 'daniel_megert'), ('milesparker', '2011-10-14 14:26:58 EDT', 'milesparker')]</t>
  </si>
  <si>
    <t>2004-02-25 09:34:32 EST</t>
  </si>
  <si>
    <t>2004-02-24 06:37 EST</t>
  </si>
  <si>
    <t>2004-02-24 12:44:05 EST</t>
  </si>
  <si>
    <t>[('CREATED', '2004-02-24 06:37 EST'), ('daniel_megert', '2004-02-24 12:44:05 EST', 'martinae'), ('ASSIGNED', '2004-02-24 12:55:32 EST', 'daniel_megert'), ('P2', '2004-02-24 12:55:32 EST', 'daniel_megert'), ('3.0 M8', '2004-02-24 12:55:32 EST', 'daniel_megert'), ('RESOLVED', '2004-02-25 09:34:32 EST', 'daniel_megert'), ('FIXED', '2004-02-25 09:34:32 EST', 'daniel_megert')]</t>
  </si>
  <si>
    <t>RESOLVED  DUPLICATE  of bug 49041</t>
  </si>
  <si>
    <t>53203 (view as bug list)</t>
  </si>
  <si>
    <t>2004-03-03 12:49:00 EST</t>
  </si>
  <si>
    <t>2004-02-24 09:20 EST</t>
  </si>
  <si>
    <t>2004-02-24 12:42:39 EST</t>
  </si>
  <si>
    <t>[('CREATED', '2004-02-24 09:20 EST'), ('Thomas_Maeder', '2004-02-24 12:42:39 EST', 'martinae'), ('swijenay', '2004-02-26 14:06:19 EST', 'martinae'), ('P2', '2004-03-03 12:23:40 EST', 'tmader'), ('RESOLVED', '2004-03-03 12:49:00 EST', 'tmader'), ('DUPLICATE', '2004-03-03 12:49:00 EST', 'tmader')]</t>
  </si>
  <si>
    <t>53023 53460 (view as bug list)</t>
  </si>
  <si>
    <t>2004-05-07 12:21:43 EDT</t>
  </si>
  <si>
    <t>2004-02-24 10:22 EST</t>
  </si>
  <si>
    <t>2004-02-24 11:35:54 EST</t>
  </si>
  <si>
    <t>[('CREATED', '2004-02-24 10:22 EST'), ('markus_keller', '2004-02-24 11:35:54 EST', 'tmader'), ('marco_buettner_huisman', '2004-02-25 05:20:52 EST', 'marco_buettner_huisman'), ('philippe_mulet', '2004-02-25 07:00:53 EST', 'erich_gamma'), ('erich_gamma', '2004-02-25 12:28:08 EST', 'erich_gamma'), ('nick_edgar', '2004-03-04 04:51:33 EST', 'tmader'), ('farrellp, bso', '2004-04-13 14:11:02 EDT', 'bso'), ('P2', '2004-04-29 04:11:21 EDT', 'tmader'), ('RESOLVED', '2004-05-07 12:21:43 EDT', 'tmader'), ('FIXED', '2004-05-07 12:21:43 EDT', 'tmader')]</t>
  </si>
  <si>
    <t>2004-05-11 06:32:38 EDT</t>
  </si>
  <si>
    <t>2009-08-30 02:24:28 EDT</t>
  </si>
  <si>
    <t>2004-02-26 12:56 EST</t>
  </si>
  <si>
    <t>2004-02-27 04:33:50 EST</t>
  </si>
  <si>
    <t>[('CREATED', '2004-02-26 12:56 EST'), ('martin_aeschlimann', '2004-02-27 04:33:50 EST', 'martinae'), ('flip an if statement [quick assist]', '2004-02-27 04:33:50 EST', 'martinae'), ('RESOLVED', '2004-05-11 06:32:38 EDT', 'martinae'), ('LATER', '2004-05-11 06:32:38 EDT', 'martinae'), ('WONTFIX', '2009-08-30 02:24:28 EDT', 'denis.roy'), ('jdt-ui-inbox', '2009-08-30 02:24:28 EDT', 'denis.roy')]</t>
  </si>
  <si>
    <t>2004-02-27 05:09:58 EST</t>
  </si>
  <si>
    <t>2004-02-26 14:37 EST</t>
  </si>
  <si>
    <t>[('CREATED', '2004-02-26 14:37 EST'), ('RESOLVED', '2004-02-27 05:09:58 EST', 'martinae'), ('FIXED', '2004-02-27 05:09:58 EST', 'martinae'), ('3.0 M8', '2004-02-27 05:09:58 EST', 'martinae')]</t>
  </si>
  <si>
    <t>2004-03-10 21:20:11 EST</t>
  </si>
  <si>
    <t>2004-02-26 17:22 EST</t>
  </si>
  <si>
    <t>2004-02-27 05:21:50 EST</t>
  </si>
  <si>
    <t>j.c.yip</t>
  </si>
  <si>
    <t>[('CREATED', '2004-02-26 17:22 EST'), ('dirk_baeumer', '2004-02-27 05:21:50 EST', 'martinae'), ('Encapsulate Field does not update references for public fields [refactoring]', '2004-03-10 04:49:30 EST', 'dirk_baeumer'), ('3.0', '2004-03-10 04:49:30 EST', 'dirk_baeumer'), ('RESOLVED', '2004-03-10 21:20:11 EST', 'j.c.yip'), ('WORKSFORME', '2004-03-10 21:20:11 EST', 'j.c.yip')]</t>
  </si>
  <si>
    <t>2004-05-18 09:56:05 EDT</t>
  </si>
  <si>
    <t>2009-08-30 02:36:41 EDT</t>
  </si>
  <si>
    <t>2004-02-27 08:47:53 EST</t>
  </si>
  <si>
    <t>2004-02-27 09:32:40 EST</t>
  </si>
  <si>
    <t>2004-02-26 17:42 EST</t>
  </si>
  <si>
    <t>2004-02-27 08:46:18 EST</t>
  </si>
  <si>
    <t>[('CREATED', '2004-02-26 17:42 EST'), ('platform-team-inbox', '2004-02-27 08:46:18 EST', 'Tod_Creasey'), ('Team', '2004-02-27 08:46:18 EST', 'Tod_Creasey'), ('RESOLVED', '2004-02-27 08:47:53 EST', 'jean-michel_lemieux'), ('DUPLICATE', '2004-02-27 08:47:53 EST', 'jean-michel_lemieux'), ('REOPENED', '2004-02-27 09:32:40 EST', 'valentam'), ('---', '2004-02-27 09:32:40 EST', 'valentam'), ('jdt-ui-inbox', '2004-02-27 09:35:12 EST', 'valentam'), ('NEW', '2004-02-27 09:35:12 EST', 'valentam'), ('UI', '2004-02-27 09:35:12 EST', 'valentam'), ('JDT', '2004-02-27 09:35:12 EST', 'valentam'), ('dirk_baeumer', '2004-03-15 10:10:06 EST', 'martinae'), ('Michael_Valenta', '2004-03-15 11:38:12 EST', 'dirk_baeumer'), ('RESOLVED', '2004-05-18 09:56:05 EDT', 'dirk_baeumer'), ('LATER', '2004-05-18 09:56:05 EDT', 'dirk_baeumer'), ('WONTFIX', '2009-08-30 02:36:41 EDT', 'webmaster'), ('jdt-ui-inbox', '2009-08-30 02:36:41 EDT', 'webmaster')]</t>
  </si>
  <si>
    <t>2006-02-27 12:50:08 EST</t>
  </si>
  <si>
    <t>2004-07-22 12:07:17 EDT</t>
  </si>
  <si>
    <t>2006-02-15 11:20:18 EST</t>
  </si>
  <si>
    <t>2004-02-26 21:09 EST</t>
  </si>
  <si>
    <t>2004-02-27 05:30:51 EST</t>
  </si>
  <si>
    <t>[('CREATED', '2004-02-26 21:09 EST'), ('jdt-core-inbox', '2004-02-27 05:30:51 EST', 'martinae'), ('Core', '2004-02-27 05:30:51 EST', 'martinae'), ('RESOLVED', '2004-03-04 18:31:26 EST', 'philippe_mulet'), ('LATER', '2004-03-04 18:31:26 EST', 'philippe_mulet'), ('REOPENED', '2004-07-22 12:07:05 EDT', 'philippe_mulet'), ('---', '2004-07-22 12:07:05 EDT', 'philippe_mulet'), ('RESOLVED', '2004-07-22 12:07:17 EDT', 'philippe_mulet'), ('DUPLICATE', '2004-07-22 12:07:17 EDT', 'philippe_mulet'), ('42253', '2006-02-15 11:20:18 EST', 'frederic_fusier'), ('REOPENED', '2006-02-15 11:20:18 EST', 'frederic_fusier'), ('---', '2006-02-15 11:20:18 EST', 'frederic_fusier'), ('frederic_fusier', '2006-02-15 11:20:50 EST', 'frederic_fusier'), ('jdt-ui-inbox', '2006-02-15 11:20:50 EST', 'frederic_fusier'), ('NEW', '2006-02-15 11:20:50 EST', 'frederic_fusier'), ('UI', '2006-02-15 11:20:50 EST', 'frederic_fusier'), ('markus_keller', '2006-02-16 05:17:36 EST', 'martinae'), ('3.2 M6', '2006-02-16 05:17:36 EST', 'martinae'), ('RESOLVED', '2006-02-27 12:50:08 EST', 'markus.kell.r'), ('FIXED', '2006-02-27 12:50:08 EST', 'markus.kell.r'), ('[Refactoring] Bad syntax should not fail local refactorings', '2006-02-27 12:50:08 EST', 'markus.kell.r')]</t>
  </si>
  <si>
    <t>85799 131494 158932 196743 (view as bug list)</t>
  </si>
  <si>
    <t>2004-02-27 12:40 EST</t>
  </si>
  <si>
    <t>2004-03-04 06:19:10 EST</t>
  </si>
  <si>
    <t>2010-04-20 14:51:19 EDT</t>
  </si>
  <si>
    <t>[('CREATED', '2004-02-27 12:40 EST'), ('jdt-ui-inbox', '2004-03-04 06:19:10 EST', 'jerome_lanneluc'), ('UI', '2004-03-04 06:19:10 EST', 'jerome_lanneluc'), ('dirk_baeumer', '2004-03-05 03:25:50 EST', 'martinae'), ('markus_keller', '2004-03-09 12:48:43 EST', 'dirk_baeumer'), ('Renaming a source folder/output folder or one of its parents should automatically be reflected in the Java Build Path [refactoring]', '2004-03-09 12:48:43 EST', 'dirk_baeumer'), ('[rename] Renaming a source folder/output folder or one of its parents should automatically be reflected in the Java Build Path [refactoring]', '2006-08-03 11:49:09 EDT', 'martinae'), ('markus.karg', '2006-08-03 11:50:33 EDT', 'martinae'), ('thorbjoern', '2006-08-03 12:16:28 EDT', 'martinae'), ('fillg1', '2006-10-04 09:18:24 EDT', 'martinae'), ('ASSIGNED', '2006-10-23 12:34:31 EDT', 'markus.kell.r'), ('3.3', '2006-10-23 12:34:31 EDT', 'markus.kell.r'), ('3.4', '2007-05-11 19:02:46 EDT', 'markus.kell.r'), ('alexjava', '2007-07-17 06:22:56 EDT', 'martinae'), ('3.5', '2008-05-10 12:29:20 EDT', 'markus.kell.r'), ('P4', '2009-05-06 06:55:11 EDT', 'markus.kell.r'), ('3.6', '2009-05-06 06:55:11 EDT', 'markus.kell.r'), ('---', '2010-04-20 14:51:19 EDT', 'markus.kell.r')]</t>
  </si>
  <si>
    <t>2004-03-16 03:12:34 EST</t>
  </si>
  <si>
    <t>2004-02-27 18:38 EST</t>
  </si>
  <si>
    <t>2004-03-01 10:14:13 EST</t>
  </si>
  <si>
    <t>[('CREATED', '2004-02-27 18:38 EST'), ('jdt-ui-inbox', '2004-03-01 10:14:13 EST', 'debbie_wilson'), ('JDT', '2004-03-01 10:14:13 EST', 'debbie_wilson'), ('markus_keller', '2004-03-04 04:36:02 EST', 'martinae'), ('WORKSFORME', '2004-03-16 03:12:34 EST', 'markus.kell.r'), ('RESOLVED', '2004-03-16 03:12:34 EST', 'markus.kell.r')]</t>
  </si>
  <si>
    <t>2004-02-28 02:25 EST</t>
  </si>
  <si>
    <t>2004-03-01 06:51:55 EST</t>
  </si>
  <si>
    <t>2019-09-14 12:11:12 EDT</t>
  </si>
  <si>
    <t>[('CREATED', '2004-02-28 02:25 EST'), ('akiezun', '2004-03-01 06:51:55 EST', 'martinae'), ('dirk_baeumer', '2004-03-01 06:51:55 EST', 'martinae'), ('"use supertype" makes method calls ambiguous [refactoring]', '2004-03-01 09:00:34 EST', 'steimann'), ('tobias_widmer', '2006-04-05 06:12:56 EDT', 'dirk_baeumer'), ('[refactoring] "use supertype" makes method calls ambiguous', '2006-04-05 06:12:56 EDT', 'dirk_baeumer'), ('[use supertype] makes method calls ambiguous [refactoring]', '2006-05-29 05:56:28 EDT', 'tobias_widmer'), ('jdt-ui-inbox', '2007-06-14 10:48:52 EDT', 'martinae'), ('stalebug', '2019-09-14 12:11:12 EDT', 'genie')]</t>
  </si>
  <si>
    <t>2004-03-08 15:48:41 EST</t>
  </si>
  <si>
    <t>2004-02-28 15:18 EST</t>
  </si>
  <si>
    <t>2004-03-01 06:54:05 EST</t>
  </si>
  <si>
    <t>[('CREATED', '2004-02-28 15:18 EST'), ('markus_keller', '2004-03-01 06:54:05 EST', 'martinae'), ('RESOLVED', '2004-03-08 15:48:41 EST', 'markus.kell.r'), ('FIXED', '2004-03-08 15:48:41 EST', 'markus.kell.r'), ('3.0 M8', '2004-03-08 15:48:41 EST', 'markus.kell.r')]</t>
  </si>
  <si>
    <t>2004-06-07 12:18:45 EDT</t>
  </si>
  <si>
    <t>2004-06-11 05:00:37 EDT</t>
  </si>
  <si>
    <t>2004-03-01 06:02 EST</t>
  </si>
  <si>
    <t>2004-03-01 06:56:02 EST</t>
  </si>
  <si>
    <t>[('CREATED', '2004-03-01 06:02 EST'), ('markus_keller', '2004-03-01 06:56:02 EST', 'martinae'), ('RESOLVED', '2004-06-07 12:18:45 EDT', 'markus.kell.r'), ('FIXED', '2004-06-07 12:18:45 EDT', 'markus.kell.r'), ('3.0 RC2', '2004-06-07 12:18:45 EDT', 'markus.kell.r'), ('VERIFIED', '2004-06-11 05:00:37 EDT', 'dirk_baeumer')]</t>
  </si>
  <si>
    <t>2006-04-05 06:14:39 EDT</t>
  </si>
  <si>
    <t>2009-08-30 02:37:29 EDT</t>
  </si>
  <si>
    <t>2004-03-09 13:03:59 EST</t>
  </si>
  <si>
    <t>2004-03-10 03:42:37 EST</t>
  </si>
  <si>
    <t>2004-03-02 07:13 EST</t>
  </si>
  <si>
    <t>2004-03-04 04:44:26 EST</t>
  </si>
  <si>
    <t>[('CREATED', '2004-03-02 07:13 EST'), ('dirk_baeumer', '2004-03-04 04:44:26 EST', 'martinae'), ('RESOLVED', '2004-03-09 13:03:59 EST', 'dirk_baeumer'), ('WORKSFORME', '2004-03-09 13:03:59 EST', 'dirk_baeumer'), ('---', '2004-03-10 03:42:37 EST', 'christof_marti'), ('REOPENED', '2004-03-10 03:42:37 EST', 'christof_marti'), ('enhancement', '2004-03-10 06:16:46 EST', 'dirk_baeumer'), ('P4', '2004-03-10 06:16:46 EST', 'dirk_baeumer'), ('jdt-ui-inbox', '2006-04-05 06:14:22 EDT', 'dirk_baeumer'), ('NEW', '2006-04-05 06:14:22 EDT', 'dirk_baeumer'), ('[refactoring] [move] Preview for moving CU does not show change in CU', '2006-04-05 06:14:22 EDT', 'dirk_baeumer'), ('RESOLVED', '2006-04-05 06:14:39 EDT', 'dirk_baeumer'), ('LATER', '2006-04-05 06:14:39 EDT', 'dirk_baeumer'), ('WONTFIX', '2009-08-30 02:37:29 EDT', 'webmaster')]</t>
  </si>
  <si>
    <t>107855 (view as bug list)</t>
  </si>
  <si>
    <t>2004-03-02 12:33 EST</t>
  </si>
  <si>
    <t>2004-03-04 04:56:51 EST</t>
  </si>
  <si>
    <t>2010-11-04 06:44:14 EDT</t>
  </si>
  <si>
    <t>[('CREATED', '2004-03-02 12:33 EST'), ('ASSIGNED', '2004-03-04 04:56:51 EST', 'martinae'), ('New refactoring: Inline parameter expression ("extroduce parameter") [refactoring]', '2004-03-04 04:56:51 EST', 'martinae'), ('akiezun', '2006-06-09 12:24:45 EDT', 'markus.kell.r'), ('[refactoring] [dcr] Inline parameter expression ("extroduce parameter")', '2006-06-11 03:28:02 EDT', 'martinae'), ('daniel_megert', '2010-11-04 06:44:14 EDT', 'daniel_megert'), ('[refactoring] Inline parameter expression ("extroduce parameter")', '2010-11-04 06:44:14 EDT', 'daniel_megert')]</t>
  </si>
  <si>
    <t>2004-03-08 07:01:43 EST</t>
  </si>
  <si>
    <t>2004-03-03 10:39 EST</t>
  </si>
  <si>
    <t>2004-03-03 22:36:48 EST</t>
  </si>
  <si>
    <t>[('CREATED', '2004-03-03 10:39 EST'), ('jdt-ui-inbox', '2004-03-03 22:36:48 EST', 'Olivier_Thomann'), ('UI', '2004-03-03 22:36:48 EST', 'Olivier_Thomann'), ('Problems with Refactor -&gt; Rename for methods with same name', '2004-03-03 22:36:48 EST', 'Olivier_Thomann'), ('markus_keller', '2004-03-04 05:48:04 EST', 'martinae'), ('RESOLVED', '2004-03-08 07:01:43 EST', 'markus.kell.r'), ('FIXED', '2004-03-08 07:01:43 EST', 'markus.kell.r'), ('3.0 M8', '2004-03-08 07:01:43 EST', 'markus.kell.r')]</t>
  </si>
  <si>
    <t>2004-03-09 12:43:26 EST</t>
  </si>
  <si>
    <t>2009-08-30 02:40:32 EDT</t>
  </si>
  <si>
    <t>2004-03-04 08:28 EST</t>
  </si>
  <si>
    <t>2004-03-05 03:59:31 EST</t>
  </si>
  <si>
    <t>[('CREATED', '2004-03-04 08:28 EST'), ('dirk_baeumer', '2004-03-05 03:59:31 EST', 'martinae'), ('jdt-ui-inbox', '2004-03-09 12:43:05 EST', 'dirk_baeumer'), ('helpwanted', '2004-03-09 12:43:05 EST', 'dirk_baeumer'), ('convert anonymous inner to local class [refactoring]', '2004-03-09 12:43:05 EST', 'dirk_baeumer'), ('RESOLVED', '2004-03-09 12:43:26 EST', 'dirk_baeumer'), ('LATER', '2004-03-09 12:43:26 EST', 'dirk_baeumer'), ('WONTFIX', '2009-08-30 02:40:32 EDT', 'webmaster')]</t>
  </si>
  <si>
    <t>2004-08-09 05:54:28 EDT</t>
  </si>
  <si>
    <t>2004-03-04 14:53 EST</t>
  </si>
  <si>
    <t>2004-03-05 04:20:38 EST</t>
  </si>
  <si>
    <t>[('CREATED', '2004-03-04 14:53 EST'), ('markus_keller', '2004-03-05 04:20:38 EST', 'martinae'), ('wasleski', '2004-08-06 14:16:44 EDT', 'steven.wasleski'), ('markus_keller', '2004-08-09 05:54:28 EDT', 'markus.kell.r'), ('RESOLVED', '2004-08-09 05:54:28 EDT', 'markus.kell.r'), ('WORKSFORME', '2004-08-09 05:54:28 EDT', 'markus.kell.r')]</t>
  </si>
  <si>
    <t>2005-01-31 04:53:43 EST</t>
  </si>
  <si>
    <t>2005-01-29 11:53:27 EST</t>
  </si>
  <si>
    <t>2004-03-05 09:01 EST</t>
  </si>
  <si>
    <t>2004-03-08 03:47:45 EST</t>
  </si>
  <si>
    <t>[('CREATED', '2004-03-05 09:01 EST'), ('dirk_baeumer', '2004-03-08 03:47:45 EST', 'martinae'), ('extract method in anonymous class introduces error [refactoring]', '2004-03-09 12:38:41 EST', 'dirk_baeumer'), ('3.0', '2004-03-09 12:38:41 EST', 'dirk_baeumer'), ('RESOLVED', '2004-05-14 09:44:07 EDT', 'dirk_baeumer'), ('FIXED', '2004-05-14 09:44:07 EDT', 'dirk_baeumer'), ('3.0 M9', '2004-05-14 09:44:07 EDT', 'dirk_baeumer'), ('REOPENED', '2005-01-29 11:53:27 EST', 'fpahl'), ('---', '2005-01-29 11:53:27 EST', 'fpahl'), ('RESOLVED', '2005-01-31 04:53:43 EST', 'dirk_baeumer'), ('FIXED', '2005-01-31 04:53:43 EST', 'dirk_baeumer')]</t>
  </si>
  <si>
    <t>2006-08-03 11:46:25 EDT</t>
  </si>
  <si>
    <t>2004-03-05 10:01 EST</t>
  </si>
  <si>
    <t>2004-03-08 03:50:17 EST</t>
  </si>
  <si>
    <t>[('CREATED', '2004-03-05 10:01 EST'), ('markus_keller', '2004-03-08 03:50:17 EST', 'martinae'), ('hauser', '2004-07-31 09:55:32 EDT', 'hauser'), ('[rename] rename refactoring confused by syntax error', '2006-08-03 11:46:25 EDT', 'martinae'), ('3.2', '2006-08-03 11:46:25 EDT', 'martinae'), ('RESOLVED', '2006-08-03 11:46:25 EDT', 'martinae'), ('FIXED', '2006-08-03 11:46:25 EDT', 'martinae')]</t>
  </si>
  <si>
    <t>2004-05-27 05:21:36 EDT</t>
  </si>
  <si>
    <t>2004-06-10 03:03:12 EDT</t>
  </si>
  <si>
    <t>2004-03-05 10:06 EST</t>
  </si>
  <si>
    <t>2004-03-08 03:50:56 EST</t>
  </si>
  <si>
    <t>[('CREATED', '2004-03-05 10:06 EST'), ('dirk_baeumer', '2004-03-08 03:50:56 EST', 'martinae'), ('markus_keller', '2004-03-09 12:37:30 EST', 'dirk_baeumer'), ('P4', '2004-03-09 12:37:30 EST', 'dirk_baeumer'), ('Extract Local does not work on static parameter in call to constructor [refactoring]', '2004-03-09 12:37:30 EST', 'dirk_baeumer'), ('RESOLVED', '2004-05-27 05:21:36 EDT', 'markus.kell.r'), ('FIXED', '2004-05-27 05:21:36 EDT', 'markus.kell.r'), ('3.0 RC1', '2004-05-27 05:21:36 EDT', 'markus.kell.r'), ('VERIFIED', '2004-06-10 03:03:12 EDT', 'dirk_baeumer')]</t>
  </si>
  <si>
    <t>2005-01-31 05:17:42 EST</t>
  </si>
  <si>
    <t>2005-01-29 11:59:36 EST</t>
  </si>
  <si>
    <t>2004-03-05 11:16 EST</t>
  </si>
  <si>
    <t>2004-03-08 03:53:12 EST</t>
  </si>
  <si>
    <t>[('CREATED', '2004-03-05 11:16 EST'), ('dirk_baeumer', '2004-03-08 03:53:12 EST', 'martinae'), ('3.0 M9', '2004-05-18 03:46:54 EDT', 'dirk_baeumer'), ('RESOLVED', '2004-05-18 04:34:21 EDT', 'dirk_baeumer'), ('FIXED', '2004-05-18 04:34:21 EDT', 'dirk_baeumer'), ('REOPENED', '2005-01-29 11:59:36 EST', 'fpahl'), ('---', '2005-01-29 11:59:36 EST', 'fpahl'), ('RESOLVED', '2005-01-31 05:17:42 EST', 'dirk_baeumer'), ('FIXED', '2005-01-31 05:17:42 EST', 'dirk_baeumer')]</t>
  </si>
  <si>
    <t>RESOLVED  DUPLICATE  of bug 86845</t>
  </si>
  <si>
    <t>2006-08-03 11:49:39 EDT</t>
  </si>
  <si>
    <t>2004-03-06 05:01 EST</t>
  </si>
  <si>
    <t>2004-03-08 04:48:04 EST</t>
  </si>
  <si>
    <t>[('CREATED', '2004-03-06 05:01 EST'), ('dirk_baeumer', '2004-03-08 04:48:04 EST', 'martinae'), ('enhancement', '2004-03-08 04:48:04 EST', 'martinae'), ('markus_keller', '2004-03-09 12:31:36 EST', 'dirk_baeumer'), ('Renaming field to name of local variable [refactoring]', '2004-03-09 12:31:36 EST', 'dirk_baeumer'), ('ASSIGNED', '2004-05-27 04:42:14 EDT', 'markus.kell.r'), ('P4', '2004-05-27 04:42:14 EDT', 'markus.kell.r'), ('RESOLVED', '2006-08-03 11:49:39 EDT', 'martinae'), ('DUPLICATE', '2006-08-03 11:49:39 EDT', 'martinae')]</t>
  </si>
  <si>
    <t>2004-03-15 12:14:08 EST</t>
  </si>
  <si>
    <t>2004-03-24 09:54:04 EST</t>
  </si>
  <si>
    <t>2004-03-06 10:53 EST</t>
  </si>
  <si>
    <t>2004-03-06 10:54:14 EST</t>
  </si>
  <si>
    <t>[('CREATED', '2004-03-06 10:53 EST'), ('Unexpected huge amount of computation for field rename', '2004-03-06 10:54:14 EST', 'philippe_mulet'), ('blocker', '2004-03-06 12:06:51 EST', 'philippe_mulet'), ('P1', '2004-03-06 12:06:51 EST', 'philippe_mulet'), ('akiezun', '2004-03-07 00:07:23 EST', 'akiezun'), ('markus_keller', '2004-03-08 05:21:08 EST', 'martinae'), ('ASSIGNED', '2004-03-08 12:50:55 EST', 'markus.kell.r'), ('3.0 M8', '2004-03-08 12:50:55 EST', 'markus.kell.r'), ('RESOLVED', '2004-03-15 12:14:08 EST', 'markus.kell.r'), ('FIXED', '2004-03-15 12:14:08 EST', 'markus.kell.r'), ('VERIFIED', '2004-03-24 09:54:04 EST', 'dirk_baeumer')]</t>
  </si>
  <si>
    <t>2004-03-08 05:20:23 EST</t>
  </si>
  <si>
    <t>2009-08-30 02:42:26 EDT</t>
  </si>
  <si>
    <t>2004-03-08 04:39 EST</t>
  </si>
  <si>
    <t>[('CREATED', '2004-03-08 04:39 EST'), ('RESOLVED', '2004-03-08 05:20:23 EST', 'martinae'), ('LATER', '2004-03-08 05:20:23 EST', 'martinae'), ('WONTFIX', '2009-08-30 02:42:26 EDT', 'webmaster')]</t>
  </si>
  <si>
    <t>2004-03-22 14:33:23 EST</t>
  </si>
  <si>
    <t>2004-03-09 10:34 EST</t>
  </si>
  <si>
    <t>2004-03-11 04:18:43 EST</t>
  </si>
  <si>
    <t>[('CREATED', '2004-03-09 10:34 EST'), ('dirk_baeumer', '2004-03-11 04:18:43 EST', 'martinae'), ('3.0 M8', '2004-03-11 09:42:26 EST', 'dirk_baeumer'), ('RESOLVED', '2004-03-22 14:33:23 EST', 'dirk_baeumer'), ('FIXED', '2004-03-22 14:33:23 EST', 'dirk_baeumer')]</t>
  </si>
  <si>
    <t>2004-05-18 05:10:53 EDT</t>
  </si>
  <si>
    <t>2004-03-09 11:31 EST</t>
  </si>
  <si>
    <t>2004-03-11 04:20:45 EST</t>
  </si>
  <si>
    <t>[('CREATED', '2004-03-09 11:31 EST'), ('dirk_baeumer', '2004-03-11 04:20:45 EST', 'martinae'), ('RESOLVED', '2004-05-18 05:10:53 EDT', 'dirk_baeumer'), ('WORKSFORME', '2004-05-18 05:10:53 EDT', 'dirk_baeumer')]</t>
  </si>
  <si>
    <t>2004-05-13 05:03:15 EDT</t>
  </si>
  <si>
    <t>2004-03-09 13:02 EST</t>
  </si>
  <si>
    <t>2004-03-09 13:03:39 EST</t>
  </si>
  <si>
    <t>[('CREATED', '2004-03-09 13:02 EST'), ('Mike_Wilson', '2004-03-09 13:03:39 EST', 'darin.eclipse'), ('markus_keller', '2004-03-11 04:22:37 EST', 'martinae'), ('ASSIGNED', '2004-03-11 04:44:32 EST', 'markus.kell.r'), ('3.0', '2004-03-11 04:44:32 EST', 'markus.kell.r'), ('FIXED', '2004-05-13 05:03:15 EDT', 'markus.kell.r'), ('3.0 M9', '2004-05-13 05:03:15 EDT', 'markus.kell.r'), ('RESOLVED', '2004-05-13 05:03:15 EDT', 'markus.kell.r')]</t>
  </si>
  <si>
    <t>2004-04-28 12:09:24 EDT</t>
  </si>
  <si>
    <t>2004-03-10 02:08 EST</t>
  </si>
  <si>
    <t>2004-03-11 04:52:12 EST</t>
  </si>
  <si>
    <t>[('CREATED', '2004-03-10 02:08 EST'), ('dirk_baeumer', '2004-03-11 04:52:12 EST', 'martinae'), ('tip', '2004-03-11 09:47:38 EST', 'dirk_baeumer'), ('RESOLVED', '2004-04-28 12:09:24 EDT', 'dirk_baeumer'), ('FIXED', '2004-04-28 12:09:24 EDT', 'dirk_baeumer'), ('3.0 M9', '2004-04-28 12:09:24 EDT', 'dirk_baeumer')]</t>
  </si>
  <si>
    <t>2004-03-10 12:20:23 EST</t>
  </si>
  <si>
    <t>2004-03-26 04:47:08 EST</t>
  </si>
  <si>
    <t>2004-03-10 03:24 EST</t>
  </si>
  <si>
    <t>[('CREATED', '2004-03-10 03:24 EST'), ('RESOLVED', '2004-03-10 12:20:23 EST', 'daniel_megert'), ('FIXED', '2004-03-10 12:20:23 EST', 'daniel_megert'), ('3.0 M8', '2004-03-10 12:20:23 EST', 'daniel_megert'), ('VERIFIED', '2004-03-26 04:47:08 EST', 'andre_weinand')]</t>
  </si>
  <si>
    <t>2004-03-16 11:08:07 EST</t>
  </si>
  <si>
    <t>2004-03-10 10:28 EST</t>
  </si>
  <si>
    <t>2004-03-16 10:16:24 EST</t>
  </si>
  <si>
    <t>2004-03-17 00:12:12 EST</t>
  </si>
  <si>
    <t>himadrisaha</t>
  </si>
  <si>
    <t>[('CREATED', '2004-03-10 10:28 EST'), ('jdt-ui-inbox', '2004-03-16 10:16:24 EST', 'Tod_Creasey'), ('JDT', '2004-03-16 10:16:24 EST', 'Tod_Creasey'), ('RESOLVED', '2004-03-16 11:08:07 EST', 'martinae'), ('WORKSFORME', '2004-03-16 11:08:07 EST', 'martinae'), ('CLOSED', '2004-03-17 00:12:12 EST', 'himadrisaha')]</t>
  </si>
  <si>
    <t>2004-05-12 15:30:27 EDT</t>
  </si>
  <si>
    <t>2009-08-30 02:13:25 EDT</t>
  </si>
  <si>
    <t>2004-03-10 10:36 EST</t>
  </si>
  <si>
    <t>2004-03-11 05:09:37 EST</t>
  </si>
  <si>
    <t>[('CREATED', '2004-03-10 10:36 EST'), ('martin_aeschlimann', '2004-03-11 05:09:37 EST', 'martinae'), ('RESOLVED', '2004-05-12 15:30:27 EDT', 'martinae'), ('LATER', '2004-05-12 15:30:27 EDT', 'martinae'), ('WONTFIX', '2009-08-30 02:13:25 EDT', 'denis.roy'), ('jdt-ui-inbox', '2009-08-30 02:13:25 EDT', 'denis.roy')]</t>
  </si>
  <si>
    <t>2004-03-10 12:43:41 EST</t>
  </si>
  <si>
    <t>2004-03-10 12:43 EST</t>
  </si>
  <si>
    <t>2004-03-10 12:43:55 EST</t>
  </si>
  <si>
    <t>[('CREATED', '2004-03-10 12:43 EST'), ('RESOLVED', '2004-03-10 12:43:41 EST', 'dirk_baeumer'), ('FIXED', '2004-03-10 12:43:41 EST', 'dirk_baeumer'), ('3.0 M8', '2004-03-10 12:43:55 EST', 'dirk_baeumer')]</t>
  </si>
  <si>
    <t>54365 (view as bug list)</t>
  </si>
  <si>
    <t>2004-05-10 04:07:17 EDT</t>
  </si>
  <si>
    <t>2004-03-10 14:07 EST</t>
  </si>
  <si>
    <t>2004-03-10 14:07:20 EST</t>
  </si>
  <si>
    <t>[('CREATED', '2004-03-10 14:07 EST'), ('ASSIGNED', '2004-03-10 14:07:20 EST', 'markus.kell.r'), ('3.0', '2004-03-10 14:07:20 EST', 'markus.kell.r'), ('RESOLVED', '2004-05-10 04:07:17 EDT', 'markus.kell.r'), ('FIXED', '2004-05-10 04:07:17 EDT', 'markus.kell.r'), ('3.0 M9', '2004-05-10 04:07:17 EDT', 'markus.kell.r')]</t>
  </si>
  <si>
    <t>RESOLVED  DUPLICATE  of bug 54362</t>
  </si>
  <si>
    <t>2004-05-12 10:42:40 EDT</t>
  </si>
  <si>
    <t>2004-03-10 14:24 EST</t>
  </si>
  <si>
    <t>2004-03-10 14:24:18 EST</t>
  </si>
  <si>
    <t>[('CREATED', '2004-03-10 14:24 EST'), ('ASSIGNED', '2004-03-10 14:24:18 EST', 'markus.kell.r'), ('P2', '2004-03-10 14:24:18 EST', 'markus.kell.r'), ('3.0', '2004-03-10 14:24:18 EST', 'markus.kell.r'), ('P3', '2004-03-18 09:14:13 EST', 'markus.kell.r'), ('RESOLVED', '2004-05-12 10:42:40 EDT', 'markus.kell.r'), ('DUPLICATE', '2004-05-12 10:42:40 EDT', 'markus.kell.r'), ('3.0 M9', '2004-05-12 10:42:40 EDT', 'markus.kell.r')]</t>
  </si>
  <si>
    <t>2004-03-12 07:17:38 EST</t>
  </si>
  <si>
    <t>2009-08-30 02:37:25 EDT</t>
  </si>
  <si>
    <t>2004-03-11 01:56 EST</t>
  </si>
  <si>
    <t>2004-03-11 05:38:30 EST</t>
  </si>
  <si>
    <t>[('CREATED', '2004-03-11 01:56 EST'), ('dirk_baeumer', '2004-03-11 05:38:30 EST', 'martinae'), ('RESOLVED', '2004-03-12 07:17:38 EST', 'dirk_baeumer'), ('P4', '2004-03-12 07:17:38 EST', 'dirk_baeumer'), ('LATER', '2004-03-12 07:17:38 EST', 'dirk_baeumer'), ('WONTFIX', '2009-08-30 02:37:25 EDT', 'webmaster')]</t>
  </si>
  <si>
    <t>RESOLVED  DUPLICATE  of bug 47815</t>
  </si>
  <si>
    <t>2004-04-19 09:30:33 EDT</t>
  </si>
  <si>
    <t>2004-03-11 05:42 EST</t>
  </si>
  <si>
    <t>2004-03-24 11:36:30 EST</t>
  </si>
  <si>
    <t>daniel.lindner</t>
  </si>
  <si>
    <t>[('CREATED', '2004-03-11 05:42 EST'), ('jdt-ui-inbox', '2004-03-24 11:36:30 EST', 'Olivier_Thomann'), ('UI', '2004-03-24 11:36:30 EST', 'Olivier_Thomann'), ('Refactoring Move does not succeed [refactoring]', '2004-03-25 09:14:28 EST', 'dirk_baeumer'), ('RESOLVED', '2004-04-19 09:30:33 EDT', 'daniel.lindner'), ('DUPLICATE', '2004-04-19 09:30:33 EDT', 'daniel.lindner')]</t>
  </si>
  <si>
    <t>46177 52419 55203 58960 62518 (view as bug list)</t>
  </si>
  <si>
    <t>2004-04-21 11:04:44 EDT</t>
  </si>
  <si>
    <t>2004-03-11 06:24 EST</t>
  </si>
  <si>
    <t>2004-03-15 05:09:04 EST</t>
  </si>
  <si>
    <t>2004-05-18 04:23:44 EDT</t>
  </si>
  <si>
    <t>[('CREATED', '2004-03-11 06:24 EST'), ('dirk_baeumer', '2004-03-15 05:09:04 EST', 'martinae'), ('markus_keller', '2004-03-15 12:57:22 EST', 'dirk_baeumer'), ('Extract local var and Convert local to field suggest bad name [refactoring]', '2004-03-15 12:57:22 EST', 'dirk_baeumer'), ('3.0', '2004-03-15 12:57:22 EST', 'dirk_baeumer'), ('ASSIGNED', '2004-03-15 13:56:38 EST', 'markus.kell.r'), ('markus_keller', '2004-03-15 13:56:59 EST', 'markus.kell.r'), ('eclipse-bugs', '2004-03-19 04:32:20 EST', 'martinae'), ('gpothier', '2004-04-21 11:00:04 EDT', 'markus.kell.r'), ('oyvind.harboe', '2004-04-21 11:00:38 EDT', 'markus.kell.r'), ('RESOLVED', '2004-04-21 11:04:44 EDT', 'markus.kell.r'), ('FIXED', '2004-04-21 11:04:44 EDT', 'markus.kell.r'), ('3.0 M9', '2004-04-21 11:04:44 EDT', 'markus.kell.r'), ('gperks', '2004-05-18 04:23:44 EDT', 'markus.kell.r')]</t>
  </si>
  <si>
    <t>57749</t>
  </si>
  <si>
    <t>2004-05-03 14:39:36 EDT</t>
  </si>
  <si>
    <t>2004-03-11 09:03 EST</t>
  </si>
  <si>
    <t>2004-03-18 05:11:12 EST</t>
  </si>
  <si>
    <t>[('CREATED', '2004-03-11 09:03 EST'), ('Rename Refactoring: Wrong warning: another name shadows [refactoring]', '2004-03-18 05:11:12 EST', 'dirk_baeumer'), ('3.0 M9', '2004-03-18 05:11:12 EST', 'dirk_baeumer'), ('markus_keller', '2004-03-18 05:11:24 EST', 'dirk_baeumer'), ('ASSIGNED', '2004-03-18 05:43:59 EST', 'markus.kell.r'), ('57749', '2004-04-08 03:02:05 EDT', 'markus.kell.r'), ('RESOLVED', '2004-05-03 14:39:36 EDT', 'markus.kell.r'), ('FIXED', '2004-05-03 14:39:36 EDT', 'markus.kell.r')]</t>
  </si>
  <si>
    <t>54404 (view as bug list)</t>
  </si>
  <si>
    <t>2004-03-15 05:46:12 EST</t>
  </si>
  <si>
    <t>2004-03-11 09:54 EST</t>
  </si>
  <si>
    <t>2004-03-15 05:45:37 EST</t>
  </si>
  <si>
    <t>[('CREATED', '2004-03-11 09:54 EST'), ('martin_aeschlimann', '2004-03-15 05:45:37 EST', 'martinae'), ('3.0 M8', '2004-03-15 05:46:12 EST', 'martinae'), ('normal', '2004-03-15 05:46:12 EST', 'martinae'), ('RESOLVED', '2004-03-15 05:46:12 EST', 'martinae'), ('FIXED', '2004-03-15 05:46:12 EST', 'martinae')]</t>
  </si>
  <si>
    <t>RESOLVED  DUPLICATE  of bug 50502</t>
  </si>
  <si>
    <t>2004-03-12 09:40 EST</t>
  </si>
  <si>
    <t>2004-03-15 06:08:57 EST</t>
  </si>
  <si>
    <t>[('CREATED', '2004-03-12 09:40 EST'), ('markus_keller', '2004-03-15 06:08:57 EST', 'martinae'), ('RESOLVED', '2004-03-15 06:33:24 EST', 'markus.kell.r'), ('DUPLICATE', '2004-03-15 06:33:24 EST', 'markus.kell.r')]</t>
  </si>
  <si>
    <t>2006-06-12 08:34:00 EDT</t>
  </si>
  <si>
    <t>2004-03-12 10:57 EST</t>
  </si>
  <si>
    <t>2004-03-15 08:58:31 EST</t>
  </si>
  <si>
    <t>[('CREATED', '2004-03-12 10:57 EST'), ('enhancement', '2004-03-15 08:58:31 EST', 'martinae'), ('ASSIGNED', '2004-03-15 08:58:31 EST', 'martinae'), ('Code Generation &gt; Comments: Different beaviour for different visibility [code manipulation]', '2004-03-15 08:58:31 EST', 'martinae'), ('RESOLVED', '2006-06-12 08:34:00 EDT', 'martinae'), ('WONTFIX', '2006-06-12 08:34:00 EDT', 'martinae'), ('[code templates] Code Generation &gt; Comments: Different beaviour for different visibility', '2006-06-12 08:34:00 EDT', 'martinae'), ('martin_aeschlimann', '2006-06-12 08:34:00 EDT', 'martinae')]</t>
  </si>
  <si>
    <t>2004-03-15 12:52:38 EST</t>
  </si>
  <si>
    <t>2009-08-30 02:35:09 EDT</t>
  </si>
  <si>
    <t>2004-03-13 12:52 EST</t>
  </si>
  <si>
    <t>2004-03-14 13:11:16 EST</t>
  </si>
  <si>
    <t>[('CREATED', '2004-03-13 12:52 EST'), ('jdt-ui-inbox', '2004-03-14 13:11:16 EST', 'Olivier_Thomann'), ('UI', '2004-03-14 13:11:16 EST', 'Olivier_Thomann'), ('dirk_baeumer', '2004-03-15 09:57:26 EST', 'martinae'), ('RESOLVED', '2004-03-15 12:52:38 EST', 'dirk_baeumer'), ('P4', '2004-03-15 12:52:38 EST', 'dirk_baeumer'), ('LATER', '2004-03-15 12:52:38 EST', 'dirk_baeumer'), ('Extract Interface does not ask where to put the newly created interface. [refactoring]', '2004-03-15 12:52:38 EST', 'dirk_baeumer'), ('WONTFIX', '2009-08-30 02:35:09 EDT', 'webmaster'), ('jdt-ui-inbox', '2009-08-30 02:35:09 EDT', 'webmaster')]</t>
  </si>
  <si>
    <t>2004-05-04 14:08:48 EDT</t>
  </si>
  <si>
    <t>2004-03-15 03:11 EST</t>
  </si>
  <si>
    <t>2004-03-16 11:44:29 EST</t>
  </si>
  <si>
    <t>[('CREATED', '2004-03-15 03:11 EST'), ('jdt-ui-inbox', '2004-03-16 11:44:29 EST', 'Tod_Creasey'), ('JDT', '2004-03-16 11:44:29 EST', 'Tod_Creasey'), ('RESOLVED', '2004-05-04 14:08:48 EDT', 'dirk_baeumer'), ('FIXED', '2004-05-04 14:08:48 EDT', 'dirk_baeumer'), ('3.0 M9', '2004-05-04 14:08:48 EDT', 'dirk_baeumer')]</t>
  </si>
  <si>
    <t>2004-03-15 14:16:32 EST</t>
  </si>
  <si>
    <t>2004-03-15 05:45 EST</t>
  </si>
  <si>
    <t>2004-03-15 10:31:47 EST</t>
  </si>
  <si>
    <t>[('CREATED', '2004-03-15 05:45 EST'), ('markus_keller', '2004-03-15 10:31:47 EST', 'martinae'), ('major', '2004-03-15 10:31:47 EST', 'martinae'), ('RESOLVED', '2004-03-15 14:16:32 EST', 'markus.kell.r'), ('FIXED', '2004-03-15 14:16:32 EST', 'markus.kell.r')]</t>
  </si>
  <si>
    <t>2004-03-15 14:42:10 EST</t>
  </si>
  <si>
    <t>2004-03-15 09:12 EST</t>
  </si>
  <si>
    <t>2004-03-15 10:33:01 EST</t>
  </si>
  <si>
    <t>[('CREATED', '2004-03-15 09:12 EST'), ('markus_keller', '2004-03-15 10:33:01 EST', 'martinae'), ('RESOLVED', '2004-03-15 14:42:10 EST', 'markus.kell.r'), ('FIXED', '2004-03-15 14:42:10 EST', 'markus.kell.r'), ('3.0 M8', '2004-03-15 14:42:10 EST', 'markus.kell.r')]</t>
  </si>
  <si>
    <t>2005-05-25 13:20:47 EDT</t>
  </si>
  <si>
    <t>2004-03-15 10:54 EST</t>
  </si>
  <si>
    <t>2004-03-16 08:20:24 EST</t>
  </si>
  <si>
    <t>[('CREATED', '2004-03-15 10:54 EST'), ('UI', '2004-03-16 08:20:24 EST', 'Mike_Wilson'), ('JDT', '2004-03-16 08:20:24 EST', 'Mike_Wilson'), ('Mike_Wilson', '2004-03-16 08:20:24 EST', 'Mike_Wilson'), ('jdt-ui-inbox', '2004-03-16 08:20:24 EST', 'Mike_Wilson'), ('critical', '2004-03-18 16:45:12 EST', 'jean-michel_lemieux'), ('markus_keller', '2004-09-14 09:31:58 EDT', 'dirk_baeumer'), ('RESOLVED', '2005-05-25 13:20:47 EDT', 'dirk_baeumer'), ('FIXED', '2005-05-25 13:20:47 EDT', 'dirk_baeumer')]</t>
  </si>
  <si>
    <t>2004-05-07 12:59:53 EDT</t>
  </si>
  <si>
    <t>2004-03-15 10:59 EST</t>
  </si>
  <si>
    <t>2004-03-16 09:52:17 EST</t>
  </si>
  <si>
    <t>[('CREATED', '2004-03-15 10:59 EST'), ('dirk_baeumer', '2004-03-16 09:52:17 EST', 'martinae'), ('3.0 M9', '2004-03-18 05:09:43 EST', 'dirk_baeumer'), ('RESOLVED', '2004-05-07 12:59:53 EDT', 'dirk_baeumer'), ('FIXED', '2004-05-07 12:59:53 EDT', 'dirk_baeumer')]</t>
  </si>
  <si>
    <t>RESOLVED  DUPLICATE  of bug 48056</t>
  </si>
  <si>
    <t>2004-03-16 13:01:09 EST</t>
  </si>
  <si>
    <t>2004-03-16 04:40 EST</t>
  </si>
  <si>
    <t>2004-03-16 04:41:02 EST</t>
  </si>
  <si>
    <t>[('CREATED', '2004-03-16 04:40 EST'), ('jdt-ui-inbox', '2004-03-16 04:41:02 EST', 'eclipse'), ('UI', '2004-03-16 04:41:02 EST', 'eclipse'), ('dirk_baeumer', '2004-03-16 09:58:03 EST', 'martinae'), ('RESOLVED', '2004-03-16 13:01:09 EST', 'dirk_baeumer'), ('DUPLICATE', '2004-03-16 13:01:09 EST', 'dirk_baeumer'), ('extract method: convert continue to return when extracting loop body [refactoring]', '2004-03-16 13:01:09 EST', 'dirk_baeumer')]</t>
  </si>
  <si>
    <t>RESOLVED  DUPLICATE  of bug 139144</t>
  </si>
  <si>
    <t>2008-05-26 06:01:03 EDT</t>
  </si>
  <si>
    <t>2004-03-16 06:28 EST</t>
  </si>
  <si>
    <t>2004-03-16 09:58:30 EST</t>
  </si>
  <si>
    <t>[('CREATED', '2004-03-16 06:28 EST'), ('markus_keller', '2004-03-16 09:58:30 EST', 'martinae'), ('ASSIGNED', '2004-03-16 10:58:53 EST', 'markus.kell.r'), ('P4', '2004-06-09 03:57:07 EDT', 'markus.kell.r'), ('[move] Moving a class results in compile error', '2006-08-03 11:36:29 EDT', 'martinae'), ('RESOLVED', '2008-05-26 06:01:03 EDT', 'martinae'), ('DUPLICATE', '2008-05-26 06:01:03 EDT', 'martinae'), ('martin_aeschlimann', '2008-05-26 06:01:03 EDT', 'martinae')]</t>
  </si>
  <si>
    <t>2004-03-16 11:47:53 EST</t>
  </si>
  <si>
    <t>2004-03-16 11:14 EST</t>
  </si>
  <si>
    <t>[('CREATED', '2004-03-16 11:14 EST'), ('RESOLVED', '2004-03-16 11:47:53 EST', 'markus.kell.r'), ('WORKSFORME', '2004-03-16 11:47:53 EST', 'markus.kell.r'), ('3.0 M8', '2004-03-16 11:47:53 EST', 'markus.kell.r')]</t>
  </si>
  <si>
    <t>2004-03-19 04:32:20 EST</t>
  </si>
  <si>
    <t>2004-03-18 04:33 EST</t>
  </si>
  <si>
    <t>[('CREATED', '2004-03-18 04:33 EST'), ('RESOLVED', '2004-03-19 04:32:20 EST', 'martinae'), ('DUPLICATE', '2004-03-19 04:32:20 EST', 'martinae')]</t>
  </si>
  <si>
    <t>2004-03-18 09:04 EST</t>
  </si>
  <si>
    <t>2004-03-19 04:47:16 EST</t>
  </si>
  <si>
    <t>2008-12-01 09:57:48 EST</t>
  </si>
  <si>
    <t>[('CREATED', '2004-03-18 09:04 EST'), ('dirk_baeumer', '2004-03-19 04:47:16 EST', 'martinae'), ('tip', '2004-03-19 06:41:14 EST', 'dirk_baeumer'), ('Generalize Type should tell me why generalization is not possible [refactoring]', '2004-03-19 06:41:14 EST', 'dirk_baeumer'), ('mn', '2008-12-01 09:57:48 EST', 'mn')]</t>
  </si>
  <si>
    <t>2004-04-08 15:54:05 EDT</t>
  </si>
  <si>
    <t>2004-03-18 09:37 EST</t>
  </si>
  <si>
    <t>2004-03-24 10:59:22 EST</t>
  </si>
  <si>
    <t>[('CREATED', '2004-03-18 09:37 EST'), ('jdt-ui-inbox', '2004-03-24 10:59:22 EST', 'Olivier_Thomann'), ('UI', '2004-03-24 10:59:22 EST', 'Olivier_Thomann'), ('markus_keller', '2004-03-24 12:30:41 EST', 'dirk_baeumer'), ('3.0 M9', '2004-03-24 12:30:41 EST', 'dirk_baeumer'), ('ASSIGNED', '2004-04-07 09:54:40 EDT', 'markus.kell.r'), ('RESOLVED', '2004-04-08 15:54:05 EDT', 'markus.kell.r'), ('FIXED', '2004-04-08 15:54:05 EDT', 'markus.kell.r')]</t>
  </si>
  <si>
    <t>2004-04-16 08:47:18 EDT</t>
  </si>
  <si>
    <t>2004-03-21 13:47 EST</t>
  </si>
  <si>
    <t>2004-03-21 21:36:57 EST</t>
  </si>
  <si>
    <t>[('CREATED', '2004-03-21 13:47 EST'), ('jdt-ui-inbox', '2004-03-21 21:36:57 EST', 'Olivier_Thomann'), ('UI', '2004-03-21 21:36:57 EST', 'Olivier_Thomann'), ('erich_gamma', '2004-03-23 08:53:09 EST', 'dirk_baeumer'), ('JUnit testing results in a java.net.ConnectException [JUnit]', '2004-03-23 08:53:09 EST', 'dirk_baeumer'), ('Marko.Schulz', '2004-04-14 08:32:30 EDT', 'ms'), ('N.Metchev', '2004-04-16 05:49:01 EDT', 'nikolaymetchev'), ('RESOLVED', '2004-04-16 08:47:18 EDT', 'erich_gamma'), ('DUPLICATE', '2004-04-16 08:47:18 EDT', 'erich_gamma')]</t>
  </si>
  <si>
    <t>2004-03-23 09:08:37 EST</t>
  </si>
  <si>
    <t>2004-03-22 03:33 EST</t>
  </si>
  <si>
    <t>[('CREATED', '2004-03-22 03:33 EST'), ('RESOLVED', '2004-03-23 09:08:37 EST', 'dirk_baeumer'), ('WORKSFORME', '2004-03-23 09:08:37 EST', 'dirk_baeumer'), ('Extract interface produces empty interface [refactoring]', '2004-03-23 09:08:37 EST', 'dirk_baeumer')]</t>
  </si>
  <si>
    <t>2004-05-14 06:40:51 EDT</t>
  </si>
  <si>
    <t>2004-03-22 06:41 EST</t>
  </si>
  <si>
    <t>2004-03-22 06:42:07 EST</t>
  </si>
  <si>
    <t>[('CREATED', '2004-03-22 06:41 EST'), ('ASSIGNED', '2004-03-22 06:42:07 EST', 'markus.kell.r'), ('3.0', '2004-03-22 06:42:07 EST', 'markus.kell.r'), ('RESOLVED', '2004-05-14 06:40:51 EDT', 'markus.kell.r'), ('FIXED', '2004-05-14 06:40:51 EDT', 'markus.kell.r'), ('3.0 M9', '2004-05-14 06:40:51 EDT', 'markus.kell.r')]</t>
  </si>
  <si>
    <t>2004-04-30 12:20:32 EDT</t>
  </si>
  <si>
    <t>2004-03-22 07:06 EST</t>
  </si>
  <si>
    <t>2004-03-23 09:10:06 EST</t>
  </si>
  <si>
    <t>[('CREATED', '2004-03-22 07:06 EST'), ('martin_aeschlimann', '2004-03-23 09:10:06 EST', 'dirk_baeumer'), ('Exception deleting method with javadoc following without linebreak [ast rewriter]', '2004-03-23 09:10:06 EST', 'dirk_baeumer'), ('RESOLVED', '2004-04-30 12:20:32 EDT', 'martinae'), ('FIXED', '2004-04-30 12:20:32 EDT', 'martinae'), ('3.0 M9', '2004-04-30 12:20:32 EDT', 'martinae')]</t>
  </si>
  <si>
    <t>2004-04-19 05:45:38 EDT</t>
  </si>
  <si>
    <t>2004-03-22 10:02 EST</t>
  </si>
  <si>
    <t>2004-03-22 10:02:45 EST</t>
  </si>
  <si>
    <t>[('CREATED', '2004-03-22 10:02 EST'), ('3.0 M9', '2004-03-22 10:02:45 EST', 'dirk_baeumer'), ('RESOLVED', '2004-04-19 05:45:38 EDT', 'dirk_baeumer'), ('FIXED', '2004-04-19 05:45:38 EDT', 'dirk_baeumer')]</t>
  </si>
  <si>
    <t>2004-04-28 12:02:27 EDT</t>
  </si>
  <si>
    <t>2004-03-22 10:03 EST</t>
  </si>
  <si>
    <t>2004-03-22 10:03:59 EST</t>
  </si>
  <si>
    <t>[('CREATED', '2004-03-22 10:03 EST'), ('3.0 M9', '2004-03-22 10:03:59 EST', 'dirk_baeumer'), ('RESOLVED', '2004-04-28 12:02:27 EDT', 'dirk_baeumer'), ('FIXED', '2004-04-28 12:02:27 EDT', 'dirk_baeumer')]</t>
  </si>
  <si>
    <t>59504 (view as bug list)</t>
  </si>
  <si>
    <t>2004-05-07 13:32:58 EDT</t>
  </si>
  <si>
    <t>2004-05-19 04:18:58 EDT</t>
  </si>
  <si>
    <t>2004-03-24 04:52 EST</t>
  </si>
  <si>
    <t>2004-03-24 06:28:49 EST</t>
  </si>
  <si>
    <t>[('CREATED', '2004-03-24 04:52 EST'), ('dirk_baeumer', '2004-03-24 06:28:49 EST', 'dirk_baeumer'), ('P2', '2004-03-24 06:28:49 EST', 'dirk_baeumer'), ('NPE when closing editor context menu [refactoring]', '2004-03-24 06:28:49 EST', 'dirk_baeumer'), ('3.0 M9', '2004-03-24 06:28:49 EST', 'dirk_baeumer'), ('tmhouser', '2004-04-22 03:46:49 EDT', 'dirk_baeumer'), ('FIXED', '2004-05-07 13:32:58 EDT', 'dirk_baeumer'), ('RESOLVED', '2004-05-07 13:32:58 EDT', 'dirk_baeumer'), ('VERIFIED', '2004-05-19 04:18:58 EDT', 'eclipse')]</t>
  </si>
  <si>
    <t>2004-05-21 12:28:41 EDT</t>
  </si>
  <si>
    <t>2004-03-24 05:27 EST</t>
  </si>
  <si>
    <t>2004-03-24 05:55:07 EST</t>
  </si>
  <si>
    <t>[('CREATED', '2004-03-24 05:27 EST'), ('Can target children of valid Move destination [refactoring]', '2004-03-24 05:55:07 EST', 'christof_marti'), ('RESOLVED', '2004-05-21 12:28:41 EDT', 'dirk_baeumer'), ('FIXED', '2004-05-21 12:28:41 EDT', 'dirk_baeumer'), ('3.0 M9', '2004-05-21 12:28:41 EDT', 'dirk_baeumer')]</t>
  </si>
  <si>
    <t>2004-04-27 08:53:42 EDT</t>
  </si>
  <si>
    <t>2004-03-24 05:38 EST</t>
  </si>
  <si>
    <t>2004-03-24 06:32:54 EST</t>
  </si>
  <si>
    <t>[('CREATED', '2004-03-24 05:38 EST'), ('3.0', '2004-03-24 06:32:54 EST', 'dirk_baeumer'), ('dirk_baeumer', '2004-03-24 06:32:54 EST', 'dirk_baeumer'), ('NPE when opening refactoring menu [refactoring]', '2004-03-24 06:32:54 EST', 'dirk_baeumer'), ('RESOLVED', '2004-04-27 08:53:42 EDT', 'dirk_baeumer'), ('FIXED', '2004-04-27 08:53:42 EDT', 'dirk_baeumer'), ('3.0 M9', '2004-04-27 08:53:42 EDT', 'dirk_baeumer')]</t>
  </si>
  <si>
    <t>2004-05-13 09:29:06 EDT</t>
  </si>
  <si>
    <t>2004-03-24 05:43 EST</t>
  </si>
  <si>
    <t>2004-03-24 06:06:57 EST</t>
  </si>
  <si>
    <t>[('CREATED', '2004-03-24 05:43 EST'), ('Moving methods/fields does not update JavaDoc references [refactoring]', '2004-03-24 06:06:57 EST', 'christof_marti'), ('Moving methods/fields does not update Java code/JavaDoc references [refactoring]', '2004-03-24 06:59:20 EST', 'christof_marti'), ('dirk_baeumer', '2004-03-24 08:43:57 EST', 'dirk_baeumer'), ('markus_keller', '2004-03-24 08:43:57 EST', 'dirk_baeumer'), ('3.0 M9', '2004-03-24 08:43:57 EST', 'dirk_baeumer'), ('ASSIGNED', '2004-05-12 11:11:24 EDT', 'markus.kell.r'), ('RESOLVED', '2004-05-13 09:29:06 EDT', 'markus.kell.r'), ('FIXED', '2004-05-13 09:29:06 EDT', 'markus.kell.r')]</t>
  </si>
  <si>
    <t>55944</t>
  </si>
  <si>
    <t>2004-03-25 03:28:56 EST</t>
  </si>
  <si>
    <t>2004-03-25 03:29:19 EST</t>
  </si>
  <si>
    <t>2004-03-24 06:10 EST</t>
  </si>
  <si>
    <t>2004-03-24 08:58:05 EST</t>
  </si>
  <si>
    <t>[('CREATED', '2004-03-24 06:10 EST'), ('markus_keller', '2004-03-24 08:58:05 EST', 'dirk_baeumer'), ('3.0 M9', '2004-03-24 08:58:05 EST', 'dirk_baeumer'), ('dirk_baeumer, daniel_megert', '2004-03-24 10:10:55 EST', 'markus.kell.r'), ('major', '2004-03-24 10:10:55 EST', 'markus.kell.r'), ('ASSIGNED', '2004-03-24 10:10:55 EST', 'markus.kell.r'), ('3.0 M8', '2004-03-24 10:10:55 EST', 'markus.kell.r'), ('No content assist in dialog text fields and combos', '2004-03-24 10:33:21 EST', 'markus.kell.r'), ('3.0 M9', '2004-03-24 10:33:21 EST', 'markus.kell.r'), ('55944', '2004-03-24 12:22:01 EST', 'dirk_baeumer'), ('3.0 M8', '2004-03-24 12:22:21 EST', 'dirk_baeumer'), ('RESOLVED', '2004-03-25 03:28:56 EST', 'markus.kell.r'), ('FIXED', '2004-03-25 03:28:56 EST', 'markus.kell.r'), ('VERIFIED', '2004-03-25 03:29:19 EST', 'markus.kell.r')]</t>
  </si>
  <si>
    <t>2006-06-12 12:20:56 EDT</t>
  </si>
  <si>
    <t>2004-03-24 09:27 EST</t>
  </si>
  <si>
    <t>2004-03-24 12:48:39 EST</t>
  </si>
  <si>
    <t>[('CREATED', '2004-03-24 09:27 EST'), ('ASSIGNED', '2004-03-24 12:48:39 EST', 'dirk_baeumer'), ('refactoring: rename [refactoring]', '2004-03-24 12:48:39 EST', 'dirk_baeumer'), ('martin_aeschlimann', '2006-06-12 12:20:56 EDT', 'martinae'), ('RESOLVED', '2006-06-12 12:20:56 EDT', 'martinae'), ('WORKSFORME', '2006-06-12 12:20:56 EDT', 'martinae')]</t>
  </si>
  <si>
    <t>2006-06-12 17:10:25 EDT</t>
  </si>
  <si>
    <t>2009-08-30 02:24:12 EDT</t>
  </si>
  <si>
    <t>2004-03-25 05:50 EST</t>
  </si>
  <si>
    <t>2004-03-25 06:28:58 EST</t>
  </si>
  <si>
    <t>[('CREATED', '2004-03-25 05:50 EST'), ('ASSIGNED', '2004-03-25 06:28:58 EST', 'dirk_baeumer'), ('P4', '2004-03-25 06:28:58 EST', 'dirk_baeumer'), ('sort refactoring problems [refactoring]', '2004-03-25 06:28:58 EST', 'dirk_baeumer'), ('LATER', '2006-06-12 17:10:25 EDT', 'martinae'), ('[refactoring] sort refactoring problems', '2006-06-12 17:10:25 EDT', 'martinae'), ('RESOLVED', '2006-06-12 17:10:25 EDT', 'martinae'), ('WONTFIX', '2009-08-30 02:24:12 EDT', 'denis.roy')]</t>
  </si>
  <si>
    <t>2004-05-12 04:47:35 EDT</t>
  </si>
  <si>
    <t>2004-03-25 07:05 EST</t>
  </si>
  <si>
    <t>2004-03-25 08:35:35 EST</t>
  </si>
  <si>
    <t>[('CREATED', '2004-03-25 07:05 EST'), ('markus_keller', '2004-03-25 08:35:35 EST', 'dirk_baeumer'), ('method signature refactoring does not update javadoc [refactoring]', '2004-03-25 08:35:35 EST', 'dirk_baeumer'), ('3.0 M9', '2004-03-25 08:35:35 EST', 'dirk_baeumer'), ('RESOLVED', '2004-05-12 04:47:35 EDT', 'markus.kell.r'), ('FIXED', '2004-05-12 04:47:35 EDT', 'markus.kell.r')]</t>
  </si>
  <si>
    <t>56325</t>
  </si>
  <si>
    <t>2004-03-26 12:15:37 EST</t>
  </si>
  <si>
    <t>2009-08-30 02:13:53 EDT</t>
  </si>
  <si>
    <t>2004-03-25 11:22 EST</t>
  </si>
  <si>
    <t>2004-03-25 13:03:04 EST</t>
  </si>
  <si>
    <t>[('CREATED', '2004-03-25 11:22 EST'), ('jdt-ui-inbox', '2004-03-25 13:03:04 EST', 'jerome_lanneluc'), ('UI', '2004-03-25 13:03:04 EST', 'jerome_lanneluc'), ('56325', '2004-03-26 05:49:21 EST', 'dirk_baeumer'), ('RESOLVED', '2004-03-26 12:15:37 EST', 'dirk_baeumer'), ('LATER', '2004-03-26 12:15:37 EST', 'dirk_baeumer'), ('WONTFIX', '2009-08-30 02:13:53 EDT', 'denis.roy')]</t>
  </si>
  <si>
    <t>RESOLVED  DUPLICATE  of bug 52474</t>
  </si>
  <si>
    <t>2004-05-04 14:10:29 EDT</t>
  </si>
  <si>
    <t>2004-03-26 00:48 EST</t>
  </si>
  <si>
    <t>2004-03-26 02:27:31 EST</t>
  </si>
  <si>
    <t>[('CREATED', '2004-03-26 00:48 EST'), ('philippe_mulet', '2004-03-26 02:27:31 EST', 'dirk_baeumer'), ('erich_gamma', '2004-03-26 02:40:50 EST', 'dirk_baeumer'), ('UI blocked selecting in package explorer', '2004-03-26 03:12:27 EST', 'dirk_baeumer'), ('mike_wilson', '2004-03-26 10:36:05 EST', 'john.arthorne'), ('rafael_chaves', '2004-04-07 11:27:08 EDT', 'eclipse'), ('RESOLVED', '2004-05-04 14:10:29 EDT', 'dirk_baeumer'), ('DUPLICATE', '2004-05-04 14:10:29 EDT', 'dirk_baeumer')]</t>
  </si>
  <si>
    <t>2004-03-26 09:41:28 EST</t>
  </si>
  <si>
    <t>2004-03-26 08:21 EST</t>
  </si>
  <si>
    <t>2004-03-26 09:16:14 EST</t>
  </si>
  <si>
    <t>[('CREATED', '2004-03-26 08:21 EST'), ('jdt-ui-inbox', '2004-03-26 09:16:14 EST', 'jerome_lanneluc'), ('UI', '2004-03-26 09:16:14 EST', 'jerome_lanneluc'), ('RESOLVED', '2004-03-26 09:41:28 EST', 'dirk_baeumer'), ('DUPLICATE', '2004-03-26 09:41:28 EST', 'dirk_baeumer')]</t>
  </si>
  <si>
    <t>VERIFIED  WONTFIX</t>
  </si>
  <si>
    <t>2004-06-28 06:19:43 EDT</t>
  </si>
  <si>
    <t>2004-06-28 12:55:00 EDT</t>
  </si>
  <si>
    <t>2004-03-30 16:02 EST</t>
  </si>
  <si>
    <t>2004-03-31 02:31:08 EST</t>
  </si>
  <si>
    <t>[('CREATED', '2004-03-30 16:02 EST'), ('dirk_baeumer', '2004-03-31 02:31:08 EST', 'dirk_baeumer'), ('andre_weinand', '2004-03-31 02:31:08 EST', 'dirk_baeumer'), ('ASSIGNED', '2004-03-31 05:37:27 EST', 'andre_weinand'), ('All', '2004-03-31 07:42:00 EST', 'alex.blewitt'), ('All', '2004-03-31 07:42:00 EST', 'alex.blewitt'), ('jdt-ui-inbox', '2004-06-26 11:21:54 EDT', 'andre_weinand'), ('NEW', '2004-06-26 11:21:54 EDT', 'andre_weinand'), ('WONTFIX', '2004-06-28 06:19:43 EDT', 'dirk_baeumer'), ('RESOLVED', '2004-06-28 06:19:43 EDT', 'dirk_baeumer'), ('VERIFIED', '2004-06-28 12:55:00 EDT', 'alex.blewitt')]</t>
  </si>
  <si>
    <t>2004-03-31 02:26:38 EST</t>
  </si>
  <si>
    <t>2009-08-30 02:41:42 EDT</t>
  </si>
  <si>
    <t>2004-03-30 19:05 EST</t>
  </si>
  <si>
    <t>[('CREATED', '2004-03-30 19:05 EST'), ('RESOLVED', '2004-03-31 02:26:38 EST', 'dirk_baeumer'), ('P4', '2004-03-31 02:26:38 EST', 'dirk_baeumer'), ('LATER', '2004-03-31 02:26:38 EST', 'dirk_baeumer'), ('Allow constructor implementations to be pushed down [refactoring]', '2004-03-31 02:26:38 EST', 'dirk_baeumer'), ('WONTFIX', '2009-08-30 02:41:42 EDT', 'webmaster')]</t>
  </si>
  <si>
    <t>194166 (view as bug list)</t>
  </si>
  <si>
    <t>2007-09-04 11:38:18 EDT</t>
  </si>
  <si>
    <t>2004-03-31 13:53 EST</t>
  </si>
  <si>
    <t>2004-04-01 02:43:40 EST</t>
  </si>
  <si>
    <t>[('CREATED', '2004-03-31 13:53 EST'), ('ASSIGNED', '2004-04-01 02:43:40 EST', 'dirk_baeumer'), ('Add "add new method to interface" refactoring [refactoring] [quick fix]', '2004-04-01 02:43:40 EST', 'dirk_baeumer'), ('benno_baumgartner', '2006-06-12 17:22:19 EDT', 'martinae'), ('NEW', '2006-06-12 17:22:19 EDT', 'martinae'), ('[clean up] Add "add new method to interface" clean up', '2006-06-12 17:22:19 EDT', 'martinae'), ('benno_baumgartner', '2007-06-25 04:38:18 EDT', 'benno.baumgartner'), ("[Clean up] Make 'Add unimplemented methods' multi-quickfixable", '2007-06-25 04:40:58 EDT', 'benno.baumgartner'), ('RESOLVED', '2007-09-04 11:38:18 EDT', 'benno.baumgartner'), ('FIXED', '2007-09-04 11:38:18 EDT', 'benno.baumgartner'), ('3.4 M2', '2007-09-04 11:38:18 EDT', 'benno.baumgartner')]</t>
  </si>
  <si>
    <t>2006-03-22 05:11:38 EST</t>
  </si>
  <si>
    <t>2004-03-31 13:56 EST</t>
  </si>
  <si>
    <t>2004-04-01 02:42:55 EST</t>
  </si>
  <si>
    <t>[('CREATED', '2004-03-31 13:56 EST'), ('ASSIGNED', '2004-04-01 02:42:55 EST', 'dirk_baeumer'), ('P4', '2004-04-01 02:42:55 EST', 'dirk_baeumer'), ('Extract local variable does not do the right thing for "new Object()" [refactoring]', '2004-04-01 02:42:55 EST', 'dirk_baeumer'), ('RESOLVED', '2006-03-22 05:11:38 EST', 'markus.kell.r'), ('DUPLICATE', '2006-03-22 05:11:38 EST', 'markus.kell.r')]</t>
  </si>
  <si>
    <t>2004-04-20 13:41:29 EDT</t>
  </si>
  <si>
    <t>2004-04-01 05:00 EST</t>
  </si>
  <si>
    <t>2004-04-01 17:00:08 EST</t>
  </si>
  <si>
    <t>[('CREATED', '2004-04-01 05:00 EST'), ('philippe_mulet', '2004-04-01 17:00:08 EST', 'dirk_baeumer'), ('RESOLVED', '2004-04-20 13:41:29 EDT', 'dirk_baeumer'), ('DUPLICATE', '2004-04-20 13:41:29 EDT', 'dirk_baeumer')]</t>
  </si>
  <si>
    <t>2004-04-02 03:48:30 EST</t>
  </si>
  <si>
    <t>2004-04-01 13:04 EST</t>
  </si>
  <si>
    <t>2004-04-01 17:03:44 EST</t>
  </si>
  <si>
    <t>[('CREATED', '2004-04-01 13:04 EST'), ('dirk_baeumer', '2004-04-01 17:03:44 EST', 'dirk_baeumer'), ('erich_gamma', '2004-04-01 17:03:44 EST', 'dirk_baeumer'), ('P2', '2004-04-01 17:03:44 EST', 'dirk_baeumer'), ('3.0 M9', '2004-04-01 17:03:44 EST', 'dirk_baeumer'), ('RESOLVED', '2004-04-02 03:48:30 EST', 'erich_gamma'), ('FIXED', '2004-04-02 03:48:30 EST', 'erich_gamma')]</t>
  </si>
  <si>
    <t>2006-04-05 06:20:25 EDT</t>
  </si>
  <si>
    <t>2004-05-19 04:05:17 EDT</t>
  </si>
  <si>
    <t>2004-04-01 13:49 EST</t>
  </si>
  <si>
    <t>2004-04-01 16:38:57 EST</t>
  </si>
  <si>
    <t>[('CREATED', '2004-04-01 13:49 EST'), ('dirk_baeumer', '2004-04-01 16:38:57 EST', 'dirk_baeumer'), ('Extract Method code not formatted properly [refactoring]', '2004-04-01 16:38:57 EST', 'dirk_baeumer'), ('RESOLVED', '2004-05-18 04:41:30 EDT', 'dirk_baeumer'), ('WORKSFORME', '2004-05-18 04:41:30 EDT', 'dirk_baeumer'), ('REOPENED', '2004-05-19 04:05:17 EDT', 'dirk_baeumer'), ('---', '2004-05-19 04:05:17 EDT', 'dirk_baeumer'), ('RESOLVED', '2006-04-05 06:20:25 EDT', 'dirk_baeumer'), ('WORKSFORME', '2006-04-05 06:20:25 EDT', 'dirk_baeumer')]</t>
  </si>
  <si>
    <t>2004-04-01 17:04:45 EST</t>
  </si>
  <si>
    <t>2009-08-30 02:24:43 EDT</t>
  </si>
  <si>
    <t>2004-04-01 16:25 EST</t>
  </si>
  <si>
    <t>2004-04-01 16:43:03 EST</t>
  </si>
  <si>
    <t>[('CREATED', '2004-04-01 16:25 EST'), ('jdt-ui-inbox', '2004-04-01 16:43:03 EST', 'Olivier_Thomann'), ('UI', '2004-04-01 16:43:03 EST', 'Olivier_Thomann'), ('RESOLVED', '2004-04-01 17:04:45 EST', 'dirk_baeumer'), ('P4', '2004-04-01 17:04:45 EST', 'dirk_baeumer'), ('LATER', '2004-04-01 17:04:45 EST', 'dirk_baeumer'), ('josma02', '2004-04-01 21:10:59 EST', 'josma02'), ('WONTFIX', '2009-08-30 02:24:43 EDT', 'denis.roy')]</t>
  </si>
  <si>
    <t>2004-04-02 08:50:43 EST</t>
  </si>
  <si>
    <t>2009-08-30 02:18:44 EDT</t>
  </si>
  <si>
    <t>2004-04-02 07:13 EST</t>
  </si>
  <si>
    <t>2004-04-02 08:46:42 EST</t>
  </si>
  <si>
    <t>[('CREATED', '2004-04-02 07:13 EST'), ('jdt-ui-inbox', '2004-04-02 08:46:42 EST', 'dj.houghton'), ('UI', '2004-04-02 08:46:42 EST', 'dj.houghton'), ('JDT', '2004-04-02 08:46:42 EST', 'dj.houghton'), ('RESOLVED', '2004-04-02 08:50:43 EST', 'dirk_baeumer'), ('LATER', '2004-04-02 08:50:43 EST', 'dirk_baeumer'), ("refactor - rename project doesn't update working-set [refactoring]", '2004-04-02 08:50:43 EST', 'dirk_baeumer'), ('WONTFIX', '2009-08-30 02:18:44 EDT', 'denis.roy')]</t>
  </si>
  <si>
    <t>2004-04-05 11:43:11 EDT</t>
  </si>
  <si>
    <t>2004-04-02 20:04 EST</t>
  </si>
  <si>
    <t>2004-04-04 12:50:54 EDT</t>
  </si>
  <si>
    <t>[('CREATED', '2004-04-02 20:04 EST'), ('dirk_baeumer', '2004-04-04 12:50:54 EDT', 'dirk_baeumer'), ('P2', '2004-04-04 12:50:54 EDT', 'dirk_baeumer'), ('3.0 M9', '2004-04-04 12:50:54 EDT', 'dirk_baeumer'), ('FIXED', '2004-04-05 11:43:11 EDT', 'dirk_baeumer'), ('RESOLVED', '2004-04-05 11:43:11 EDT', 'dirk_baeumer')]</t>
  </si>
  <si>
    <t>2004-04-05 14:40:42 EDT</t>
  </si>
  <si>
    <t>2009-08-30 02:15:45 EDT</t>
  </si>
  <si>
    <t>2004-04-05 05:18 EDT</t>
  </si>
  <si>
    <t>[('CREATED', '2004-04-05 05:18 EDT'), ('RESOLVED', '2004-04-05 14:40:42 EDT', 'dirk_baeumer'), ('LATER', '2004-04-05 14:40:42 EDT', 'dirk_baeumer'), ('refactor: extract method even with several local assignments [refactoring]', '2004-04-05 14:40:42 EDT', 'dirk_baeumer'), ('WONTFIX', '2009-08-30 02:15:45 EDT', 'denis.roy')]</t>
  </si>
  <si>
    <t>2004-04-06 07:27:16 EDT</t>
  </si>
  <si>
    <t>2009-08-30 02:13:11 EDT</t>
  </si>
  <si>
    <t>2004-04-05 14:31:26 EDT</t>
  </si>
  <si>
    <t>2004-04-06 05:49:04 EDT</t>
  </si>
  <si>
    <t>2004-04-05 06:29 EDT</t>
  </si>
  <si>
    <t>2004-04-05 14:18:28 EDT</t>
  </si>
  <si>
    <t>[('CREATED', '2004-04-05 06:29 EDT'), ('jdt-ui-inbox', '2004-04-05 14:18:28 EDT', 'debbie_wilson'), ('JDT', '2004-04-05 14:18:28 EDT', 'debbie_wilson'), ('RESOLVED', '2004-04-05 14:31:26 EDT', 'dirk_baeumer'), ('WORKSFORME', '2004-04-05 14:31:26 EDT', 'dirk_baeumer'), ('REOPENED', '2004-04-05 14:42:26 EDT', 'praful.kapadia'), ('---', '2004-04-05 14:42:26 EDT', 'praful.kapadia'), ('Quick Fix for selected text omits "surround with try/finally" [code manipulation] [refactoring]', '2004-04-05 15:23:44 EDT', 'dirk_baeumer'), ('RESOLVED', '2004-04-05 15:23:44 EDT', 'dirk_baeumer'), ('LATER', '2004-04-05 15:23:44 EDT', 'dirk_baeumer'), ('REOPENED', '2004-04-06 05:49:04 EDT', 'praful.kapadia'), ('---', '2004-04-06 05:49:04 EDT', 'praful.kapadia'), ('enhancement', '2004-04-06 07:27:16 EDT', 'dirk_baeumer'), ('RESOLVED', '2004-04-06 07:27:16 EDT', 'dirk_baeumer'), ('LATER', '2004-04-06 07:27:16 EDT', 'dirk_baeumer'), ('P5', '2004-04-06 07:49:45 EDT', 'praful.kapadia'), ('WONTFIX', '2009-08-30 02:13:11 EDT', 'denis.roy')]</t>
  </si>
  <si>
    <t>72148 74557 74564 (view as bug list)</t>
  </si>
  <si>
    <t>2004-09-24 12:56:28 EDT</t>
  </si>
  <si>
    <t>2004-08-30 06:05:20 EDT</t>
  </si>
  <si>
    <t>2004-04-05 11:36 EDT</t>
  </si>
  <si>
    <t>2004-04-05 14:28:02 EDT</t>
  </si>
  <si>
    <t>[('CREATED', '2004-04-05 11:36 EDT'), ('enhancement', '2004-04-05 14:28:02 EDT', 'dirk_baeumer'), ('RESOLVED', '2004-04-05 14:28:02 EDT', 'dirk_baeumer'), ('LATER', '2004-04-05 14:28:02 EDT', 'dirk_baeumer'), ("No 'Refactor &gt; Rename' on constructors [refactoring]", '2004-04-05 14:28:02 EDT', 'dirk_baeumer'), ('j.c.yip', '2004-08-30 06:03:59 EDT', 'markus.kell.r'), ('markus_keller', '2004-08-30 06:05:20 EDT', 'markus.kell.r'), ('REOPENED', '2004-08-30 06:05:20 EDT', 'markus.kell.r'), ('---', '2004-08-30 06:05:20 EDT', 'markus.kell.r'), ('ASSIGNED', '2004-08-30 06:05:46 EDT', 'markus.kell.r'), ('tobias_widmer', '2004-09-22 11:04:22 EDT', 'markus.kell.r'), ('RESOLVED', '2004-09-24 12:56:28 EDT', 'markus.kell.r'), ('FIXED', '2004-09-24 12:56:28 EDT', 'markus.kell.r'), ('3.1 M3', '2004-09-24 12:56:28 EDT', 'markus.kell.r')]</t>
  </si>
  <si>
    <t>2004-04-07 10:05:31 EDT</t>
  </si>
  <si>
    <t>2004-05-19 13:54:00 EDT</t>
  </si>
  <si>
    <t>2004-04-06 14:15 EDT</t>
  </si>
  <si>
    <t>[('CREATED', '2004-04-06 14:15 EDT'), ('RESOLVED', '2004-04-07 10:05:31 EDT', 'dirk_baeumer'), ('FIXED', '2004-04-07 10:05:31 EDT', 'dirk_baeumer'), ('3.0 M9', '2004-04-07 10:05:45 EDT', 'dirk_baeumer'), ('VERIFIED', '2004-05-19 13:54:00 EDT', 'markus.kell.r')]</t>
  </si>
  <si>
    <t>2004-04-06 17:03:38 EDT</t>
  </si>
  <si>
    <t>2004-04-06 16:57 EDT</t>
  </si>
  <si>
    <t>2004-04-06 16:59:08 EDT</t>
  </si>
  <si>
    <t>[('CREATED', '2004-04-06 16:57 EDT'), ('3.0 M9', '2004-04-06 16:59:08 EDT', 'andre_weinand'), ('RESOLVED', '2004-04-06 17:03:38 EDT', 'andre_weinand'), ('FIXED', '2004-04-06 17:03:38 EDT', 'andre_weinand')]</t>
  </si>
  <si>
    <t>2004-05-07 14:00:19 EDT</t>
  </si>
  <si>
    <t>2004-04-16 05:25:13 EDT</t>
  </si>
  <si>
    <t>2004-04-07 01:34 EDT</t>
  </si>
  <si>
    <t>2004-04-07 04:55:33 EDT</t>
  </si>
  <si>
    <t>2004-05-09 00:45:42 EDT</t>
  </si>
  <si>
    <t>wswb0922</t>
  </si>
  <si>
    <t>[('CREATED', '2004-04-07 01:34 EDT'), ('jdt-ui-inbox', '2004-04-07 04:55:33 EDT', 'daniel_megert'), ('UI', '2004-04-07 04:55:33 EDT', 'daniel_megert'), ('dirk_baeumer', '2004-04-07 12:05:16 EDT', 'dirk_baeumer'), ("DBCS:The ok button disabled when Factory method name's first charactor is not lower case. [refactoring]", '2004-04-07 12:05:16 EDT', 'dirk_baeumer'), ('3.0', '2004-04-07 12:05:16 EDT', 'dirk_baeumer'), ('RESOLVED', '2004-04-13 10:52:36 EDT', 'dirk_baeumer'), ('FIXED', '2004-04-13 10:52:36 EDT', 'dirk_baeumer'), ('3.0 M9', '2004-04-13 10:52:36 EDT', 'dirk_baeumer'), ('REOPENED', '2004-04-14 21:38:10 EDT', 'wswb0922'), ('---', '2004-04-14 21:38:10 EDT', 'wswb0922'), ('RESOLVED', '2004-04-15 03:16:17 EDT', 'dirk_baeumer'), ('FIXED', '2004-04-15 03:16:17 EDT', 'dirk_baeumer'), ('REOPENED', '2004-04-16 05:25:13 EDT', 'wswb0922'), ('---', '2004-04-16 05:25:13 EDT', 'wswb0922'), ('RESOLVED', '2004-05-07 14:00:19 EDT', 'dirk_baeumer'), ('FIXED', '2004-05-07 14:00:19 EDT', 'dirk_baeumer'), ('CLOSED', '2004-05-09 00:45:42 EDT', 'wswb0922')]</t>
  </si>
  <si>
    <t>2004-05-06 17:59:48 EDT</t>
  </si>
  <si>
    <t>2004-04-07 11:52 EDT</t>
  </si>
  <si>
    <t>2004-04-07 12:30:37 EDT</t>
  </si>
  <si>
    <t>[('CREATED', '2004-04-07 11:52 EDT'), ('jmockler', '2004-04-07 12:30:37 EDT', 'jmockler'), ('aiproulx', '2004-04-07 12:43:16 EDT', 'aiproulx'), ('luc_bourlier', '2004-04-07 12:53:47 EDT', 'eclipse'), ('sdavids', '2004-04-07 12:55:38 EDT', 'sdavids'), ('FIXED', '2004-05-06 17:59:48 EDT', 'dirk_baeumer'), ('RESOLVED', '2004-05-06 17:59:48 EDT', 'dirk_baeumer')]</t>
  </si>
  <si>
    <t>2004-04-13 10:47:15 EDT</t>
  </si>
  <si>
    <t>2004-04-08 10:37 EDT</t>
  </si>
  <si>
    <t>2004-04-13 09:40:51 EDT</t>
  </si>
  <si>
    <t>[('CREATED', '2004-04-08 10:37 EDT'), ('markus_keller', '2004-04-13 09:40:51 EDT', 'dirk_baeumer'), ('3.0', '2004-04-13 09:40:51 EDT', 'dirk_baeumer'), ('Exception when removing muliple elements [reorg] [refactoring]', '2004-04-13 09:41:08 EDT', 'dirk_baeumer'), ('RESOLVED', '2004-04-13 10:47:15 EDT', 'markus.kell.r'), ('FIXED', '2004-04-13 10:47:15 EDT', 'markus.kell.r'), ('3.0 M9', '2004-04-13 10:47:15 EDT', 'markus.kell.r')]</t>
  </si>
  <si>
    <t>2004-04-13 09:38:10 EDT</t>
  </si>
  <si>
    <t>2004-04-08 10:45 EDT</t>
  </si>
  <si>
    <t>2004-04-13 09:37:52 EDT</t>
  </si>
  <si>
    <t>[('CREATED', '2004-04-08 10:45 EDT'), ('dirk_baeumer', '2004-04-13 09:37:52 EDT', 'dirk_baeumer'), ('3.0 M9', '2004-04-13 09:37:52 EDT', 'dirk_baeumer'), ('RESOLVED', '2004-04-13 09:38:10 EDT', 'dirk_baeumer'), ('FIXED', '2004-04-13 09:38:10 EDT', 'dirk_baeumer')]</t>
  </si>
  <si>
    <t>2004-04-14 09:59:43 EDT</t>
  </si>
  <si>
    <t>2009-08-30 02:42:42 EDT</t>
  </si>
  <si>
    <t>2004-04-14 09:59:25 EDT</t>
  </si>
  <si>
    <t>2004-04-08 11:51 EDT</t>
  </si>
  <si>
    <t>2004-04-13 06:11:47 EDT</t>
  </si>
  <si>
    <t>[('CREATED', '2004-04-08 11:51 EDT'), ('RESOLVED', '2004-04-13 06:11:47 EDT', 'dirk_baeumer'), ('WONTFIX', '2004-04-13 06:11:47 EDT', 'dirk_baeumer'), ('REOPENED', '2004-04-14 09:12:12 EDT', 'alex.blewitt'), ('---', '2004-04-14 09:12:12 EDT', 'alex.blewitt'), ('RESOLVED', '2004-04-14 09:42:25 EDT', 'dirk_baeumer'), ('WONTFIX', '2004-04-14 09:42:25 EDT', 'dirk_baeumer'), ('REOPENED', '2004-04-14 09:59:25 EDT', 'alex.blewitt'), ('---', '2004-04-14 09:59:25 EDT', 'alex.blewitt'), ('RESOLVED', '2004-04-14 09:59:43 EDT', 'alex.blewitt'), ('LATER', '2004-04-14 09:59:43 EDT', 'alex.blewitt'), ('WONTFIX', '2009-08-30 02:42:42 EDT', 'webmaster')]</t>
  </si>
  <si>
    <t>2006-03-27 09:41:39 EST</t>
  </si>
  <si>
    <t>2004-04-08 12:22 EDT</t>
  </si>
  <si>
    <t>2004-04-13 06:37:12 EDT</t>
  </si>
  <si>
    <t>[('CREATED', '2004-04-08 12:22 EDT'), ('NLS search page should support contents assist [search] [refactoring]', '2004-04-13 06:37:12 EDT', 'dirk_baeumer'), ('enhancement', '2004-05-21 12:30:13 EDT', 'dirk_baeumer'), ('ASSIGNED', '2004-05-21 12:30:13 EDT', 'dirk_baeumer'), ('daniel.megert', '2006-03-27 09:41:39 EST', 'daniel_megert'), ('RESOLVED', '2006-03-27 09:41:39 EST', 'daniel_megert'), ('INVALID', '2006-03-27 09:41:39 EST', 'daniel_megert'), ('3.2 M6', '2006-03-27 09:41:39 EST', 'daniel_megert')]</t>
  </si>
  <si>
    <t>2006-06-02 05:51:20 EDT</t>
  </si>
  <si>
    <t>2004-04-08 14:26 EDT</t>
  </si>
  <si>
    <t>2004-05-18 13:06:32 EDT</t>
  </si>
  <si>
    <t>[('CREATED', '2004-04-08 14:26 EDT'), ('jdt-ui-inbox', '2004-05-18 13:06:32 EDT', 'jerome_lanneluc'), ('UI', '2004-05-18 13:06:32 EDT', 'jerome_lanneluc'), ('dirk_baeumer', '2004-05-18 13:50:00 EDT', 'dirk_baeumer'), ('Refactor rename failure causes unhandled Exceptions [refactoring]', '2004-05-18 13:50:00 EDT', 'dirk_baeumer'), ('kehn', '2004-06-18 15:21:43 EDT', 'kehn'), ('jdt-ui-inbox', '2006-06-02 05:50:07 EDT', 'martinae'), ('RESOLVED', '2006-06-02 05:51:20 EDT', 'martinae'), ('WONTFIX', '2006-06-02 05:51:20 EDT', 'martinae')]</t>
  </si>
  <si>
    <t>2004-04-13 06:31:02 EDT</t>
  </si>
  <si>
    <t>2004-04-08 19:10 EDT</t>
  </si>
  <si>
    <t>[('CREATED', '2004-04-08 19:10 EDT'), ('RESOLVED', '2004-04-13 06:31:02 EDT', 'dirk_baeumer'), ('WONTFIX', '2004-04-13 06:31:02 EDT', 'dirk_baeumer')]</t>
  </si>
  <si>
    <t>2004-04-13 06:06:20 EDT</t>
  </si>
  <si>
    <t>2009-08-30 02:40:49 EDT</t>
  </si>
  <si>
    <t>2004-04-11 14:21 EDT</t>
  </si>
  <si>
    <t>[('CREATED', '2004-04-11 14:21 EDT'), ('enhancement', '2004-04-13 06:06:20 EDT', 'dirk_baeumer'), ('RESOLVED', '2004-04-13 06:06:20 EDT', 'dirk_baeumer'), ('LATER', '2004-04-13 06:06:20 EDT', 'dirk_baeumer'), ('Add Extract Class Refactoring [refactoring]', '2004-04-13 06:06:20 EDT', 'dirk_baeumer'), ('ajweav', '2006-11-07 18:34:57 EST', 'ajweav'), ('[refactoring] [dcr] Add Extract Class Refactoring', '2006-11-29 02:56:55 EST', 'martinae'), ('WONTFIX', '2009-08-30 02:40:49 EDT', 'webmaster')]</t>
  </si>
  <si>
    <t>2004-04-13 10:47:39 EDT</t>
  </si>
  <si>
    <t>2004-04-13 09:19 EDT</t>
  </si>
  <si>
    <t>[('CREATED', '2004-04-13 09:19 EDT'), ('RESOLVED', '2004-04-13 10:47:39 EDT', 'dirk_baeumer'), ('FIXED', '2004-04-13 10:47:39 EDT', 'dirk_baeumer'), ('3.0 M9', '2004-04-13 10:47:39 EDT', 'dirk_baeumer')]</t>
  </si>
  <si>
    <t>2004-04-19 05:52:33 EDT</t>
  </si>
  <si>
    <t>2004-04-13 10:54 EDT</t>
  </si>
  <si>
    <t>2004-04-13 10:54:28 EDT</t>
  </si>
  <si>
    <t>[('CREATED', '2004-04-13 10:54 EDT'), ('3.0 M9', '2004-04-13 10:54:28 EDT', 'dirk_baeumer'), ('Patch against org.eclipse.jdt.ui, integration build I2004-0413 to fix the bug', '2004-04-16 11:18:20 EDT', 'rfuhrer'), ('RESOLVED', '2004-04-19 05:52:33 EDT', 'dirk_baeumer'), ('FIXED', '2004-04-19 05:52:33 EDT', 'dirk_baeumer')]</t>
  </si>
  <si>
    <t>2004-05-24 05:57:30 EDT</t>
  </si>
  <si>
    <t>2004-05-28 05:52:42 EDT</t>
  </si>
  <si>
    <t>2004-04-14 14:39 EDT</t>
  </si>
  <si>
    <t>2004-04-15 03:20:56 EDT</t>
  </si>
  <si>
    <t>[('CREATED', '2004-04-14 14:39 EDT'), ('markus_keller', '2004-04-15 03:20:56 EDT', 'dirk_baeumer'), ('changing signature refactoring interaction', '2004-04-15 03:20:56 EDT', 'dirk_baeumer'), ('changing signature refactoring interaction [refactoring]', '2004-04-15 03:21:09 EDT', 'dirk_baeumer'), ('changing signature refactoring interaction: validate as you type [refactoring]', '2004-04-15 03:57:27 EDT', 'markus.kell.r'), ('3.0', '2004-04-15 03:57:27 EDT', 'markus.kell.r'), ('ASSIGNED', '2004-04-15 03:57:27 EDT', 'markus.kell.r'), ('pascal_rapicault', '2004-05-14 13:16:58 EDT', 'markus.kell.r'), ('RESOLVED', '2004-05-24 05:57:30 EDT', 'markus.kell.r'), ('FIXED', '2004-05-24 05:57:30 EDT', 'markus.kell.r'), ('change signature refactoring interaction: validate as you type [refactoring]', '2004-05-24 05:57:30 EDT', 'markus.kell.r'), ('3.0 RC1', '2004-05-24 05:57:30 EDT', 'markus.kell.r'), ('VERIFIED', '2004-05-28 05:52:42 EDT', 'martinae')]</t>
  </si>
  <si>
    <t>2004-05-13 04:01:44 EDT</t>
  </si>
  <si>
    <t>2004-04-15 08:30 EDT</t>
  </si>
  <si>
    <t>2004-04-15 09:03:07 EDT</t>
  </si>
  <si>
    <t>[('CREATED', '2004-04-15 08:30 EDT'), ('jdt-ui-inbox', '2004-04-15 09:03:07 EDT', 'Olivier_Thomann'), ('UI', '2004-04-15 09:03:07 EDT', 'Olivier_Thomann'), ('dirk_baeumer', '2004-04-15 09:55:06 EDT', 'dirk_baeumer'), ('Refactor : Extract Method make mistake and replace lhs [refactoring]', '2004-04-15 09:55:06 EDT', 'dirk_baeumer'), ('3.0', '2004-04-15 09:55:06 EDT', 'dirk_baeumer'), ('RESOLVED', '2004-05-13 04:01:44 EDT', 'dirk_baeumer'), ('FIXED', '2004-05-13 04:01:44 EDT', 'dirk_baeumer'), ('3.0 M9', '2004-05-13 04:01:44 EDT', 'dirk_baeumer')]</t>
  </si>
  <si>
    <t>2004-10-25 06:13:14 EDT</t>
  </si>
  <si>
    <t>2009-08-03 14:07:50 EDT</t>
  </si>
  <si>
    <t>2004-04-15 09:57 EDT</t>
  </si>
  <si>
    <t>2004-04-15 10:02:03 EDT</t>
  </si>
  <si>
    <t>2013-01-25 14:06:29 EST</t>
  </si>
  <si>
    <t>[('CREATED', '2004-04-15 09:57 EDT'), ('enhancement', '2004-04-15 10:02:03 EDT', 'dirk_baeumer'), ('RESOLVED', '2004-04-15 10:02:03 EDT', 'dirk_baeumer'), ('LATER', '2004-04-15 10:02:03 EDT', 'dirk_baeumer'), ('Refactor : Extract Method can find simple aliasing [refactoring]', '2004-04-15 10:02:03 EDT', 'dirk_baeumer'), ('REOPENED', '2004-09-30 07:56:51 EDT', 'xmlizer'), ('---', '2004-09-30 07:56:51 EDT', 'xmlizer'), ('RESOLVED', '2004-10-25 06:13:14 EDT', 'dirk_baeumer'), ('LATER', '2004-10-25 06:13:14 EDT', 'dirk_baeumer'), ('bmuskalla, markus_keller', '2009-08-02 10:21:30 EDT', 'b.muskalla'), ('---', '2009-08-03 14:07:50 EDT', 'markus.kell.r'), ('REOPENED', '2009-08-03 14:07:50 EDT', 'markus.kell.r'), ('bmuskalla', '2009-08-03 14:10:31 EDT', 'markus.kell.r'), ('NEW', '2009-08-03 14:10:31 EDT', 'markus.kell.r'), ("[extract method] disregard 'this.' when finding duplicates (was: find simple aliasing)", '2009-08-03 14:10:31 EDT', 'markus.kell.r'), ('djanoiup', '2012-01-20 02:31:32 EST', 'djanoiup'), ('ASSIGNED', '2012-11-23 08:19:47 EST', 'markus.kell.r'), ('jdt-ui-inbox', '2012-11-23 08:19:47 EST', 'markus.kell.r'), ('daniel_megert', '2012-11-29 11:38:51 EST', 'daniel_megert'), ('1', '2012-12-08 12:32:42 EST', 'djanoiup'), ('review?(markus_keller)', '2012-12-12 10:39:34 EST', 'daniel_megert'), ('review-', '2013-01-25 14:06:29 EST', 'markus.kell.r')]</t>
  </si>
  <si>
    <t>2004-04-23 12:12:23 EDT</t>
  </si>
  <si>
    <t>2004-04-15 14:21 EDT</t>
  </si>
  <si>
    <t>2004-04-16 16:54:53 EDT</t>
  </si>
  <si>
    <t>[('CREATED', '2004-04-15 14:21 EDT'), ('fraenkel', '2004-04-16 16:54:53 EDT', 'fraenkel'), ('RESOLVED', '2004-04-23 12:12:23 EDT', 'dirk_baeumer'), ('FIXED', '2004-04-23 12:12:23 EDT', 'dirk_baeumer'), ('Externalize Strings reports bogus errors, offers no help to find them [nls] [refactoring]', '2004-04-23 12:12:23 EDT', 'dirk_baeumer')]</t>
  </si>
  <si>
    <t>RESOLVED  DUPLICATE  of bug 72008</t>
  </si>
  <si>
    <t>2004-09-15 07:25:12 EDT</t>
  </si>
  <si>
    <t>2004-09-15 07:24:40 EDT</t>
  </si>
  <si>
    <t>2004-04-16 04:43 EDT</t>
  </si>
  <si>
    <t>2004-04-16 04:59:28 EDT</t>
  </si>
  <si>
    <t>[('CREATED', '2004-04-16 04:43 EDT'), ('dirk_baeumer', '2004-04-16 04:59:28 EDT', 'dirk_baeumer'), ('3.0', '2004-04-16 04:59:28 EDT', 'dirk_baeumer'), ('---', '2004-05-14 08:43:55 EDT', 'dirk_baeumer'), ('RESOLVED', '2004-05-14 08:43:55 EDT', 'dirk_baeumer'), ('REMIND', '2004-05-14 08:43:55 EDT', 'dirk_baeumer'), ('REOPENED', '2004-09-15 07:24:40 EDT', 'dirk_baeumer'), ('---', '2004-09-15 07:24:40 EDT', 'dirk_baeumer'), ('RESOLVED', '2004-09-15 07:25:12 EDT', 'dirk_baeumer'), ('DUPLICATE', '2004-09-15 07:25:12 EDT', 'dirk_baeumer')]</t>
  </si>
  <si>
    <t>2004-05-12 08:52:38 EDT</t>
  </si>
  <si>
    <t>2004-04-16 04:52 EDT</t>
  </si>
  <si>
    <t>2004-04-16 04:56:35 EDT</t>
  </si>
  <si>
    <t>[('CREATED', '2004-04-16 04:52 EDT'), ('markus_keller', '2004-04-16 04:56:35 EDT', 'dirk_baeumer'), ('Wrong formatting in Extract Local Variable [refactoring]', '2004-04-16 04:56:35 EDT', 'dirk_baeumer'), ('3.0', '2004-04-16 04:56:35 EDT', 'dirk_baeumer'), ('3.0 M9', '2004-04-16 05:42:38 EDT', 'markus.kell.r'), ('P2', '2004-04-16 05:42:38 EDT', 'markus.kell.r'), ('ASSIGNED', '2004-04-16 05:42:48 EDT', 'markus.kell.r'), ('RESOLVED', '2004-05-12 08:52:38 EDT', 'markus.kell.r'), ('FIXED', '2004-05-12 08:52:38 EDT', 'markus.kell.r')]</t>
  </si>
  <si>
    <t>2004-05-24 17:02:02 EDT</t>
  </si>
  <si>
    <t>2004-05-28 10:05:14 EDT</t>
  </si>
  <si>
    <t>2004-04-16 06:06 EDT</t>
  </si>
  <si>
    <t>2004-04-16 06:26:03 EDT</t>
  </si>
  <si>
    <t>[('CREATED', '2004-04-16 06:06 EDT'), ('jdt-ui-inbox', '2004-04-16 06:26:03 EDT', 'philippe_mulet'), ('UI', '2004-04-16 06:26:03 EDT', 'philippe_mulet'), ('martin_aeschlimann', '2004-04-19 05:30:32 EDT', 'dirk_baeumer'), ("Quick fix 'remove without possible side effect' is wrong/misleading [qick fix]", '2004-04-19 05:30:32 EDT', 'dirk_baeumer'), ('3.0 RC1', '2004-05-21 11:10:11 EDT', 'martinae'), ('RESOLVED', '2004-05-24 17:02:02 EDT', 'martinae'), ('FIXED', '2004-05-24 17:02:02 EDT', 'martinae'), ('VERIFIED', '2004-05-28 10:05:14 EDT', 'eclipse')]</t>
  </si>
  <si>
    <t>2004-05-21 11:51:03 EDT</t>
  </si>
  <si>
    <t>2009-08-30 02:19:12 EDT</t>
  </si>
  <si>
    <t>2004-04-16 11:56 EDT</t>
  </si>
  <si>
    <t>2004-04-16 11:59:39 EDT</t>
  </si>
  <si>
    <t>[('CREATED', '2004-04-16 11:56 EDT'), ('brian_young', '2004-04-16 11:59:39 EDT', 'Brian_Young'), ('3.0 M9', '2004-04-16 12:58:25 EDT', 'daniel_megert'), ('daniel_megert', '2004-04-16 12:58:25 EDT', 'daniel_megert'), ('weisz', '2004-04-25 11:40:32 EDT', 'weisz'), ('nin', '2004-04-26 16:29:25 EDT', 'nin'), ('RESOLVED', '2004-05-21 11:51:03 EDT', 'daniel_megert'), ('LATER', '2004-05-21 11:51:03 EDT', 'daniel_megert'), ('---', '2004-05-21 11:51:03 EDT', 'daniel_megert'), ('WONTFIX', '2009-08-30 02:19:12 EDT', 'denis.roy'), ('jdt-ui-inbox', '2009-08-30 02:19:12 EDT', 'denis.roy')]</t>
  </si>
  <si>
    <t>58990</t>
  </si>
  <si>
    <t>2020-02-22 11:32:05 EST</t>
  </si>
  <si>
    <t>2004-04-16 16:45 EDT</t>
  </si>
  <si>
    <t>2005-02-23 05:28:29 EST</t>
  </si>
  <si>
    <t>[('CREATED', '2004-04-16 16:45 EDT'), ('58990', '2005-02-23 05:28:29 EST', 'dirk_baeumer'), ('andre_weinand', '2005-02-24 06:58:53 EST', 'dirk_baeumer'), ('WONTFIX', '2020-02-22 11:32:05 EST', 'genie'), ('CLOSED', '2020-02-22 11:32:05 EST', 'genie'), ('stalebug', '2020-02-22 11:32:05 EST', 'genie')]</t>
  </si>
  <si>
    <t>2004-04-21 11:00:04 EDT</t>
  </si>
  <si>
    <t>2004-04-16 21:26 EDT</t>
  </si>
  <si>
    <t>2004-04-19 04:44:12 EDT</t>
  </si>
  <si>
    <t>[('CREATED', '2004-04-16 21:26 EDT'), ('dirk_baeumer', '2004-04-19 04:44:12 EDT', 'dirk_baeumer'), ('markus_keller', '2004-04-19 04:44:12 EDT', 'dirk_baeumer'), ('Extract variable refactoring proposes inconsistent variable names [refactoring]', '2004-04-19 04:44:12 EDT', 'dirk_baeumer'), ('RESOLVED', '2004-04-21 11:00:04 EDT', 'markus.kell.r'), ('DUPLICATE', '2004-04-21 11:00:04 EDT', 'markus.kell.r')]</t>
  </si>
  <si>
    <t>2004-09-17 09:29:27 EDT</t>
  </si>
  <si>
    <t>2004-09-17 08:26:35 EDT</t>
  </si>
  <si>
    <t>2004-04-18 12:15 EDT</t>
  </si>
  <si>
    <t>2004-04-19 04:39:24 EDT</t>
  </si>
  <si>
    <t>[('CREATED', '2004-04-18 12:15 EDT'), ('dirk_baeumer', '2004-04-19 04:39:24 EDT', 'dirk_baeumer'), ('RESOLVED', '2004-04-19 04:39:44 EDT', 'dirk_baeumer'), ('FIXED', '2004-04-19 04:39:44 EDT', 'dirk_baeumer'), ('3.0 M9', '2004-04-19 04:39:44 EDT', 'dirk_baeumer'), ('REOPENED', '2004-09-17 08:26:35 EDT', 'sdavids'), ('---', '2004-09-17 08:26:35 EDT', 'sdavids'), ('RESOLVED', '2004-09-17 09:29:27 EDT', 'dirk_baeumer'), ('FIXED', '2004-09-17 09:29:27 EDT', 'dirk_baeumer'), ('3.1 M2', '2004-09-17 09:29:27 EDT', 'dirk_baeumer')]</t>
  </si>
  <si>
    <t>2004-04-20 13:24:47 EDT</t>
  </si>
  <si>
    <t>2009-08-30 02:39:29 EDT</t>
  </si>
  <si>
    <t>2004-04-19 10:19 EDT</t>
  </si>
  <si>
    <t>2004-04-20 06:01:28 EDT</t>
  </si>
  <si>
    <t>[('CREATED', '2004-04-19 10:19 EDT'), ('jdt-ui-inbox', '2004-04-20 06:01:28 EDT', 'daniel_megert'), ('UI', '2004-04-20 06:01:28 EDT', 'daniel_megert'), ('RESOLVED', '2004-04-20 13:24:47 EDT', 'dirk_baeumer'), ('P4', '2004-04-20 13:24:47 EDT', 'dirk_baeumer'), ('LATER', '2004-04-20 13:24:47 EDT', 'dirk_baeumer'), ('[source] new cmd: move var to outer scope [refactoring]', '2004-04-20 13:24:47 EDT', 'dirk_baeumer'), ('WONTFIX', '2009-08-30 02:39:29 EDT', 'webmaster')]</t>
  </si>
  <si>
    <t>2004-04-23 11:54:56 EDT</t>
  </si>
  <si>
    <t>2004-04-19 10:50 EDT</t>
  </si>
  <si>
    <t>2004-04-19 10:54:04 EDT</t>
  </si>
  <si>
    <t>[('CREATED', '2004-04-19 10:50 EDT'), ('jdt-ui-inbox', '2004-04-19 10:54:04 EDT', 'Olivier_Thomann'), ('UI', '2004-04-19 10:54:04 EDT', 'Olivier_Thomann'), ('fraenkel', '2004-04-19 16:53:16 EDT', 'fraenkel'), ('FIXED', '2004-04-23 11:54:56 EDT', 'dirk_baeumer'), ('RESOLVED', '2004-04-23 11:54:56 EDT', 'dirk_baeumer')]</t>
  </si>
  <si>
    <t>2004-05-16 11:17:57 EDT</t>
  </si>
  <si>
    <t>2004-04-23 09:06:37 EDT</t>
  </si>
  <si>
    <t>2004-04-19 17:36 EDT</t>
  </si>
  <si>
    <t>2004-04-20 04:15:27 EDT</t>
  </si>
  <si>
    <t>[('CREATED', '2004-04-19 17:36 EDT'), ('RESOLVED', '2004-04-20 04:15:27 EDT', 'dirk_baeumer'), ('FIXED', '2004-04-20 04:15:27 EDT', 'dirk_baeumer'), ('3.0 M9', '2004-04-20 04:15:27 EDT', 'dirk_baeumer'), ('REOPENED', '2004-04-23 09:06:37 EDT', 'jcompagner'), ('---', '2004-04-23 09:06:37 EDT', 'jcompagner'), ('Externalize Strings generates compile error.. [nls] [refactoring]', '2004-04-23 11:45:51 EDT', 'dirk_baeumer'), ('---', '2004-05-13 08:58:58 EDT', 'dirk_baeumer'), ('RESOLVED', '2004-05-16 11:17:57 EDT', 'dirk_baeumer'), ('FIXED', '2004-05-16 11:17:57 EDT', 'dirk_baeumer')]</t>
  </si>
  <si>
    <t>65821 67784 (view as bug list)</t>
  </si>
  <si>
    <t>2004-08-19 17:51:13 EDT</t>
  </si>
  <si>
    <t>2004-07-08 09:54:27 EDT</t>
  </si>
  <si>
    <t>2004-04-19 17:39 EDT</t>
  </si>
  <si>
    <t>2004-04-20 04:07:58 EDT</t>
  </si>
  <si>
    <t>[('CREATED', '2004-04-19 17:39 EDT'), ('enhancement', '2004-04-20 04:07:58 EDT', 'dirk_baeumer'), ('Externalize Strings should remember the input values of the last time. [refactoring] [nls]', '2004-04-20 04:07:58 EDT', 'dirk_baeumer'), ('dirk_baeumer', '2004-05-16 11:21:43 EDT', 'dirk_baeumer'), ('martin_aeschlimann', '2004-05-16 11:21:43 EDT', 'dirk_baeumer'), ('jean-michel_lemieux', '2004-07-08 05:35:57 EDT', 'martinae'), ('jljlmatu', '2004-07-08 05:36:52 EDT', 'martinae'), ('RESOLVED', '2004-07-08 06:07:46 EDT', 'martinae'), ('FIXED', '2004-07-08 06:07:46 EDT', 'martinae'), ('REOPENED', '2004-07-08 09:54:27 EDT', 'martinae'), ('---', '2004-07-08 09:54:27 EDT', 'martinae'), ('3.0.1', '2004-07-08 09:54:27 EDT', 'martinae'), ('tonny', '2004-07-19 05:37:48 EDT', 'tonny.madsen'), ('RESOLVED', '2004-08-19 17:51:13 EDT', 'dirk_baeumer'), ('FIXED', '2004-08-19 17:51:13 EDT', 'dirk_baeumer'), ('3.1 M2', '2004-08-19 17:51:13 EDT', 'dirk_baeumer')]</t>
  </si>
  <si>
    <t>59505 59789 59794 59973 60034 (view as bug list)</t>
  </si>
  <si>
    <t>2004-04-20 06:53:43 EDT</t>
  </si>
  <si>
    <t>2004-04-20 06:46 EDT</t>
  </si>
  <si>
    <t>2004-04-20 06:53:28 EDT</t>
  </si>
  <si>
    <t>2004-04-27 04:14:46 EDT</t>
  </si>
  <si>
    <t>[('CREATED', '2004-04-20 06:46 EDT'), ('dirk_baeumer', '2004-04-20 06:53:28 EDT', 'dirk_baeumer'), ('RESOLVED', '2004-04-20 06:53:43 EDT', 'dirk_baeumer'), ('FIXED', '2004-04-20 06:53:43 EDT', 'dirk_baeumer'), ('3.0 M9', '2004-04-20 06:53:43 EDT', 'dirk_baeumer'), ('dj_houghton', '2004-04-22 03:45:06 EDT', 'dirk_baeumer'), ('rafael_chaves', '2004-04-22 10:01:17 EDT', 'eclipse'), ('Michael_Valenta', '2004-04-23 11:27:17 EDT', 'dirk_baeumer'), ('Olivier_Thomann', '2004-04-23 11:27:55 EDT', 'dirk_baeumer'), ('wassimm', '2004-04-27 04:14:46 EDT', 'dirk_baeumer')]</t>
  </si>
  <si>
    <t>2004-05-10 11:36:37 EDT</t>
  </si>
  <si>
    <t>2004-04-20 10:46 EDT</t>
  </si>
  <si>
    <t>2004-04-20 10:46:12 EDT</t>
  </si>
  <si>
    <t>[('CREATED', '2004-04-20 10:46 EDT'), ('3.0 M9', '2004-04-20 10:46:12 EDT', 'dirk_baeumer'), ('markus_keller', '2004-04-21 13:40:04 EDT', 'markus.kell.r'), ('martin_aeschlimann', '2004-04-21 13:40:04 EDT', 'markus.kell.r'), ('RESOLVED', '2004-05-10 11:36:37 EDT', 'martinae'), ('FIXED', '2004-05-10 11:36:37 EDT', 'martinae')]</t>
  </si>
  <si>
    <t>2004-05-13 09:18:59 EDT</t>
  </si>
  <si>
    <t>2004-04-20 11:49 EDT</t>
  </si>
  <si>
    <t>2004-04-20 13:13:43 EDT</t>
  </si>
  <si>
    <t>[('CREATED', '2004-04-20 11:49 EDT'), ('rfuhrer', '2004-04-20 13:13:43 EDT', 'dirk_baeumer'), ('Introduce Factory fails with SuperConstructorInvocation [refactoring]', '2004-04-20 13:13:43 EDT', 'dirk_baeumer'), ('3.0 M9', '2004-04-20 13:13:43 EDT', 'dirk_baeumer'), ('1', '2004-05-06 09:38:01 EDT', 'rfuhrer'), ('RESOLVED', '2004-05-13 09:18:59 EDT', 'dirk_baeumer'), ('FIXED', '2004-05-13 09:18:59 EDT', 'dirk_baeumer')]</t>
  </si>
  <si>
    <t>2004-05-13 14:08:32 EDT</t>
  </si>
  <si>
    <t>2004-04-20 11:56 EDT</t>
  </si>
  <si>
    <t>2004-04-20 13:11:56 EDT</t>
  </si>
  <si>
    <t>2004-05-13 14:08:48 EDT</t>
  </si>
  <si>
    <t>[('CREATED', '2004-04-20 11:56 EDT'), ('P2', '2004-04-20 13:11:56 EDT', 'dirk_baeumer'), ('3.0 M9', '2004-04-20 13:11:56 EDT', 'dirk_baeumer'), ('rfuhrer', '2004-04-20 13:16:00 EDT', 'dirk_baeumer'), ('RESOLVED', '2004-05-13 14:08:32 EDT', 'dirk_baeumer'), ('FIXED', '2004-05-13 14:08:32 EDT', 'dirk_baeumer'), ('dirk_baeumer', '2004-05-13 14:08:48 EDT', 'dirk_baeumer')]</t>
  </si>
  <si>
    <t>2004-05-13 12:48:42 EDT</t>
  </si>
  <si>
    <t>2004-04-20 11:58 EDT</t>
  </si>
  <si>
    <t>2004-04-20 13:10:39 EDT</t>
  </si>
  <si>
    <t>[('CREATED', '2004-04-20 11:58 EDT'), ('rfuhrer', '2004-04-20 13:10:39 EDT', 'dirk_baeumer'), ('3.0 M9', '2004-04-20 13:10:39 EDT', 'dirk_baeumer'), ('RESOLVED', '2004-05-13 12:48:42 EDT', 'dirk_baeumer'), ('FIXED', '2004-05-13 12:48:42 EDT', 'dirk_baeumer')]</t>
  </si>
  <si>
    <t>RESOLVED  DUPLICATE  of bug 64015</t>
  </si>
  <si>
    <t>2004-05-26 14:00:14 EDT</t>
  </si>
  <si>
    <t>2004-04-20 13:44 EDT</t>
  </si>
  <si>
    <t>2004-04-21 04:36:18 EDT</t>
  </si>
  <si>
    <t>[('CREATED', '2004-04-20 13:44 EDT'), ('markus_keller', '2004-04-21 04:36:18 EDT', 'dirk_baeumer'), ('AFE in Extract Local Variable when AssociativeInfixExpressionFragment selected [refactoring]', '2004-04-21 04:36:18 EDT', 'dirk_baeumer'), ('RESOLVED', '2004-05-26 14:00:14 EDT', 'markus.kell.r'), ('DUPLICATE', '2004-05-26 14:00:14 EDT', 'markus.kell.r')]</t>
  </si>
  <si>
    <t>2004-04-29 12:46:23 EDT</t>
  </si>
  <si>
    <t>2009-08-30 02:16:35 EDT</t>
  </si>
  <si>
    <t>2004-04-29 11:01:39 EDT</t>
  </si>
  <si>
    <t>2004-04-21 09:56 EDT</t>
  </si>
  <si>
    <t>2004-04-22 09:36:35 EDT</t>
  </si>
  <si>
    <t>[('CREATED', '2004-04-21 09:56 EDT'), ('platform-search-inbox', '2004-04-22 09:36:35 EDT', 'debbie_wilson'), ('Search', '2004-04-22 09:36:35 EDT', 'debbie_wilson'), ('RESOLVED', '2004-04-29 05:40:47 EDT', 'tmader'), ('WONTFIX', '2004-04-29 05:40:47 EDT', 'tmader'), ('enhancement', '2004-04-29 11:01:39 EDT', 'dev.tom.menzel'), ('REOPENED', '2004-04-29 11:01:39 EDT', 'dev.tom.menzel'), ('UI', '2004-04-29 11:01:39 EDT', 'dev.tom.menzel'), ('P2', '2004-04-29 11:01:39 EDT', 'dev.tom.menzel'), ('JDT', '2004-04-29 11:01:39 EDT', 'dev.tom.menzel'), ('---', '2004-04-29 11:01:39 EDT', 'dev.tom.menzel'), ('jdt-ui-inbox', '2004-04-29 11:02:17 EDT', 'dev.tom.menzel'), ('NEW', '2004-04-29 11:02:17 EDT', 'dev.tom.menzel'), ('RESOLVED', '2004-04-29 12:46:23 EDT', 'dirk_baeumer'), ('LATER', '2004-04-29 12:46:23 EDT', 'dirk_baeumer'), ('Links to certain views [general] [misc]', '2004-04-29 12:46:23 EDT', 'dirk_baeumer'), ('WONTFIX', '2009-08-30 02:16:35 EDT', 'denis.roy')]</t>
  </si>
  <si>
    <t>2004-04-23 11:44:09 EDT</t>
  </si>
  <si>
    <t>2009-08-30 02:39:25 EDT</t>
  </si>
  <si>
    <t>2004-04-21 11:18 EDT</t>
  </si>
  <si>
    <t>2004-04-23 08:45:12 EDT</t>
  </si>
  <si>
    <t>[('CREATED', '2004-04-21 11:18 EDT'), ('jdt-ui-inbox', '2004-04-23 08:45:12 EDT', 'philippe_mulet'), ('UI', '2004-04-23 08:45:12 EDT', 'philippe_mulet'), ('Take plugin dependencies into account when refactoring [refactoring]', '2004-04-23 11:44:09 EDT', 'dirk_baeumer'), ('RESOLVED', '2004-04-23 11:44:09 EDT', 'dirk_baeumer'), ('LATER', '2004-04-23 11:44:09 EDT', 'dirk_baeumer'), ('WONTFIX', '2009-08-30 02:39:25 EDT', 'webmaster')]</t>
  </si>
  <si>
    <t>RESOLVED  DUPLICATE  of bug 55845</t>
  </si>
  <si>
    <t>2004-04-22 03:46:49 EDT</t>
  </si>
  <si>
    <t>2004-04-21 15:26 EDT</t>
  </si>
  <si>
    <t>[('CREATED', '2004-04-21 15:26 EDT'), ('RESOLVED', '2004-04-22 03:46:49 EDT', 'dirk_baeumer'), ('DUPLICATE', '2004-04-22 03:46:49 EDT', 'dirk_baeumer')]</t>
  </si>
  <si>
    <t>RESOLVED  DUPLICATE  of bug 59214</t>
  </si>
  <si>
    <t>2004-04-22 03:45:06 EDT</t>
  </si>
  <si>
    <t>2004-04-21 15:28 EDT</t>
  </si>
  <si>
    <t>[('CREATED', '2004-04-21 15:28 EDT'), ('RESOLVED', '2004-04-22 03:45:06 EDT', 'dirk_baeumer'), ('DUPLICATE', '2004-04-22 03:45:06 EDT', 'dirk_baeumer')]</t>
  </si>
  <si>
    <t>2004-04-22 06:48:37 EDT</t>
  </si>
  <si>
    <t>2004-04-22 05:24 EDT</t>
  </si>
  <si>
    <t>[('CREATED', '2004-04-22 05:24 EDT'), ('RESOLVED', '2004-04-22 06:48:37 EDT', 'dirk_baeumer'), ('LATER', '2004-04-22 06:48:37 EDT', 'dirk_baeumer'), ('WONTFIX', '2009-08-30 02:14:01 EDT', 'denis.roy')]</t>
  </si>
  <si>
    <t>2005-09-10 12:57:45 EDT</t>
  </si>
  <si>
    <t>2005-09-20 04:50:58 EDT</t>
  </si>
  <si>
    <t>2004-04-22 06:26 EDT</t>
  </si>
  <si>
    <t>[('CREATED', '2004-04-22 06:26 EDT'), ('RESOLVED', '2005-09-10 12:57:45 EDT', 'dirk_baeumer'), ('FIXED', '2005-09-10 12:57:45 EDT', 'dirk_baeumer'), ('3.2 M2', '2005-09-10 12:57:45 EDT', 'dirk_baeumer'), ('martin_aeschlimann', '2005-09-20 04:46:46 EDT', 'benno.baumgartner'), ('VERIFIED', '2005-09-20 04:50:58 EDT', 'martinae')]</t>
  </si>
  <si>
    <t>2004-04-23 03:32:46 EDT</t>
  </si>
  <si>
    <t>2004-04-22 12:10 EDT</t>
  </si>
  <si>
    <t>2004-04-22 12:46:57 EDT</t>
  </si>
  <si>
    <t>[('CREATED', '2004-04-22 12:10 EDT'), ('minor', '2004-04-22 12:46:57 EDT', 'brandow'), ('dirk_baeumer', '2004-04-23 03:32:20 EDT', 'dirk_baeumer'), ('RESOLVED', '2004-04-23 03:32:46 EDT', 'dirk_baeumer'), ('FIXED', '2004-04-23 03:32:46 EDT', 'dirk_baeumer'), ('3.0 M9', '2004-04-23 03:32:46 EDT', 'dirk_baeumer')]</t>
  </si>
  <si>
    <t>2004-04-23 14:40:09 EDT</t>
  </si>
  <si>
    <t>2004-04-22 14:39 EDT</t>
  </si>
  <si>
    <t>2004-04-23 03:46:11 EDT</t>
  </si>
  <si>
    <t>[('CREATED', '2004-04-22 14:39 EDT'), ('P2', '2004-04-23 03:46:11 EDT', 'dirk_baeumer'), ('3.0 M9', '2004-04-23 03:46:11 EDT', 'dirk_baeumer'), ('RESOLVED', '2004-04-23 14:40:09 EDT', 'eclipse'), ('WORKSFORME', '2004-04-23 14:40:09 EDT', 'eclipse')]</t>
  </si>
  <si>
    <t>2004-05-12 10:35:34 EDT</t>
  </si>
  <si>
    <t>2004-04-22 17:03 EDT</t>
  </si>
  <si>
    <t>2004-04-23 03:29:48 EDT</t>
  </si>
  <si>
    <t>[('CREATED', '2004-04-22 17:03 EDT'), ('markus_keller', '2004-04-23 03:29:48 EDT', 'dirk_baeumer'), ('Refactoring: Classes cannot be moved in other class [refactoring]', '2004-04-23 03:30:02 EDT', 'dirk_baeumer'), ('RESOLVED', '2004-05-12 10:35:34 EDT', 'markus.kell.r'), ('FIXED', '2004-05-12 10:35:34 EDT', 'markus.kell.r'), ('3.0 M9', '2004-05-12 10:35:34 EDT', 'markus.kell.r')]</t>
  </si>
  <si>
    <t>2004-05-04 14:04:56 EDT</t>
  </si>
  <si>
    <t>2004-04-23 05:40 EDT</t>
  </si>
  <si>
    <t>2004-04-23 12:04:40 EDT</t>
  </si>
  <si>
    <t>[('CREATED', '2004-04-23 05:40 EDT'), ('Externalize Strings please add filter options now.. [nls] [refactoring]', '2004-04-23 12:04:40 EDT', 'dirk_baeumer'), ('RESOLVED', '2004-05-04 14:04:56 EDT', 'dirk_baeumer'), ('FIXED', '2004-05-04 14:04:56 EDT', 'dirk_baeumer'), ('3.0 M9', '2004-05-04 14:04:56 EDT', 'dirk_baeumer')]</t>
  </si>
  <si>
    <t>2004-05-21 12:37:58 EDT</t>
  </si>
  <si>
    <t>2009-08-30 02:42:07 EDT</t>
  </si>
  <si>
    <t>2004-04-23 06:06 EDT</t>
  </si>
  <si>
    <t>2004-04-23 12:03:41 EDT</t>
  </si>
  <si>
    <t>[('CREATED', '2004-04-23 06:06 EDT'), ('Externalize Strings fast (double) click on 3 state checkbox opens dialog. [nls] [refactoring]', '2004-04-23 12:03:41 EDT', 'dirk_baeumer'), ('RESOLVED', '2004-05-21 12:37:58 EDT', 'dirk_baeumer'), ('LATER', '2004-05-21 12:37:58 EDT', 'dirk_baeumer'), ('WONTFIX', '2009-08-30 02:42:07 EDT', 'webmaster')]</t>
  </si>
  <si>
    <t>2004-05-04 14:19:01 EDT</t>
  </si>
  <si>
    <t>2009-08-30 02:39:28 EDT</t>
  </si>
  <si>
    <t>2004-04-23 07:45 EDT</t>
  </si>
  <si>
    <t>2004-04-23 08:34:05 EDT</t>
  </si>
  <si>
    <t>[('CREATED', '2004-04-23 07:45 EDT'), ('enhancement', '2004-04-23 08:34:05 EDT', 'dirk_baeumer'), ('Externalize Strings using MessageFormat to generate keys with dynamic arguments [nls] [refactoring]', '2004-04-25 17:53:18 EDT', 'dirk_baeumer'), ('RESOLVED', '2004-05-04 14:19:01 EDT', 'dirk_baeumer'), ('LATER', '2004-05-04 14:19:01 EDT', 'dirk_baeumer'), ('WONTFIX', '2009-08-30 02:39:28 EDT', 'webmaster')]</t>
  </si>
  <si>
    <t>2004-05-27 12:43:16 EDT</t>
  </si>
  <si>
    <t>2004-06-11 12:40:59 EDT</t>
  </si>
  <si>
    <t>2004-04-23 07:54 EDT</t>
  </si>
  <si>
    <t>2004-04-23 11:55:56 EDT</t>
  </si>
  <si>
    <t>[('CREATED', '2004-04-23 07:54 EDT'), ('Externalize Strings generates double entries in the messages.properties [nls] [refactoring]', '2004-04-23 11:55:56 EDT', 'dirk_baeumer'), ('P4', '2004-05-04 14:19:43 EDT', 'dirk_baeumer'), ('martin_aeschlimann', '2004-05-20 12:23:03 EDT', 'dirk_baeumer'), ('3.0 RC1', '2004-05-21 11:04:21 EDT', 'martinae'), ('RESOLVED', '2004-05-27 12:43:16 EDT', 'martinae'), ('FIXED', '2004-05-27 12:43:16 EDT', 'martinae'), ('VERIFIED', '2004-06-11 12:40:59 EDT', 'tmader')]</t>
  </si>
  <si>
    <t>2004-04-23 11:27:55 EDT</t>
  </si>
  <si>
    <t>2004-04-23 10:43 EDT</t>
  </si>
  <si>
    <t>[('CREATED', '2004-04-23 10:43 EDT'), ('RESOLVED', '2004-04-23 11:27:55 EDT', 'dirk_baeumer'), ('DUPLICATE', '2004-04-23 11:27:55 EDT', 'dirk_baeumer')]</t>
  </si>
  <si>
    <t>2004-05-04 14:21:18 EDT</t>
  </si>
  <si>
    <t>2004-04-23 10:51 EDT</t>
  </si>
  <si>
    <t>2004-04-23 13:03:51 EDT</t>
  </si>
  <si>
    <t>[('CREATED', '2004-04-23 10:51 EDT'), ('Externalize Strings, exists problem XXX different than value: "XXX" [nls] [refactoring]', '2004-04-23 13:03:51 EDT', 'dirk_baeumer'), ('RESOLVED', '2004-05-04 14:21:18 EDT', 'dirk_baeumer'), ('LATER', '2004-05-04 14:21:18 EDT', 'dirk_baeumer'), ('WONTFIX', '2009-08-30 02:19:48 EDT', 'denis.roy')]</t>
  </si>
  <si>
    <t>2004-04-23 11:27:17 EDT</t>
  </si>
  <si>
    <t>2004-04-23 11:01 EDT</t>
  </si>
  <si>
    <t>[('CREATED', '2004-04-23 11:01 EDT'), ('RESOLVED', '2004-04-23 11:27:17 EDT', 'dirk_baeumer'), ('DUPLICATE', '2004-04-23 11:27:17 EDT', 'dirk_baeumer')]</t>
  </si>
  <si>
    <t>RESOLVED  DUPLICATE  of bug 37219</t>
  </si>
  <si>
    <t>2005-03-09 08:59:22 EST</t>
  </si>
  <si>
    <t>2005-03-09 08:58:52 EST</t>
  </si>
  <si>
    <t>2004-04-26 03:50 EDT</t>
  </si>
  <si>
    <t>2004-04-26 07:19:40 EDT</t>
  </si>
  <si>
    <t>[('CREATED', '2004-04-26 03:50 EDT'), ('jdt-ui-inbox', '2004-04-26 07:19:40 EDT', 'philippe_mulet'), ('UI', '2004-04-26 07:19:40 EDT', 'philippe_mulet'), ('RESOLVED', '2004-04-26 09:53:30 EDT', 'dirk_baeumer'), ('LATER', '2004-04-26 09:53:30 EDT', 'dirk_baeumer'), ('renaming a class may change class instance names [refactoring]', '2004-04-26 09:53:30 EDT', 'dirk_baeumer'), ('REOPENED', '2005-03-09 08:58:52 EST', 'dirk_baeumer'), ('---', '2005-03-09 08:58:52 EST', 'dirk_baeumer'), ('RESOLVED', '2005-03-09 08:59:22 EST', 'dirk_baeumer'), ('DUPLICATE', '2005-03-09 08:59:22 EST', 'dirk_baeumer')]</t>
  </si>
  <si>
    <t>2004-04-26 13:04:50 EDT</t>
  </si>
  <si>
    <t>2004-04-26 12:32 EDT</t>
  </si>
  <si>
    <t>[('CREATED', '2004-04-26 12:32 EDT'), ('RESOLVED', '2004-04-26 13:04:50 EDT', 'dirk_baeumer'), ('DUPLICATE', '2004-04-26 13:04:50 EDT', 'dirk_baeumer')]</t>
  </si>
  <si>
    <t>2004-04-27 04:32:18 EDT</t>
  </si>
  <si>
    <t>2009-08-30 02:24:42 EDT</t>
  </si>
  <si>
    <t>2004-04-26 17:13 EDT</t>
  </si>
  <si>
    <t>[('CREATED', '2004-04-26 17:13 EDT'), ('enhancement', '2004-04-27 04:32:18 EDT', 'dirk_baeumer'), ('RESOLVED', '2004-04-27 04:32:18 EDT', 'dirk_baeumer'), ('LATER', '2004-04-27 04:32:18 EDT', 'dirk_baeumer'), ('Refactoring framework not used when moving inner classes [refactoring]', '2004-04-27 04:32:18 EDT', 'dirk_baeumer'), ('WONTFIX', '2009-08-30 02:24:42 EDT', 'denis.roy')]</t>
  </si>
  <si>
    <t>2004-04-26 17:34 EDT</t>
  </si>
  <si>
    <t>2004-04-27 02:24:29 EDT</t>
  </si>
  <si>
    <t>[('CREATED', '2004-04-26 17:34 EDT'), ('dirk_baeumer', '2004-04-27 02:24:29 EDT', 'daniel_megert'), ('UI', '2004-04-27 02:24:29 EDT', 'daniel_megert'), ('JDT', '2004-04-27 02:24:29 EDT', 'daniel_megert'), ('RESOLVED', '2004-04-27 04:14:46 EDT', 'dirk_baeumer'), ('DUPLICATE', '2004-04-27 04:14:46 EDT', 'dirk_baeumer')]</t>
  </si>
  <si>
    <t>2004-05-04 14:21:56 EDT</t>
  </si>
  <si>
    <t>2004-04-26 20:13 EDT</t>
  </si>
  <si>
    <t>[('CREATED', '2004-04-26 20:13 EDT'), ('RESOLVED', '2004-05-04 14:21:56 EDT', 'dirk_baeumer'), ('FIXED', '2004-05-04 14:21:56 EDT', 'dirk_baeumer'), ('3.0 M9', '2004-05-04 14:21:56 EDT', 'dirk_baeumer')]</t>
  </si>
  <si>
    <t>2004-04-28 05:32:51 EDT</t>
  </si>
  <si>
    <t>2009-08-30 02:06:33 EDT</t>
  </si>
  <si>
    <t>2004-04-27 08:52 EDT</t>
  </si>
  <si>
    <t>2004-04-27 12:03:03 EDT</t>
  </si>
  <si>
    <t>[('CREATED', '2004-04-27 08:52 EDT'), ('jdt-ui-inbox', '2004-04-27 12:03:03 EDT', 'eclipse'), ('JDT', '2004-04-27 12:03:03 EDT', 'eclipse'), ('normal', '2004-04-28 05:32:51 EDT', 'dirk_baeumer'), ('RESOLVED', '2004-04-28 05:32:51 EDT', 'dirk_baeumer'), ('REMIND', '2004-04-28 05:32:51 EDT', 'dirk_baeumer'), ('INVALID', '2009-08-30 02:06:33 EDT', 'denis.roy'), ('needinfo', '2009-08-30 02:06:33 EDT', 'denis.roy')]</t>
  </si>
  <si>
    <t>185084 320232 (view as bug list)</t>
  </si>
  <si>
    <t>2004-04-27 13:12:53 EDT</t>
  </si>
  <si>
    <t>2009-08-30 02:15:24 EDT</t>
  </si>
  <si>
    <t>2010-07-28 09:12:11 EDT</t>
  </si>
  <si>
    <t>2004-04-27 12:17 EDT</t>
  </si>
  <si>
    <t>2010-07-28 09:12:25 EDT</t>
  </si>
  <si>
    <t>[('CREATED', '2004-04-27 12:17 EDT'), ('RESOLVED', '2004-04-27 13:12:53 EDT', 'dirk_baeumer'), ('LATER', '2004-04-27 13:12:53 EDT', 'dirk_baeumer'), ('Option to move subpackages [refactoring]', '2004-04-27 13:12:53 EDT', 'dirk_baeumer'), ('eclipse-bugs', '2007-05-08 12:05:50 EDT', 'martinae'), ('[reorg] Option to move subpackages', '2007-05-08 12:06:42 EDT', 'martinae'), ('WONTFIX', '2009-08-30 02:15:24 EDT', 'denis.roy'), ('REOPENED', '2010-07-28 09:12:11 EDT', 'daniel_megert'), ('daniel_megert', '2010-07-28 09:12:11 EDT', 'daniel_megert'), ('---', '2010-07-28 09:12:11 EDT', 'daniel_megert'), ('ASSIGNED', '2010-07-28 09:12:18 EDT', 'daniel_megert'), ('Sebastian.Dietrich', '2010-07-28 09:12:25 EDT', 'daniel_megert')]</t>
  </si>
  <si>
    <t>2004-04-28 09:58:09 EDT</t>
  </si>
  <si>
    <t>2004-04-28 05:34 EDT</t>
  </si>
  <si>
    <t>2004-04-28 05:40:47 EDT</t>
  </si>
  <si>
    <t>[('CREATED', '2004-04-28 05:34 EDT'), ('jdt-ui-inbox', '2004-04-28 05:40:47 EDT', 'philippe_mulet'), ('UI', '2004-04-28 05:40:47 EDT', 'philippe_mulet'), ('RESOLVED', '2004-04-28 09:58:09 EDT', 'dirk_baeumer'), ('WORKSFORME', '2004-04-28 09:58:09 EDT', 'dirk_baeumer')]</t>
  </si>
  <si>
    <t>RESOLVED  DUPLICATE  of bug 44358</t>
  </si>
  <si>
    <t>2004-05-09 05:02:28 EDT</t>
  </si>
  <si>
    <t>2004-04-28 13:35 EDT</t>
  </si>
  <si>
    <t>2004-04-29 05:19:03 EDT</t>
  </si>
  <si>
    <t>[('CREATED', '2004-04-28 13:35 EDT'), ('martin_aeschlimann', '2004-04-29 05:19:03 EDT', 'dirk_baeumer'), ("quick assist: name guessing for 'assign expr to new temp' [quick fix]", '2004-04-29 05:19:03 EDT', 'dirk_baeumer'), ('RESOLVED', '2004-05-09 05:02:28 EDT', 'martinae'), ('DUPLICATE', '2004-05-09 05:02:28 EDT', 'martinae')]</t>
  </si>
  <si>
    <t>2004-05-10 10:58:11 EDT</t>
  </si>
  <si>
    <t>2004-04-29 09:31 EDT</t>
  </si>
  <si>
    <t>2004-04-29 09:31:58 EDT</t>
  </si>
  <si>
    <t>[('CREATED', '2004-04-29 09:31 EDT'), ('3.0 M9', '2004-04-29 09:31:58 EDT', 'dirk_baeumer'), ('RESOLVED', '2004-05-10 10:58:11 EDT', 'tmader'), ('FIXED', '2004-05-10 10:58:11 EDT', 'tmader')]</t>
  </si>
  <si>
    <t>2004-04-30 09:57:29 EDT</t>
  </si>
  <si>
    <t>2004-04-29 13:09 EDT</t>
  </si>
  <si>
    <t>2004-04-30 06:38:40 EDT</t>
  </si>
  <si>
    <t>[('CREATED', '2004-04-29 13:09 EDT'), ('martin_aeschlimann', '2004-04-30 06:38:40 EDT', 'dirk_baeumer'), ('NPE in Externalize Strings Wizard when enabling "Filer all existing ..." [nls] [refactoring]', '2004-04-30 06:38:40 EDT', 'dirk_baeumer'), ('3.0 M9', '2004-04-30 06:38:40 EDT', 'dirk_baeumer'), ('FIXED', '2004-04-30 09:57:29 EDT', 'martinae'), ('RESOLVED', '2004-04-30 09:57:29 EDT', 'martinae')]</t>
  </si>
  <si>
    <t>2004-04-30 09:40:20 EDT</t>
  </si>
  <si>
    <t>2004-04-29 13:15 EDT</t>
  </si>
  <si>
    <t>2004-04-30 06:38:10 EDT</t>
  </si>
  <si>
    <t>[('CREATED', '2004-04-29 13:15 EDT'), ('martin_aeschlimann', '2004-04-30 06:38:10 EDT', 'dirk_baeumer'), ('P2', '2004-04-30 06:38:10 EDT', 'dirk_baeumer'), ('ISE in Externalize Strings Wizard when editing key of ignored string [nls] [refactoring]', '2004-04-30 06:38:10 EDT', 'dirk_baeumer'), ('3.0 M9', '2004-04-30 06:38:10 EDT', 'dirk_baeumer'), ('RESOLVED', '2004-04-30 09:40:20 EDT', 'martinae'), ('FIXED', '2004-04-30 09:40:20 EDT', 'martinae')]</t>
  </si>
  <si>
    <t>2004-04-30 10:48:29 EDT</t>
  </si>
  <si>
    <t>2004-04-30 05:09 EDT</t>
  </si>
  <si>
    <t>2004-04-30 06:24:34 EDT</t>
  </si>
  <si>
    <t>[('CREATED', '2004-04-30 05:09 EDT'), ('markus_keller', '2004-04-30 06:24:34 EDT', 'dirk_baeumer'), ('Externalize Strings Wizard: proposes lowercase messages.properties [nls] [refactoring]', '2004-04-30 06:24:34 EDT', 'dirk_baeumer'), ('3.0 M9', '2004-04-30 10:48:29 EDT', 'markus.kell.r'), ('RESOLVED', '2004-04-30 10:48:29 EDT', 'markus.kell.r'), ('FIXED', '2004-04-30 10:48:29 EDT', 'markus.kell.r')]</t>
  </si>
  <si>
    <t>2007-04-04 19:03:59 EDT</t>
  </si>
  <si>
    <t>2007-04-03 10:28:03 EDT</t>
  </si>
  <si>
    <t>2004-04-30 08:16 EDT</t>
  </si>
  <si>
    <t>2004-05-26 10:55:29 EDT</t>
  </si>
  <si>
    <t>[('CREATED', '2004-04-30 08:16 EDT'), ('dirk_baeumer', '2004-05-26 10:55:29 EDT', 'dirk_baeumer'), ('Inline method: creates same AST 4 times [refactoring]', '2004-05-26 10:55:29 EDT', 'dirk_baeumer'), ('3.1', '2004-08-03 13:38:07 EDT', 'dirk_baeumer'), ('RESOLVED', '2005-05-01 12:10:12 EDT', 'dirk_baeumer'), ('FIXED', '2005-05-01 12:10:12 EDT', 'dirk_baeumer'), ('REOPENED', '2007-04-03 10:28:03 EDT', 'markus.kell.r'), ('---', '2007-04-03 10:28:03 EDT', 'markus.kell.r'), ('NEW', '2007-04-03 10:28:31 EDT', 'markus.kell.r'), ('3.3 M7', '2007-04-03 10:28:31 EDT', 'markus.kell.r'), ('markus_keller', '2007-04-03 10:28:31 EDT', 'markus.kell.r'), ('RESOLVED', '2007-04-04 19:03:59 EDT', 'markus.kell.r'), ('FIXED', '2007-04-04 19:03:59 EDT', 'markus.kell.r')]</t>
  </si>
  <si>
    <t>2004-05-07 09:02:36 EDT</t>
  </si>
  <si>
    <t>2004-04-30 10:38 EDT</t>
  </si>
  <si>
    <t>2004-04-30 13:05:14 EDT</t>
  </si>
  <si>
    <t>[('CREATED', '2004-04-30 10:38 EDT'), ('philippe_mulet', '2004-04-30 13:05:14 EDT', 'dirk_baeumer'), ('LATER', '2004-05-07 09:02:36 EDT', 'dirk_baeumer'), ('RESOLVED', '2004-05-07 09:02:36 EDT', 'dirk_baeumer'), ('WONTFIX', '2009-08-30 02:19:06 EDT', 'denis.roy')]</t>
  </si>
  <si>
    <t>2004-05-03 05:39:59 EDT</t>
  </si>
  <si>
    <t>2004-05-19 05:13:14 EDT</t>
  </si>
  <si>
    <t>2004-04-30 19:42 EDT</t>
  </si>
  <si>
    <t>[('CREATED', '2004-04-30 19:42 EDT'), ('RESOLVED', '2004-05-03 05:39:59 EDT', 'dirk_baeumer'), ('FIXED', '2004-05-03 05:39:59 EDT', 'dirk_baeumer'), ('3.0 M9', '2004-05-03 05:39:59 EDT', 'dirk_baeumer'), ('VERIFIED', '2004-05-19 05:13:14 EDT', 'eclipse')]</t>
  </si>
  <si>
    <t>2004-05-03 05:39:28 EDT</t>
  </si>
  <si>
    <t>2009-08-30 02:22:55 EDT</t>
  </si>
  <si>
    <t>2004-04-30 20:43 EDT</t>
  </si>
  <si>
    <t>[('CREATED', '2004-04-30 20:43 EDT'), ('RESOLVED', '2004-05-03 05:39:28 EDT', 'dirk_baeumer'), ('LATER', '2004-05-03 05:39:28 EDT', 'dirk_baeumer'), ('Move method should check for null [refactoring]', '2004-05-03 05:39:28 EDT', 'dirk_baeumer'), ('WONTFIX', '2009-08-30 02:22:55 EDT', 'denis.roy')]</t>
  </si>
  <si>
    <t>2004-05-03 12:27:24 EDT</t>
  </si>
  <si>
    <t>2004-05-03 11:32 EDT</t>
  </si>
  <si>
    <t>[('CREATED', '2004-05-03 11:32 EDT'), ('RESOLVED', '2004-05-03 12:27:24 EDT', 'dirk_baeumer'), ('WORKSFORME', '2004-05-03 12:27:24 EDT', 'dirk_baeumer')]</t>
  </si>
  <si>
    <t>2004-05-06 06:49:22 EDT</t>
  </si>
  <si>
    <t>2004-05-03 14:39 EDT</t>
  </si>
  <si>
    <t>2004-05-03 23:10:59 EDT</t>
  </si>
  <si>
    <t>[('CREATED', '2004-05-03 14:39 EDT'), ('fraenkel', '2004-05-03 23:10:59 EDT', 'fraenkel'), ('NPE trying to externalize strings [refactoring] [nls]', '2004-05-04 04:13:14 EDT', 'dirk_baeumer'), ('3.0 M9', '2004-05-04 04:13:14 EDT', 'dirk_baeumer'), ('martin_aeschlimann', '2004-05-04 04:13:14 EDT', 'dirk_baeumer'), ('RESOLVED', '2004-05-06 06:49:22 EDT', 'martinae'), ('FIXED', '2004-05-06 06:49:22 EDT', 'martinae')]</t>
  </si>
  <si>
    <t>RESOLVED  DUPLICATE  of bug 23488</t>
  </si>
  <si>
    <t>2004-10-07 13:35:24 EDT</t>
  </si>
  <si>
    <t>2004-05-04 22:49 EDT</t>
  </si>
  <si>
    <t>2004-05-05 04:34:47 EDT</t>
  </si>
  <si>
    <t>[('CREATED', '2004-05-04 22:49 EDT'), ('Move Member Type to New File does not properly handle private members in outer scope [refactoring]', '2004-05-05 04:34:47 EDT', 'dirk_baeumer'), ('RESOLVED', '2004-10-07 13:35:24 EDT', 'markus.kell.r'), ('DUPLICATE', '2004-10-07 13:35:24 EDT', 'markus.kell.r')]</t>
  </si>
  <si>
    <t>2004-09-14 12:19:45 EDT</t>
  </si>
  <si>
    <t>2004-05-05 07:16 EDT</t>
  </si>
  <si>
    <t>2004-05-05 07:21:06 EDT</t>
  </si>
  <si>
    <t>[('CREATED', '2004-05-05 07:16 EDT'), ('erroneous warining moving interfact into interface', '2004-05-05 07:21:06 EDT', 'nikolaymetchev'), ('erroneous warining moving interfact into interface [refactoring]', '2004-05-05 12:04:28 EDT', 'dirk_baeumer'), ('RESOLVED', '2004-09-14 12:19:45 EDT', 'dirk_baeumer'), ('DUPLICATE', '2004-09-14 12:19:45 EDT', 'dirk_baeumer')]</t>
  </si>
  <si>
    <t>2005-05-17 03:48:26 EDT</t>
  </si>
  <si>
    <t>2009-08-30 02:38:29 EDT</t>
  </si>
  <si>
    <t>2004-05-05 07:58 EDT</t>
  </si>
  <si>
    <t>2004-05-05 12:09:53 EDT</t>
  </si>
  <si>
    <t>[('CREATED', '2004-05-05 07:58 EDT'), ('dirk_baeumer', '2004-05-05 12:09:53 EDT', 'dirk_baeumer'), ('martin_aeschlimann', '2004-05-05 12:09:53 EDT', 'dirk_baeumer'), ('3.0', '2004-05-05 12:09:53 EDT', 'dirk_baeumer'), ('---', '2004-06-25 11:34:01 EDT', 'dirk_baeumer'), ('RESOLVED', '2005-05-17 03:48:26 EDT', 'martinae'), ('LATER', '2005-05-17 03:48:26 EDT', 'martinae'), ('WONTFIX', '2009-08-30 02:38:29 EDT', 'webmaster'), ('jdt-ui-inbox', '2009-08-30 02:38:29 EDT', 'webmaster')]</t>
  </si>
  <si>
    <t>2004-05-20 12:25:39 EDT</t>
  </si>
  <si>
    <t>2004-05-05 15:48 EDT</t>
  </si>
  <si>
    <t>[('CREATED', '2004-05-05 15:48 EDT'), ('RESOLVED', '2004-05-20 12:25:39 EDT', 'dirk_baeumer'), ('WONTFIX', '2004-05-20 12:25:39 EDT', 'dirk_baeumer')]</t>
  </si>
  <si>
    <t>2004-05-11 13:42:46 EDT</t>
  </si>
  <si>
    <t>2004-05-06 04:56 EDT</t>
  </si>
  <si>
    <t>2004-05-06 04:56:52 EDT</t>
  </si>
  <si>
    <t>[('CREATED', '2004-05-06 04:56 EDT'), ('3.0 M9', '2004-05-06 04:56:52 EDT', 'dirk_baeumer'), ("Need better dialog when change type isn't supported", '2004-05-06 05:02:34 EDT', 'dirk_baeumer'), ('RESOLVED', '2004-05-11 13:42:46 EDT', 'dirk_baeumer'), ('FIXED', '2004-05-11 13:42:46 EDT', 'dirk_baeumer')]</t>
  </si>
  <si>
    <t>2004-05-10 04:15:40 EDT</t>
  </si>
  <si>
    <t>2009-08-30 02:38:05 EDT</t>
  </si>
  <si>
    <t>2004-05-06 13:30 EDT</t>
  </si>
  <si>
    <t>2004-05-07 17:58:31 EDT</t>
  </si>
  <si>
    <t>[('CREATED', '2004-05-06 13:30 EDT'), ('jdt-ui-inbox', '2004-05-07 17:58:31 EDT', 'philippe_mulet'), ('UI', '2004-05-07 17:58:31 EDT', 'philippe_mulet'), ('RESOLVED', '2004-05-10 04:15:40 EDT', 'dirk_baeumer'), ('P4', '2004-05-10 04:15:40 EDT', 'dirk_baeumer'), ('LATER', '2004-05-10 04:15:40 EDT', 'dirk_baeumer'), ('Feature: extracted interface return types [refactoring]', '2004-05-10 04:15:40 EDT', 'dirk_baeumer'), ('WONTFIX', '2009-08-30 02:38:05 EDT', 'webmaster')]</t>
  </si>
  <si>
    <t>2004-05-16 12:20:59 EDT</t>
  </si>
  <si>
    <t>2004-05-14 13:57:11 EDT</t>
  </si>
  <si>
    <t>2004-05-06 13:54 EDT</t>
  </si>
  <si>
    <t>2004-05-06 17:19:49 EDT</t>
  </si>
  <si>
    <t>[('CREATED', '2004-05-06 13:54 EDT'), ('martin_aeschlimann', '2004-05-06 17:19:49 EDT', 'dirk_baeumer'), ('P2', '2004-05-06 17:19:49 EDT', 'dirk_baeumer'), ('"Configure Accessor Class Wizard" does not react to text modification [nls] [refactoring]', '2004-05-06 17:19:49 EDT', 'dirk_baeumer'), ('3.0', '2004-05-06 17:19:49 EDT', 'dirk_baeumer'), ('RESOLVED', '2004-05-12 14:35:50 EDT', 'martinae'), ('FIXED', '2004-05-12 14:35:50 EDT', 'martinae'), ('3.0 M9', '2004-05-12 14:35:50 EDT', 'martinae'), ('---', '2004-05-14 13:57:11 EDT', 'cherie.wong'), ('REOPENED', '2004-05-14 13:57:11 EDT', 'cherie.wong'), ('RESOLVED', '2004-05-16 12:20:59 EDT', 'martinae'), ('FIXED', '2004-05-16 12:20:59 EDT', 'martinae')]</t>
  </si>
  <si>
    <t>2004-05-16 12:20:39 EDT</t>
  </si>
  <si>
    <t>2004-05-14 13:57:26 EDT</t>
  </si>
  <si>
    <t>2004-05-06 14:01 EDT</t>
  </si>
  <si>
    <t>2004-05-06 17:18:58 EDT</t>
  </si>
  <si>
    <t>[('CREATED', '2004-05-06 14:01 EDT'), ('martin_aeschlimann', '2004-05-06 17:18:58 EDT', 'dirk_baeumer'), ('"Configure Accessor Class Wizard" Package Selection should act like Open Type [nls] [refactoring]', '2004-05-06 17:18:58 EDT', 'dirk_baeumer'), ('3.0 M9', '2004-05-12 09:52:32 EDT', 'martinae'), ('RESOLVED', '2004-05-12 09:52:32 EDT', 'martinae'), ('FIXED', '2004-05-12 09:52:32 EDT', 'martinae'), ('REOPENED', '2004-05-14 13:57:26 EDT', 'cherie.wong'), ('---', '2004-05-14 13:57:26 EDT', 'cherie.wong'), ('RESOLVED', '2004-05-16 12:20:39 EDT', 'martinae'), ('FIXED', '2004-05-16 12:20:39 EDT', 'martinae')]</t>
  </si>
  <si>
    <t>2004-05-07 06:37:31 EDT</t>
  </si>
  <si>
    <t>2004-05-06 15:09 EDT</t>
  </si>
  <si>
    <t>2004-05-06 17:18:02 EDT</t>
  </si>
  <si>
    <t>[('CREATED', '2004-05-06 15:09 EDT'), ('markus_keller', '2004-05-06 17:18:02 EDT', 'dirk_baeumer'), ('3.0 M9', '2004-05-06 17:18:02 EDT', 'dirk_baeumer'), ('RESOLVED', '2004-05-07 06:37:31 EDT', 'markus.kell.r'), ('FIXED', '2004-05-07 06:37:31 EDT', 'markus.kell.r')]</t>
  </si>
  <si>
    <t>2005-05-02 08:32:12 EDT</t>
  </si>
  <si>
    <t>2004-05-06 16:48 EDT</t>
  </si>
  <si>
    <t>2004-05-06 16:51:31 EDT</t>
  </si>
  <si>
    <t>[('CREATED', '2004-05-06 16:48 EDT'), ('major', '2004-05-06 16:51:31 EDT', 'jeem'), ('normal', '2004-05-06 17:46:19 EDT', 'jeem'), ('dirk_baeumer', '2004-05-07 04:53:35 EDT', 'dirk_baeumer'), ('markus.schorn', '2005-02-23 07:43:37 EST', 'mschorn.eclipse'), ('jcamelon', '2005-03-09 07:40:49 EST', 'john.camelon'), ('dschaefe', '2005-03-09 09:50:38 EST', 'cdtdoug'), ('Provide official API to create strucutrual content for text changes', '2005-03-17 12:52:00 EST', 'dirk_baeumer'), ('erich_gamma', '2005-04-22 12:17:03 EDT', 'dirk_baeumer'), ('sonia_dimitrov', '2005-04-22 14:54:04 EDT', 'jeem'), ('3.1 M7', '2005-04-25 09:16:22 EDT', 'dirk_baeumer'), ('RESOLVED', '2005-05-02 08:32:12 EDT', 'dirk_baeumer'), ('FIXED', '2005-05-02 08:32:12 EDT', 'dirk_baeumer')]</t>
  </si>
  <si>
    <t>2004-05-10 17:57:38 EDT</t>
  </si>
  <si>
    <t>2004-05-10 13:14 EDT</t>
  </si>
  <si>
    <t>2004-05-10 13:14:51 EDT</t>
  </si>
  <si>
    <t>[('CREATED', '2004-05-10 13:14 EDT'), ('critical', '2004-05-10 13:14:51 EDT', 'gsturov'), ('P2', '2004-05-10 16:55:26 EDT', 'gsturov'), ('P3', '2004-05-10 17:46:20 EDT', 'dirk_baeumer'), ('RESOLVED', '2004-05-10 17:57:38 EDT', 'dirk_baeumer'), ('WORKSFORME', '2004-05-10 17:57:38 EDT', 'dirk_baeumer')]</t>
  </si>
  <si>
    <t>2004-05-18 04:18:34 EDT</t>
  </si>
  <si>
    <t>2004-05-10 14:56 EDT</t>
  </si>
  <si>
    <t>2004-05-10 16:09:03 EDT</t>
  </si>
  <si>
    <t>[('CREATED', '2004-05-10 14:56 EDT'), ('jdt-ui-inbox', '2004-05-10 16:09:03 EDT', 'Olivier_Thomann'), ('UI', '2004-05-10 16:09:03 EDT', 'Olivier_Thomann'), ('markus_keller', '2004-05-10 17:23:40 EDT', 'dirk_baeumer'), ('RESOLVED', '2004-05-18 04:18:34 EDT', 'markus.kell.r'), ('FIXED', '2004-05-18 04:18:34 EDT', 'markus.kell.r'), ('3.0 M9', '2004-05-18 04:18:34 EDT', 'markus.kell.r')]</t>
  </si>
  <si>
    <t>2004-05-10 17:25:34 EDT</t>
  </si>
  <si>
    <t>2004-05-10 15:02 EDT</t>
  </si>
  <si>
    <t>2004-05-10 16:07:53 EDT</t>
  </si>
  <si>
    <t>[('CREATED', '2004-05-10 15:02 EDT'), ('jdt-ui-inbox', '2004-05-10 16:07:53 EDT', 'Olivier_Thomann'), ('UI', '2004-05-10 16:07:53 EDT', 'Olivier_Thomann'), ('RESOLVED', '2004-05-10 17:25:34 EDT', 'dirk_baeumer'), ('WORKSFORME', '2004-05-10 17:25:34 EDT', 'dirk_baeumer')]</t>
  </si>
  <si>
    <t>2004-05-13 13:45:57 EDT</t>
  </si>
  <si>
    <t>2004-05-19 06:14:15 EDT</t>
  </si>
  <si>
    <t>2004-05-11 05:14 EDT</t>
  </si>
  <si>
    <t>2004-05-12 04:14:30 EDT</t>
  </si>
  <si>
    <t>[('CREATED', '2004-05-11 05:14 EDT'), ('martin_aeschlimann', '2004-05-12 04:14:30 EDT', 'dirk_baeumer'), ('P2', '2004-05-12 04:14:30 EDT', 'dirk_baeumer'), ('NPE during externlize string [refactoring] [nls]', '2004-05-12 04:14:30 EDT', 'dirk_baeumer'), ('3.0 M9', '2004-05-12 04:14:30 EDT', 'dirk_baeumer'), ('FIXED', '2004-05-13 13:45:57 EDT', 'martinae'), ('RESOLVED', '2004-05-13 13:45:57 EDT', 'martinae'), ('VERIFIED', '2004-05-19 06:14:15 EDT', 'markus.kell.r')]</t>
  </si>
  <si>
    <t>53797 54262 (view as bug list)</t>
  </si>
  <si>
    <t>2004-06-09 18:07:08 EDT</t>
  </si>
  <si>
    <t>2004-06-11 09:08:31 EDT</t>
  </si>
  <si>
    <t>2004-05-11 07:40 EDT</t>
  </si>
  <si>
    <t>2004-05-11 08:44:31 EDT</t>
  </si>
  <si>
    <t>[('CREATED', '2004-05-11 07:40 EDT'), ('erich_gamma', '2004-05-11 08:44:31 EDT', 'dirk_baeumer'), ('3.0', '2004-05-11 08:44:31 EDT', 'dirk_baeumer'), ('3.0 RC2', '2004-06-08 05:28:29 EDT', 'erich_gamma'), ('RESOLVED', '2004-06-09 18:07:08 EDT', 'erich_gamma'), ('FIXED', '2004-06-09 18:07:08 EDT', 'erich_gamma'), ('saff', '2004-06-10 12:23:20 EDT', 'erich_gamma'), ('VERIFIED', '2004-06-11 09:08:31 EDT', 'dirk_baeumer')]</t>
  </si>
  <si>
    <t>RESOLVED  DUPLICATE  of bug 61746</t>
  </si>
  <si>
    <t>2004-05-11 13:45:55 EDT</t>
  </si>
  <si>
    <t>2004-05-11 13:31 EDT</t>
  </si>
  <si>
    <t>jptoomey</t>
  </si>
  <si>
    <t>[('CREATED', '2004-05-11 13:31 EDT'), ('RESOLVED', '2004-05-11 13:45:55 EDT', 'jptoomey'), ('DUPLICATE', '2004-05-11 13:45:55 EDT', 'jptoomey')]</t>
  </si>
  <si>
    <t>2004-05-11 17:37 EDT</t>
  </si>
  <si>
    <t>2004-05-12 07:59:39 EDT</t>
  </si>
  <si>
    <t>2004-05-12 08:53:22 EDT</t>
  </si>
  <si>
    <t>[('CREATED', '2004-05-11 17:37 EDT'), ('platform-search-inbox', '2004-05-12 07:59:39 EDT', 'Tod_Creasey'), ('Search', '2004-05-12 07:59:39 EDT', 'Tod_Creasey'), ('enhancement', '2004-05-12 08:53:22 EDT', 'tmader'), ('UI', '2004-05-12 08:53:22 EDT', 'tmader'), ('JDT', '2004-05-12 08:53:22 EDT', 'tmader')]</t>
  </si>
  <si>
    <t>126353 132746 (view as bug list)</t>
  </si>
  <si>
    <t>2007-03-19 12:39:07 EDT</t>
  </si>
  <si>
    <t>2004-05-11 17:40 EDT</t>
  </si>
  <si>
    <t>2004-05-11 18:17:08 EDT</t>
  </si>
  <si>
    <t>[('CREATED', '2004-05-11 17:40 EDT'), ('jdt-ui-inbox', '2004-05-11 18:17:08 EDT', 'philippe_mulet'), ('UI', '2004-05-11 18:17:08 EDT', 'philippe_mulet'), ('dirk_baeumer', '2004-05-12 03:52:46 EDT', 'dirk_baeumer'), ('public MoveSupport needed [refactoring]', '2004-05-12 03:52:46 EDT', 'dirk_baeumer'), ('3.1', '2004-05-12 03:52:46 EDT', 'dirk_baeumer'), ('kai-uwe_maetzel', '2004-11-01 16:05:43 EST', 'pavery'), ('pecze', '2005-03-17 10:29:43 EST', 'pecze'), ('---', '2005-04-27 09:21:11 EDT', 'dirk_baeumer'), ('127508', '2006-02-13 13:39:47 EST', 'pavery'), (nan, '2006-02-13 13:40:35 EST', 'pavery'), ('verawahler', '2006-02-20 16:23:57 EST', 'verawahler'), ('jdt-ui-inbox', '2006-03-28 03:41:57 EST', 'martinae'), ('3.3', '2006-03-28 03:41:57 EST', 'martinae'), ('channingwalton', '2006-05-09 03:19:44 EDT', 'channingwalton'), ('tobias_widmer', '2006-06-10 06:18:59 EDT', 'martinae'), ('[refactoring] public MoveSupport needed [refactoring]', '2006-06-10 06:18:59 EDT', 'martinae'), ('ASSIGNED', '2006-06-12 04:48:07 EDT', 'tobias_widmer'), ('3.3 M1', '2006-06-28 11:45:02 EDT', 'tobias_widmer'), ('3.3 M2', '2006-08-07 12:14:13 EDT', 'tobias_widmer'), ('gunnar', '2006-09-06 05:30:45 EDT', 'gunnar'), ('3.3 M4', '2006-09-21 05:25:17 EDT', 'martinae'), ('3.3 M6', '2006-12-13 06:15:24 EST', 'martinae'), ('mobadr', '2007-03-05 09:32:46 EST', 'tobias_widmer'), ('philippe_mulet', '2007-03-05 09:35:33 EST', 'tobias_widmer'), ('[api] Provide API to execute move refactorings headless [refactoring]', '2007-03-05 09:35:33 EST', 'tobias_widmer'), ('martin_aeschlimann', '2007-03-05 09:36:06 EST', 'tobias_widmer'), ('martin_aeschlimann', '2007-03-13 11:09:34 EDT', 'tobias_widmer'), ('NEW', '2007-03-13 11:09:34 EDT', 'tobias_widmer'), ('RESOLVED', '2007-03-19 12:39:07 EDT', 'martinae'), ('FIXED', '2007-03-19 12:39:07 EDT', 'martinae')]</t>
  </si>
  <si>
    <t>2004-05-13 18:14:25 EDT</t>
  </si>
  <si>
    <t>2004-05-13 03:37 EDT</t>
  </si>
  <si>
    <t>2004-05-13 03:56:00 EDT</t>
  </si>
  <si>
    <t>[('CREATED', '2004-05-13 03:37 EDT'), ('erich_gamma', '2004-05-13 03:56:00 EDT', 'dirk_baeumer'), ('Reusing JUnit GUI impossible [JUnit]', '2004-05-13 03:56:00 EDT', 'dirk_baeumer'), ('RESOLVED', '2004-05-13 18:14:25 EDT', 'erich_gamma'), ('FIXED', '2004-05-13 18:14:25 EDT', 'erich_gamma')]</t>
  </si>
  <si>
    <t>2004-09-14 12:37:25 EDT</t>
  </si>
  <si>
    <t>2004-05-13 14:31 EDT</t>
  </si>
  <si>
    <t>2004-05-13 15:49:01 EDT</t>
  </si>
  <si>
    <t>[('CREATED', '2004-05-13 14:31 EDT'), ('jdt-ui-inbox', '2004-05-13 15:49:01 EDT', 'philippe_mulet'), ('UI', '2004-05-13 15:49:01 EDT', 'philippe_mulet'), ('RESOLVED', '2004-09-14 12:37:25 EDT', 'dirk_baeumer'), ('WORKSFORME', '2004-09-14 12:37:25 EDT', 'dirk_baeumer')]</t>
  </si>
  <si>
    <t>2004-05-14 04:34:33 EDT</t>
  </si>
  <si>
    <t>2004-05-13 14:41 EDT</t>
  </si>
  <si>
    <t>2004-05-13 18:40:23 EDT</t>
  </si>
  <si>
    <t>[('CREATED', '2004-05-13 14:41 EDT'), ('martin_aeschlimann', '2004-05-13 18:40:23 EDT', 'dirk_baeumer'), ('3.0', '2004-05-13 18:40:23 EDT', 'dirk_baeumer'), ('RESOLVED', '2004-05-14 04:34:33 EDT', 'martinae'), ('FIXED', '2004-05-14 04:34:33 EDT', 'martinae'), ('3.0 M9', '2004-05-14 04:34:33 EDT', 'martinae')]</t>
  </si>
  <si>
    <t>2004-06-03 12:53:23 EDT</t>
  </si>
  <si>
    <t>2004-05-13 15:57 EDT</t>
  </si>
  <si>
    <t>2004-05-26 11:18:32 EDT</t>
  </si>
  <si>
    <t>[('CREATED', '2004-05-13 15:57 EDT'), ('3.0', '2004-05-26 11:18:32 EDT', 'dirk_baeumer'), ('RESOLVED', '2004-06-03 12:53:23 EDT', 'dirk_baeumer'), ('WORKSFORME', '2004-06-03 12:53:23 EDT', 'dirk_baeumer')]</t>
  </si>
  <si>
    <t>2004-05-17 08:47:07 EDT</t>
  </si>
  <si>
    <t>2004-05-16 13:54 EDT</t>
  </si>
  <si>
    <t>2004-05-17 03:07:09 EDT</t>
  </si>
  <si>
    <t>[('CREATED', '2004-05-16 13:54 EDT'), ('martin_aeschlimann', '2004-05-17 03:07:09 EDT', 'dirk_baeumer'), ('Externalizing Strings dump (Internal Error) [nls] [refactoring]', '2004-05-17 03:07:09 EDT', 'dirk_baeumer'), ('3.0', '2004-05-17 03:07:09 EDT', 'dirk_baeumer'), ('P2', '2004-05-17 03:07:19 EDT', 'dirk_baeumer'), ('RESOLVED', '2004-05-17 08:47:07 EDT', 'martinae'), ('FIXED', '2004-05-17 08:47:07 EDT', 'martinae'), ('3.0 M9', '2004-05-17 08:47:07 EDT', 'martinae')]</t>
  </si>
  <si>
    <t>2004-05-26 11:39:35 EDT</t>
  </si>
  <si>
    <t>2004-06-11 04:24:27 EDT</t>
  </si>
  <si>
    <t>2004-05-17 01:13 EDT</t>
  </si>
  <si>
    <t>2004-05-17 01:14:58 EDT</t>
  </si>
  <si>
    <t>[('CREATED', '2004-05-17 01:13 EDT'), ('critical', '2004-05-17 01:14:58 EDT', 'david_williams'), ('jdt-ui-inbox', '2004-05-17 05:32:30 EDT', 'philippe_mulet'), ('UI', '2004-05-17 05:32:30 EDT', 'philippe_mulet'), ('martin_aeschlimann', '2004-05-18 04:49:11 EDT', 'dirk_baeumer'), ('P2', '2004-05-18 04:49:11 EDT', 'dirk_baeumer'), ('3.0', '2004-05-18 04:49:11 EDT', 'dirk_baeumer'), ('3.0 M9', '2004-05-18 04:49:39 EDT', 'dirk_baeumer'), ('dirk_baeumer', '2004-05-18 11:20:08 EDT', 'martinae'), ('major', '2004-05-21 10:36:52 EDT', 'dirk_baeumer'), ('3.0 RC1', '2004-05-21 10:36:52 EDT', 'dirk_baeumer'), ('wasleski', '2004-05-24 09:13:57 EDT', 'steven.wasleski'), ('RESOLVED', '2004-05-26 11:39:35 EDT', 'martinae'), ('FIXED', '2004-05-26 11:39:35 EDT', 'martinae'), ('VERIFIED', '2004-06-11 04:24:27 EDT', 'dirk_baeumer')]</t>
  </si>
  <si>
    <t>2004-05-18 12:16:32 EDT</t>
  </si>
  <si>
    <t>2004-05-17 13:31 EDT</t>
  </si>
  <si>
    <t>2004-05-18 04:09:25 EDT</t>
  </si>
  <si>
    <t>[('CREATED', '2004-05-17 13:31 EDT'), ('martin_aeschlimann', '2004-05-18 04:09:25 EDT', 'dirk_baeumer'), ('P2', '2004-05-18 04:09:25 EDT', 'dirk_baeumer'), ('[Externalize] Edit fails when key or value is null [nls] [refactoring]', '2004-05-18 04:09:25 EDT', 'dirk_baeumer'), ('3.0', '2004-05-18 04:09:25 EDT', 'dirk_baeumer'), ('RESOLVED', '2004-05-18 12:16:32 EDT', 'martinae'), ('FIXED', '2004-05-18 12:16:32 EDT', 'martinae'), ('3.0 M9', '2004-05-18 12:16:32 EDT', 'martinae')]</t>
  </si>
  <si>
    <t>2004-05-17 14:39 EDT</t>
  </si>
  <si>
    <t>2004-05-17 15:52:27 EDT</t>
  </si>
  <si>
    <t>[('CREATED', '2004-05-17 14:39 EDT'), ('jdt-ui-inbox', '2004-05-17 15:52:27 EDT', 'philippe_mulet'), ('UI', '2004-05-17 15:52:27 EDT', 'philippe_mulet'), ('markus_keller', '2004-05-18 04:06:25 EDT', 'dirk_baeumer'), ('Convert local to field refactoring - always comes up with a daft name [refactoring]', '2004-05-18 04:06:38 EDT', 'dirk_baeumer'), ('RESOLVED', '2004-05-18 04:23:44 EDT', 'markus.kell.r'), ('DUPLICATE', '2004-05-18 04:23:44 EDT', 'markus.kell.r'), ('3.0 M9', '2004-05-18 04:23:44 EDT', 'markus.kell.r')]</t>
  </si>
  <si>
    <t>161522 (view as bug list)</t>
  </si>
  <si>
    <t>2004-05-18 04:01:25 EDT</t>
  </si>
  <si>
    <t>2009-08-30 02:19:17 EDT</t>
  </si>
  <si>
    <t>2004-05-18 03:20 EDT</t>
  </si>
  <si>
    <t>[('CREATED', '2004-05-18 03:20 EDT'), ('RESOLVED', '2004-05-18 04:01:25 EDT', 'dirk_baeumer'), ('P4', '2004-05-18 04:01:25 EDT', 'dirk_baeumer'), ('LATER', '2004-05-18 04:01:25 EDT', 'dirk_baeumer'), ('JDT widgets should provide a public API [api]', '2004-05-18 04:01:25 EDT', 'dirk_baeumer'), ('Darin_Swanson', '2004-11-08 18:33:38 EST', 'Darin_Swanson'), ('martin_aeschlimann', '2004-11-09 08:38:19 EST', 'dirk_baeumer'), ('nick_edgar', '2004-11-09 08:38:29 EST', 'dirk_baeumer'), ('CLOSED', '2004-12-13 18:05:08 EST', 'dirk_baeumer'), ('sgandon', '2006-10-17 11:56:49 EDT', 'sgandon'), ('WONTFIX', '2009-08-30 02:19:17 EDT', 'denis.roy')]</t>
  </si>
  <si>
    <t>2004-05-18 05:18:44 EDT</t>
  </si>
  <si>
    <t>2004-05-18 04:25 EDT</t>
  </si>
  <si>
    <t>2004-05-18 05:02:09 EDT</t>
  </si>
  <si>
    <t>[('CREATED', '2004-05-18 04:25 EDT'), ('markus_keller', '2004-05-18 05:02:09 EDT', 'dirk_baeumer'), ('P2', '2004-05-18 05:02:09 EDT', 'dirk_baeumer'), ('NPE in JavaTypeCompletionProcessor [refactoring]', '2004-05-18 05:02:09 EDT', 'dirk_baeumer'), ('3.0', '2004-05-18 05:02:09 EDT', 'dirk_baeumer'), ('RESOLVED', '2004-05-18 05:18:44 EDT', 'markus.kell.r'), ('FIXED', '2004-05-18 05:18:44 EDT', 'markus.kell.r'), ('3.0 M9', '2004-05-18 05:18:44 EDT', 'markus.kell.r')]</t>
  </si>
  <si>
    <t>2004-05-18 13:47:47 EDT</t>
  </si>
  <si>
    <t>2004-05-18 08:17 EDT</t>
  </si>
  <si>
    <t>2004-05-18 09:47:29 EDT</t>
  </si>
  <si>
    <t>[('CREATED', '2004-05-18 08:17 EDT'), ('jdt-ui-inbox', '2004-05-18 09:47:29 EDT', 'philippe_mulet'), ('UI', '2004-05-18 09:47:29 EDT', 'philippe_mulet'), ('RESOLVED', '2004-05-18 13:47:47 EDT', 'dirk_baeumer'), ('FIXED', '2004-05-18 13:47:47 EDT', 'dirk_baeumer'), ('3.0', '2004-05-18 13:47:47 EDT', 'dirk_baeumer')]</t>
  </si>
  <si>
    <t>2004-05-24 05:30:55 EDT</t>
  </si>
  <si>
    <t>2004-05-28 03:49:31 EDT</t>
  </si>
  <si>
    <t>2004-05-18 10:54 EDT</t>
  </si>
  <si>
    <t>2004-05-18 11:44:04 EDT</t>
  </si>
  <si>
    <t>[('CREATED', '2004-05-18 10:54 EDT'), ('jdt-ui-inbox', '2004-05-18 11:44:04 EDT', 'jerome_lanneluc'), ('UI', '2004-05-18 11:44:04 EDT', 'jerome_lanneluc'), ('markus_keller', '2004-05-18 13:36:42 EDT', 'dirk_baeumer'), ('ConcurrentModificationException during refactoring [refactoring]', '2004-05-18 13:36:42 EDT', 'dirk_baeumer'), ('3.0', '2004-05-18 13:36:42 EDT', 'dirk_baeumer'), ('ASSIGNED', '2004-05-19 13:17:04 EDT', 'markus.kell.r'), ('P2', '2004-05-19 13:17:04 EDT', 'markus.kell.r'), ('3.0 RC1', '2004-05-24 05:30:55 EDT', 'markus.kell.r'), ('RESOLVED', '2004-05-24 05:30:55 EDT', 'markus.kell.r'), ('FIXED', '2004-05-24 05:30:55 EDT', 'markus.kell.r'), ('ConcurrentModificationException in Rename Method [refactoring]', '2004-05-24 05:30:55 EDT', 'markus.kell.r'), ('VERIFIED', '2004-05-28 03:49:31 EDT', 'tmader')]</t>
  </si>
  <si>
    <t>2004-05-24 13:53:24 EDT</t>
  </si>
  <si>
    <t>2004-05-28 08:42:28 EDT</t>
  </si>
  <si>
    <t>2004-05-18 11:34 EDT</t>
  </si>
  <si>
    <t>2004-05-18 13:38:27 EDT</t>
  </si>
  <si>
    <t>[('CREATED', '2004-05-18 11:34 EDT'), ('markus_keller', '2004-05-18 13:38:27 EDT', 'dirk_baeumer'), ('Exception when renaming a package [refactoring]', '2004-05-18 13:38:27 EDT', 'dirk_baeumer'), ('3.0', '2004-05-18 13:38:27 EDT', 'dirk_baeumer'), ('ASSIGNED', '2004-05-19 11:40:19 EDT', 'markus.kell.r'), ('P2', '2004-05-19 11:40:19 EDT', 'markus.kell.r'), ('RESOLVED', '2004-05-24 13:53:24 EDT', 'markus.kell.r'), ('FIXED', '2004-05-24 13:53:24 EDT', 'markus.kell.r'), ('3.0 RC1', '2004-05-24 13:53:24 EDT', 'markus.kell.r'), ('Thomas_Maeder', '2004-05-28 07:16:41 EDT', 'markus.kell.r'), ('VERIFIED', '2004-05-28 08:42:28 EDT', 'tmader')]</t>
  </si>
  <si>
    <t>2004-05-24 10:07:47 EDT</t>
  </si>
  <si>
    <t>2004-05-28 05:12:31 EDT</t>
  </si>
  <si>
    <t>2004-05-18 12:51 EDT</t>
  </si>
  <si>
    <t>2004-05-18 13:51:01 EDT</t>
  </si>
  <si>
    <t>[('CREATED', '2004-05-18 12:51 EDT'), ('dirk_baeumer', '2004-05-18 13:51:01 EDT', 'dirk_baeumer'), ('refactoring &amp; source quick menus location should be confined to workbench [quick menu]', '2004-05-18 13:51:01 EDT', 'dirk_baeumer'), ('RESOLVED', '2004-05-24 10:07:47 EDT', 'dirk_baeumer'), ('FIXED', '2004-05-24 10:07:47 EDT', 'dirk_baeumer'), ('3.0 RC1', '2004-05-24 10:07:47 EDT', 'dirk_baeumer'), ('VERIFIED', '2004-05-28 05:12:31 EDT', 'eclipse')]</t>
  </si>
  <si>
    <t>2005-02-18 12:57:27 EST</t>
  </si>
  <si>
    <t>2004-05-18 15:15 EDT</t>
  </si>
  <si>
    <t>2004-05-26 11:37:47 EDT</t>
  </si>
  <si>
    <t>[('CREATED', '2004-05-18 15:15 EDT'), ('ASSIGNED', '2004-05-26 11:37:47 EDT', 'dirk_baeumer'), ('Extract constant inserts between method comment and method [refactoring]', '2004-05-26 11:37:47 EDT', 'dirk_baeumer'), ('markus_keller', '2005-02-18 08:22:45 EST', 'markus.kell.r'), ('NEW', '2005-02-18 08:22:45 EST', 'markus.kell.r'), ('RESOLVED', '2005-02-18 12:57:27 EST', 'markus.kell.r'), ('FIXED', '2005-02-18 12:57:27 EST', 'markus.kell.r'), ('3.1 M6', '2005-02-18 12:57:27 EST', 'markus.kell.r')]</t>
  </si>
  <si>
    <t>62837 (view as bug list)</t>
  </si>
  <si>
    <t>2004-05-19 03:55:26 EDT</t>
  </si>
  <si>
    <t>2009-08-30 02:39:57 EDT</t>
  </si>
  <si>
    <t>2004-05-18 15:18 EDT</t>
  </si>
  <si>
    <t>2004-05-18 16:09:46 EDT</t>
  </si>
  <si>
    <t>[('CREATED', '2004-05-18 15:18 EDT'), ('jdt-ui-inbox', '2004-05-18 16:09:46 EDT', 'Olivier_Thomann'), ('UI', '2004-05-18 16:09:46 EDT', 'Olivier_Thomann'), ('RESOLVED', '2004-05-19 03:55:26 EDT', 'dirk_baeumer'), ('P2', '2004-05-19 03:55:26 EDT', 'dirk_baeumer'), ('LATER', '2004-05-19 03:55:26 EDT', 'dirk_baeumer'), ('Convert local to field refactoring - automatically generate getter/setter [refactoring]', '2004-05-19 03:55:46 EDT', 'dirk_baeumer'), ('P3', '2004-05-19 03:55:46 EDT', 'dirk_baeumer'), ('ggregory', '2004-05-19 08:55:42 EDT', 'dirk_baeumer'), ('WONTFIX', '2009-08-30 02:39:57 EDT', 'webmaster')]</t>
  </si>
  <si>
    <t>2004-05-24 10:12:55 EDT</t>
  </si>
  <si>
    <t>2004-05-28 05:50:02 EDT</t>
  </si>
  <si>
    <t>2004-05-18 15:20 EDT</t>
  </si>
  <si>
    <t>2004-05-19 04:10:13 EDT</t>
  </si>
  <si>
    <t>[('CREATED', '2004-05-18 15:20 EDT'), ('markus_keller', '2004-05-19 04:10:13 EDT', 'dirk_baeumer'), ('Introduce parameter refactoring: Wording [refactoring]', '2004-05-19 04:10:13 EDT', 'dirk_baeumer'), ('RESOLVED', '2004-05-24 10:12:55 EDT', 'markus.kell.r'), ('FIXED', '2004-05-24 10:12:55 EDT', 'markus.kell.r'), ('Introduce parameter refactoring: offer Code Assist [refactoring]', '2004-05-24 10:12:55 EDT', 'markus.kell.r'), ('3.0 RC1', '2004-05-24 10:12:55 EDT', 'markus.kell.r'), ('VERIFIED', '2004-05-28 05:50:02 EDT', 'tmader')]</t>
  </si>
  <si>
    <t>2004-05-24 09:43:13 EDT</t>
  </si>
  <si>
    <t>2004-05-28 10:34:07 EDT</t>
  </si>
  <si>
    <t>2004-05-18 15:24 EDT</t>
  </si>
  <si>
    <t>2004-05-19 04:08:49 EDT</t>
  </si>
  <si>
    <t>[('CREATED', '2004-05-18 15:24 EDT'), ('dirk_baeumer', '2004-05-19 04:08:49 EDT', 'dirk_baeumer'), ('markus_keller', '2004-05-19 04:08:49 EDT', 'dirk_baeumer'), ('RESOLVED', '2004-05-24 09:43:13 EDT', 'markus.kell.r'), ('FIXED', '2004-05-24 09:43:13 EDT', 'markus.kell.r'), ('3.0 RC1', '2004-05-24 09:43:13 EDT', 'markus.kell.r'), ('VERIFIED', '2004-05-28 10:34:07 EDT', 'eclipse')]</t>
  </si>
  <si>
    <t>RESOLVED  DUPLICATE  of bug 51625</t>
  </si>
  <si>
    <t>2006-08-03 11:21:36 EDT</t>
  </si>
  <si>
    <t>2004-05-18 15:55 EDT</t>
  </si>
  <si>
    <t>2004-05-19 04:02:31 EDT</t>
  </si>
  <si>
    <t>[('CREATED', '2004-05-18 15:55 EDT'), ('markus_keller', '2004-05-19 04:02:31 EDT', 'dirk_baeumer'), ('Move static member: Code assist suggests packages in binaries [refactoring]', '2004-05-19 04:02:31 EDT', 'dirk_baeumer'), ('RESOLVED', '2006-08-03 11:21:36 EDT', 'martinae'), ('DUPLICATE', '2006-08-03 11:21:36 EDT', 'martinae')]</t>
  </si>
  <si>
    <t>2004-05-24 13:42:08 EDT</t>
  </si>
  <si>
    <t>2004-05-18 16:01 EDT</t>
  </si>
  <si>
    <t>2004-05-19 03:58:11 EDT</t>
  </si>
  <si>
    <t>[('CREATED', '2004-05-18 16:01 EDT'), ('dirk_baeumer', '2004-05-19 03:58:11 EDT', 'dirk_baeumer'), ('markus_keller', '2004-05-19 03:58:11 EDT', 'dirk_baeumer'), ("Move static member: Undo doesn't remove added import [refactoring]", '2004-05-19 03:58:11 EDT', 'dirk_baeumer'), ('ASSIGNED', '2004-05-24 13:04:39 EDT', 'markus.kell.r'), ('P4', '2004-05-24 13:04:39 EDT', 'markus.kell.r'), ('RESOLVED', '2004-05-24 13:42:08 EDT', 'martinae'), ('INVALID', '2004-05-24 13:42:08 EDT', 'martinae')]</t>
  </si>
  <si>
    <t>RESOLVED  DUPLICATE  of bug 62854</t>
  </si>
  <si>
    <t>2004-05-21 10:21:10 EDT</t>
  </si>
  <si>
    <t>2004-05-18 22:59 EDT</t>
  </si>
  <si>
    <t>2004-05-19 09:42:23 EDT</t>
  </si>
  <si>
    <t>[('CREATED', '2004-05-18 22:59 EDT'), ('jdt-ui-inbox', '2004-05-19 09:42:23 EDT', 'Olivier_Thomann'), ('UI', '2004-05-19 09:42:23 EDT', 'Olivier_Thomann'), ('RESOLVED', '2004-05-21 10:21:10 EDT', 'dirk_baeumer'), ('DUPLICATE', '2004-05-21 10:21:10 EDT', 'dirk_baeumer')]</t>
  </si>
  <si>
    <t>RESOLVED  DUPLICATE  of bug 62754</t>
  </si>
  <si>
    <t>2004-05-19 08:55:42 EDT</t>
  </si>
  <si>
    <t>2004-05-18 23:01 EDT</t>
  </si>
  <si>
    <t>2004-05-19 07:33:28 EDT</t>
  </si>
  <si>
    <t>[('CREATED', '2004-05-18 23:01 EDT'), ('jdt-ui-inbox', '2004-05-19 07:33:28 EDT', 'jerome_lanneluc'), ('UI', '2004-05-19 07:33:28 EDT', 'jerome_lanneluc'), ('RESOLVED', '2004-05-19 08:55:42 EDT', 'dirk_baeumer'), ('DUPLICATE', '2004-05-19 08:55:42 EDT', 'dirk_baeumer')]</t>
  </si>
  <si>
    <t>2004-05-19 10:23:49 EDT</t>
  </si>
  <si>
    <t>2004-05-21 11:29:00 EDT</t>
  </si>
  <si>
    <t>2004-05-19 06:18 EDT</t>
  </si>
  <si>
    <t>2004-05-19 09:08:44 EDT</t>
  </si>
  <si>
    <t>[('CREATED', '2004-05-19 06:18 EDT'), ('markus_keller', '2004-05-19 09:08:44 EDT', 'dirk_baeumer'), ('Assertion failed when using NLS search [nls] [search]', '2004-05-19 09:08:44 EDT', 'dirk_baeumer'), ('dirk_baeumer', '2004-05-19 09:08:57 EDT', 'dirk_baeumer'), ('markus_keller', '2004-05-19 10:03:58 EDT', 'markus.kell.r'), ('Thomas_Maeder', '2004-05-19 10:03:58 EDT', 'markus.kell.r'), ('3.0', '2004-05-19 10:03:58 EDT', 'markus.kell.r'), ('RESOLVED', '2004-05-19 10:23:49 EDT', 'tmader'), ('FIXED', '2004-05-19 10:23:49 EDT', 'tmader'), ('VERIFIED', '2004-05-21 11:29:00 EDT', 'dirk_baeumer')]</t>
  </si>
  <si>
    <t>2004-05-27 04:16:55 EDT</t>
  </si>
  <si>
    <t>2004-06-10 03:38:02 EDT</t>
  </si>
  <si>
    <t>2004-05-19 07:12 EDT</t>
  </si>
  <si>
    <t>2004-05-19 09:01:33 EDT</t>
  </si>
  <si>
    <t>[('CREATED', '2004-05-19 07:12 EDT'), ('markus_keller', '2004-05-19 09:01:33 EDT', 'dirk_baeumer'), ('3.0', '2004-05-19 09:01:33 EDT', 'dirk_baeumer'), ('RESOLVED', '2004-05-27 04:16:55 EDT', 'markus.kell.r'), ('FIXED', '2004-05-27 04:16:55 EDT', 'markus.kell.r'), ('3.0 RC1', '2004-05-27 04:16:55 EDT', 'markus.kell.r'), ('VERIFIED', '2004-06-10 03:38:02 EDT', 'dirk_baeumer')]</t>
  </si>
  <si>
    <t>2005-02-21 09:41:41 EST</t>
  </si>
  <si>
    <t>2004-05-19 07:29 EDT</t>
  </si>
  <si>
    <t>2004-05-19 08:56:14 EDT</t>
  </si>
  <si>
    <t>[('CREATED', '2004-05-19 07:29 EDT'), ('ASSIGNED', '2004-05-19 08:56:14 EDT', 'dirk_baeumer'), ('Extract constant should suggest name in more cases [refactoring]', '2004-05-19 08:56:14 EDT', 'dirk_baeumer'), ('markus_keller', '2005-02-18 08:22:46 EST', 'markus.kell.r'), ('NEW', '2005-02-18 08:22:46 EST', 'markus.kell.r'), ('RESOLVED', '2005-02-21 09:41:41 EST', 'markus.kell.r'), ('FIXED', '2005-02-21 09:41:41 EST', 'markus.kell.r'), ('3.1 M6', '2005-02-21 09:41:41 EST', 'markus.kell.r')]</t>
  </si>
  <si>
    <t>2004-05-26 11:37:29 EDT</t>
  </si>
  <si>
    <t>2004-06-11 09:31:34 EDT</t>
  </si>
  <si>
    <t>2004-05-19 07:42 EDT</t>
  </si>
  <si>
    <t>2004-05-19 08:53:27 EDT</t>
  </si>
  <si>
    <t>[('CREATED', '2004-05-19 07:42 EDT'), ('martin_aeschlimann', '2004-05-19 08:53:27 EDT', 'dirk_baeumer'), ('normal', '2004-05-19 08:53:27 EDT', 'dirk_baeumer'), ('NLS Wizard: Source folder content assistant shows duplicates [nls] [refactoring]', '2004-05-19 08:53:27 EDT', 'dirk_baeumer'), ('3.0', '2004-05-19 08:53:27 EDT', 'dirk_baeumer'), ('christian.koestlin', '2004-05-26 11:37:29 EDT', 'martinae'), ('RESOLVED', '2004-05-26 11:37:29 EDT', 'martinae'), ('FIXED', '2004-05-26 11:37:29 EDT', 'martinae'), ('3.0 RC1', '2004-05-26 11:37:29 EDT', 'martinae'), ('VERIFIED', '2004-06-11 09:31:34 EDT', 'dirk_baeumer')]</t>
  </si>
  <si>
    <t>2004-05-22 22:43:04 EDT</t>
  </si>
  <si>
    <t>2004-05-28 09:52:35 EDT</t>
  </si>
  <si>
    <t>2004-05-19 09:26 EDT</t>
  </si>
  <si>
    <t>2004-05-19 11:29:05 EDT</t>
  </si>
  <si>
    <t>[('CREATED', '2004-05-19 09:26 EDT'), ('martin_aeschlimann', '2004-05-19 11:29:05 EDT', 'dirk_baeumer'), ('NLS Wizard: spaces at beginning of strings must be escaped [nls] [refactoring]', '2004-05-19 11:29:05 EDT', 'dirk_baeumer'), ('3.0 RC1', '2004-05-21 09:55:36 EDT', 'martinae'), ('RESOLVED', '2004-05-22 22:43:04 EDT', 'martinae'), ('FIXED', '2004-05-22 22:43:04 EDT', 'martinae'), ('VERIFIED', '2004-05-28 09:52:35 EDT', 'eclipse')]</t>
  </si>
  <si>
    <t>2004-05-20 12:18:36 EDT</t>
  </si>
  <si>
    <t>2004-05-19 09:35 EDT</t>
  </si>
  <si>
    <t>2004-05-19 11:30:03 EDT</t>
  </si>
  <si>
    <t>[('CREATED', '2004-05-19 09:35 EDT'), ('martin_aeschlimann', '2004-05-19 11:30:03 EDT', 'dirk_baeumer'), ('"Convert Local Variable to Field" suggestion wrong if static is checked [quick fix]', '2004-05-19 11:30:03 EDT', 'dirk_baeumer'), ('jdt-ui-inbox', '2004-05-19 11:37:17 EDT', 'martinae'), ('"Convert Local Variable to Field" suggestion wrong if static is checked [refactoring]', '2004-05-19 11:37:17 EDT', 'martinae'), ('RESOLVED', '2004-05-20 12:18:36 EDT', 'dirk_baeumer'), ('LATER', '2004-05-20 12:18:36 EDT', 'dirk_baeumer'), ('WONTFIX', '2009-08-30 02:41:32 EDT', 'webmaster')]</t>
  </si>
  <si>
    <t>2004-05-26 13:50:47 EDT</t>
  </si>
  <si>
    <t>2004-05-19 15:30 EDT</t>
  </si>
  <si>
    <t>[('CREATED', '2004-05-19 15:30 EDT'), ('RESOLVED', '2004-05-26 13:50:47 EDT', 'dirk_baeumer'), ('WORKSFORME', '2004-05-26 13:50:47 EDT', 'dirk_baeumer'), ('phantom package hanging around after deleting [package explorer] [render]', '2004-05-26 13:50:47 EDT', 'dirk_baeumer')]</t>
  </si>
  <si>
    <t>2008-02-26 06:21:16 EST</t>
  </si>
  <si>
    <t>2004-05-19 18:16 EDT</t>
  </si>
  <si>
    <t>2004-05-20 06:00:02 EDT</t>
  </si>
  <si>
    <t>[('CREATED', '2004-05-19 18:16 EDT'), ('dirk_baeumer', '2004-05-20 06:00:02 EDT', 'dirk_baeumer'), ('3.1', '2004-05-20 06:00:02 EDT', 'dirk_baeumer'), ('enhancement', '2005-03-16 17:01:35 EST', 'dirk_baeumer'), ('---', '2005-03-16 17:01:35 EST', 'dirk_baeumer'), ('tobias_widmer', '2006-04-05 06:31:16 EDT', 'dirk_baeumer'), ("[refactoring] [ltk] Allowing changes to be executed after the 'main' change during an undo", '2006-04-05 06:31:16 EDT', 'dirk_baeumer'), ("[ltk] allow changes to be executed after the 'main' change during an undo [refactoring]", '2006-05-29 05:56:56 EDT', 'tobias_widmer'), ('jdt-ui-inbox', '2007-06-14 10:44:14 EDT', 'martinae'), ('francisu', '2008-02-17 17:41:55 EST', 'francisu'), ('martin_aeschlimann', '2008-02-18 07:01:54 EST', 'martinae'), ('markus_keller', '2008-02-18 11:34:27 EST', 'martinae'), ('markus_keller', '2008-02-26 06:20:08 EST', 'markus.kell.r'), ('contributed', '2008-02-26 06:20:08 EST', 'markus.kell.r'), ('All', '2008-02-26 06:20:08 EST', 'markus.kell.r'), ('All', '2008-02-26 06:20:08 EST', 'markus.kell.r'), ('3.4 M6', '2008-02-26 06:20:08 EST', 'markus.kell.r'), ('RESOLVED', '2008-02-26 06:21:16 EST', 'markus.kell.r'), ('FIXED', '2008-02-26 06:21:16 EST', 'markus.kell.r')]</t>
  </si>
  <si>
    <t>2004-05-25 10:51:17 EDT</t>
  </si>
  <si>
    <t>2004-06-11 09:59:08 EDT</t>
  </si>
  <si>
    <t>2004-05-19 19:09 EDT</t>
  </si>
  <si>
    <t>2004-05-20 05:58:45 EDT</t>
  </si>
  <si>
    <t>[('CREATED', '2004-05-19 19:09 EDT'), ('dirk_baeumer', '2004-05-20 05:58:45 EDT', 'dirk_baeumer'), ('P2', '2004-05-20 05:58:45 EDT', 'dirk_baeumer'), ('3.0', '2004-05-20 05:58:45 EDT', 'dirk_baeumer'), ('3.0 RC1', '2004-05-20 06:11:50 EDT', 'dirk_baeumer'), ('RESOLVED', '2004-05-25 10:51:17 EDT', 'dirk_baeumer'), ('FIXED', '2004-05-25 10:51:17 EDT', 'dirk_baeumer'), ('VERIFIED', '2004-06-11 09:59:08 EDT', 'markus.kell.r')]</t>
  </si>
  <si>
    <t>2004-05-26 14:16:51 EDT</t>
  </si>
  <si>
    <t>2004-06-10 04:56:48 EDT</t>
  </si>
  <si>
    <t>2004-05-20 11:05 EDT</t>
  </si>
  <si>
    <t>2004-05-26 14:16:16 EDT</t>
  </si>
  <si>
    <t>[('CREATED', '2004-05-20 11:05 EDT'), ('dirk_baeumer', '2004-05-26 14:16:16 EDT', 'dirk_baeumer'), ('RESOLVED', '2004-05-26 14:16:51 EDT', 'dirk_baeumer'), ('FIXED', '2004-05-26 14:16:51 EDT', 'dirk_baeumer'), ('problem messages during refactoring are being collapsed [refactoring]', '2004-05-26 14:16:51 EDT', 'dirk_baeumer'), ('3.0 RC1', '2004-05-26 14:16:51 EDT', 'dirk_baeumer'), ('VERIFIED', '2004-06-10 04:56:48 EDT', 'dirk_baeumer')]</t>
  </si>
  <si>
    <t>2004-05-24 11:40:29 EDT</t>
  </si>
  <si>
    <t>2004-05-20 14:46 EDT</t>
  </si>
  <si>
    <t>2004-05-20 21:31:32 EDT</t>
  </si>
  <si>
    <t>[('CREATED', '2004-05-20 14:46 EDT'), ('jdt-ui-inbox', '2004-05-20 21:31:32 EDT', 'Olivier_Thomann'), ('UI', '2004-05-20 21:31:32 EDT', 'Olivier_Thomann'), ('dirk_baeumer', '2004-05-21 04:59:34 EDT', 'dirk_baeumer'), ('Undo only undoes refactorings one internal step at a time. [refactoring]', '2004-05-21 04:59:34 EDT', 'dirk_baeumer'), ('3.0 RC1', '2004-05-21 04:59:34 EDT', 'dirk_baeumer'), ('RESOLVED', '2004-05-24 11:40:29 EDT', 'dirk_baeumer'), ('WORKSFORME', '2004-05-24 11:40:29 EDT', 'dirk_baeumer')]</t>
  </si>
  <si>
    <t>2004-05-26 13:48:58 EDT</t>
  </si>
  <si>
    <t>2004-05-20 17:52 EDT</t>
  </si>
  <si>
    <t>2004-05-21 05:05:32 EDT</t>
  </si>
  <si>
    <t>[('CREATED', '2004-05-20 17:52 EDT'), ('P2', '2004-05-21 05:05:32 EDT', 'dirk_baeumer'), ('RESOLVED', '2004-05-26 13:48:58 EDT', 'dirk_baeumer'), ('DUPLICATE', '2004-05-26 13:48:58 EDT', 'dirk_baeumer')]</t>
  </si>
  <si>
    <t>2004-05-26 12:05:01 EDT</t>
  </si>
  <si>
    <t>2004-05-28 08:05:22 EDT</t>
  </si>
  <si>
    <t>2004-05-22 03:15 EDT</t>
  </si>
  <si>
    <t>2004-05-22 18:24:49 EDT</t>
  </si>
  <si>
    <t>[('CREATED', '2004-05-22 03:15 EDT'), ('jdt-ui-inbox', '2004-05-22 18:24:49 EDT', 'philippe_mulet'), ('UI', '2004-05-22 18:24:49 EDT', 'philippe_mulet'), ('dirk_baeumer', '2004-05-26 12:03:54 EDT', 'dirk_baeumer'), ('Refactoring (moving public static final BigInteger to another type) exception [refactoring]', '2004-05-26 12:03:54 EDT', 'dirk_baeumer'), ('RESOLVED', '2004-05-26 12:05:01 EDT', 'dirk_baeumer'), ('FIXED', '2004-05-26 12:05:01 EDT', 'dirk_baeumer'), ('3.0 RC1', '2004-05-26 12:05:01 EDT', 'dirk_baeumer'), ('VERIFIED', '2004-05-28 08:05:22 EDT', 'martinae')]</t>
  </si>
  <si>
    <t>2004-06-03 14:11:41 EDT</t>
  </si>
  <si>
    <t>2004-06-10 10:55:31 EDT</t>
  </si>
  <si>
    <t>2004-05-28 04:56:05 EDT</t>
  </si>
  <si>
    <t>2004-05-22 07:43 EDT</t>
  </si>
  <si>
    <t>2004-05-22 08:19:47 EDT</t>
  </si>
  <si>
    <t>[('CREATED', '2004-05-22 07:43 EDT'), ('jdt-ui-inbox', '2004-05-22 08:19:47 EDT', 'philippe_mulet'), ('UI', '2004-05-22 08:19:47 EDT', 'philippe_mulet'), ('3.0 RC1', '2004-05-22 13:21:34 EDT', 'dirk_baeumer'), ('markus_keller', '2004-05-22 13:21:34 EDT', 'dirk_baeumer'), ('"Move member type to new file" generates invalid JavaDoc [refactoring]', '2004-05-22 13:21:34 EDT', 'dirk_baeumer'), ('RESOLVED', '2004-05-24 12:44:30 EDT', 'markus.kell.r'), ('FIXED', '2004-05-24 12:44:30 EDT', 'markus.kell.r'), ('REOPENED', '2004-05-28 04:56:05 EDT', 'eclipse'), ('---', '2004-05-28 04:56:05 EDT', 'eclipse'), ('ASSIGNED', '2004-05-28 05:35:25 EDT', 'markus.kell.r'), ('3.0 RC2', '2004-05-28 05:35:25 EDT', 'markus.kell.r'), ('RESOLVED', '2004-06-03 14:11:41 EDT', 'markus.kell.r'), ('FIXED', '2004-06-03 14:11:41 EDT', 'markus.kell.r'), ('VERIFIED', '2004-06-10 10:55:31 EDT', 'tmader')]</t>
  </si>
  <si>
    <t>2005-03-17 06:52:48 EST</t>
  </si>
  <si>
    <t>2004-05-22 07:51 EDT</t>
  </si>
  <si>
    <t>2004-05-22 08:19:34 EDT</t>
  </si>
  <si>
    <t>[('CREATED', '2004-05-22 07:51 EDT'), ('jdt-ui-inbox', '2004-05-22 08:19:34 EDT', 'philippe_mulet'), ('UI', '2004-05-22 08:19:34 EDT', 'philippe_mulet'), ('ASSIGNED', '2004-05-24 05:08:00 EDT', 'dirk_baeumer'), ('"Move member type to new file" omits to add imports [refactoring]', '2004-05-24 05:08:00 EDT', 'dirk_baeumer'), ('tobias_widmer', '2005-03-16 18:10:20 EST', 'dirk_baeumer'), ('NEW', '2005-03-17 06:51:05 EST', 'tobias_widmer'), ('3.1 M6', '2005-03-17 06:51:05 EST', 'tobias_widmer'), ('tobias_widmer', '2005-03-17 06:51:05 EST', 'tobias_widmer'), ('RESOLVED', '2005-03-17 06:52:48 EST', 'tobias_widmer'), ('FIXED', '2005-03-17 06:52:48 EST', 'tobias_widmer')]</t>
  </si>
  <si>
    <t>2004-05-27 05:30:35 EDT</t>
  </si>
  <si>
    <t>2004-06-11 14:09:52 EDT</t>
  </si>
  <si>
    <t>2004-05-23 16:15 EDT</t>
  </si>
  <si>
    <t>2004-05-23 16:16:10 EDT</t>
  </si>
  <si>
    <t>[('CREATED', '2004-05-23 16:15 EDT'), ('polish', '2004-05-23 16:16:10 EDT', 'erich_gamma'), ('dirk_baeumer', '2004-05-27 05:23:09 EDT', 'dirk_baeumer'), ('3.0 RC1', '2004-05-27 05:23:09 EDT', 'dirk_baeumer'), ('FIXED', '2004-05-27 05:30:35 EDT', 'dirk_baeumer'), ('RESOLVED', '2004-05-27 05:30:35 EDT', 'dirk_baeumer'), ('VERIFIED', '2004-06-11 14:09:52 EDT', 'markus.kell.r')]</t>
  </si>
  <si>
    <t>2004-06-17 19:32:21 EDT</t>
  </si>
  <si>
    <t>2004-06-11 12:10:24 EDT</t>
  </si>
  <si>
    <t>2004-05-24 05:02 EDT</t>
  </si>
  <si>
    <t>2004-05-24 05:02:41 EDT</t>
  </si>
  <si>
    <t>[('CREATED', '2004-05-24 05:02 EDT'), ('polish', '2004-05-24 05:02:41 EDT', 'erich_gamma'), ('3.0 RC1', '2004-05-25 09:39:48 EDT', 'dirk_baeumer'), ('dirk_baeumer', '2004-05-25 09:39:48 EDT', 'dirk_baeumer'), ('RESOLVED', '2004-05-25 09:43:24 EDT', 'dirk_baeumer'), ('FIXED', '2004-05-25 09:43:24 EDT', 'dirk_baeumer'), ('REOPENED', '2004-06-11 12:10:24 EDT', 'tmader'), ('---', '2004-06-11 12:10:24 EDT', 'tmader'), ('RESOLVED', '2004-06-17 19:32:21 EDT', 'dirk_baeumer'), ('FIXED', '2004-06-17 19:32:21 EDT', 'dirk_baeumer')]</t>
  </si>
  <si>
    <t>2006-04-05 06:32:44 EDT</t>
  </si>
  <si>
    <t>2009-08-30 02:40:37 EDT</t>
  </si>
  <si>
    <t>2004-05-24 18:00 EDT</t>
  </si>
  <si>
    <t>2004-05-24 18:51:32 EDT</t>
  </si>
  <si>
    <t>[('CREATED', '2004-05-24 18:00 EDT'), ('jdt-ui-inbox', '2004-05-24 18:51:32 EDT', 'philippe_mulet'), ('UI', '2004-05-24 18:51:32 EDT', 'philippe_mulet'), ('dirk_baeumer', '2004-05-25 04:25:13 EDT', 'dirk_baeumer'), ('Renaming a class with a main(String[]) method does not preview actions. [refactoring]', '2004-05-25 04:25:13 EDT', 'dirk_baeumer'), ('3.0', '2004-05-25 04:25:13 EDT', 'dirk_baeumer'), ('3.1', '2004-06-25 11:32:17 EDT', 'dirk_baeumer'), ('---', '2005-04-27 14:01:28 EDT', 'dirk_baeumer'), ('jdt-ui-inbox', '2006-04-05 06:32:25 EDT', 'dirk_baeumer'), ('P4', '2006-04-05 06:32:25 EDT', 'dirk_baeumer'), ('[refactoring] [rename] Renaming a class with a main(String[]) method does not preview actions.', '2006-04-05 06:32:25 EDT', 'dirk_baeumer'), ('RESOLVED', '2006-04-05 06:32:44 EDT', 'dirk_baeumer'), ('LATER', '2006-04-05 06:32:44 EDT', 'dirk_baeumer'), ('WONTFIX', '2009-08-30 02:40:37 EDT', 'webmaster')]</t>
  </si>
  <si>
    <t>2004-05-25 13:54:40 EDT</t>
  </si>
  <si>
    <t>2004-06-11 09:49:13 EDT</t>
  </si>
  <si>
    <t>2004-05-25 08:47 EDT</t>
  </si>
  <si>
    <t>2004-05-25 10:05:40 EDT</t>
  </si>
  <si>
    <t>[('CREATED', '2004-05-25 08:47 EDT'), ('erich_gamma', '2004-05-25 10:05:40 EDT', 'michaelvanmeekeren'), ('polish', '2004-05-25 10:05:40 EDT', 'michaelvanmeekeren'), ('kim_horne', '2004-05-25 13:48:12 EDT', 'eclipse'), ('jdt-ui-inbox', '2004-05-25 13:48:12 EDT', 'eclipse'), ('JDT', '2004-05-25 13:48:12 EDT', 'eclipse'), ('3.0 RC1', '2004-05-25 13:48:12 EDT', 'eclipse'), ('RESOLVED', '2004-05-25 13:54:40 EDT', 'dirk_baeumer'), ('FIXED', '2004-05-25 13:54:40 EDT', 'dirk_baeumer'), ('VERIFIED', '2004-06-11 09:49:13 EDT', 'dirk_baeumer')]</t>
  </si>
  <si>
    <t>49717 (view as bug list)</t>
  </si>
  <si>
    <t>2004-05-25 16:00:58 EDT</t>
  </si>
  <si>
    <t>2004-05-28 07:06:32 EDT</t>
  </si>
  <si>
    <t>2004-05-25 12:36 EDT</t>
  </si>
  <si>
    <t>2004-05-25 12:36:37 EDT</t>
  </si>
  <si>
    <t>[('CREATED', '2004-05-25 12:36 EDT'), ('P2', '2004-05-25 12:36:37 EDT', 'dirk_baeumer'), ('3.0 RC1', '2004-05-25 12:36:37 EDT', 'dirk_baeumer'), ('mlq.eclipse', '2004-05-25 15:53:33 EDT', 'markus.kell.r'), ('FIXED', '2004-05-25 16:00:58 EDT', 'markus.kell.r'), ('RESOLVED', '2004-05-25 16:00:58 EDT', 'markus.kell.r'), ('VERIFIED', '2004-05-28 07:06:32 EDT', 'eclipse')]</t>
  </si>
  <si>
    <t>2004-05-25 16:22:32 EDT</t>
  </si>
  <si>
    <t>2004-05-25 14:27 EDT</t>
  </si>
  <si>
    <t>[('CREATED', '2004-05-25 14:27 EDT'), ('RESOLVED', '2004-05-25 16:22:32 EDT', 'dirk_baeumer'), ('WORKSFORME', '2004-05-25 16:22:32 EDT', 'dirk_baeumer')]</t>
  </si>
  <si>
    <t>59304 64678 (view as bug list)</t>
  </si>
  <si>
    <t>2004-05-26 14:42:15 EDT</t>
  </si>
  <si>
    <t>2004-06-10 04:49:16 EDT</t>
  </si>
  <si>
    <t>2004-05-25 19:00 EDT</t>
  </si>
  <si>
    <t>2004-05-25 22:11:48 EDT</t>
  </si>
  <si>
    <t>[('CREATED', '2004-05-25 19:00 EDT'), ('[refactoring] InvocationTargetException during Extract Constant', '2004-05-25 22:11:48 EDT', 'Olivier_Thomann'), ('jdt-ui-inbox', '2004-05-25 22:11:48 EDT', 'Olivier_Thomann'), ('UI', '2004-05-25 22:11:48 EDT', 'Olivier_Thomann'), ('markus_keller', '2004-05-26 12:17:30 EDT', 'dirk_baeumer'), ('InvocationTargetException during Extract Constant [refactoring]', '2004-05-26 12:17:30 EDT', 'dirk_baeumer'), ('3.0 RC1', '2004-05-26 12:17:30 EDT', 'dirk_baeumer'), ('markus_keller', '2004-05-26 14:00:14 EDT', 'markus.kell.r'), ('RESOLVED', '2004-05-26 14:42:15 EDT', 'markus.kell.r'), ('FIXED', '2004-05-26 14:42:15 EDT', 'markus.kell.r'), ('michael.keppler', '2004-05-30 09:10:49 EDT', 'dirk_baeumer'), ('VERIFIED', '2004-06-10 04:49:16 EDT', 'dirk_baeumer')]</t>
  </si>
  <si>
    <t>2004-06-04 05:06:58 EDT</t>
  </si>
  <si>
    <t>2004-06-11 11:09:04 EDT</t>
  </si>
  <si>
    <t>2004-05-26 04:45 EDT</t>
  </si>
  <si>
    <t>2004-05-26 04:57:30 EDT</t>
  </si>
  <si>
    <t>[('CREATED', '2004-05-26 04:45 EDT'), ('markus_keller', '2004-05-26 04:57:30 EDT', 'dirk_baeumer'), ('IllegalArgumentException in change method signature [refactoring]', '2004-05-26 04:57:30 EDT', 'dirk_baeumer'), ('3.0 RC1', '2004-05-26 04:57:30 EDT', 'dirk_baeumer'), ('daniel_megert', '2004-05-27 13:05:37 EDT', 'markus.kell.r'), ('ASSIGNED', '2004-05-27 13:05:37 EDT', 'markus.kell.r'), ('3.0 RC2', '2004-05-27 13:54:15 EDT', 'daniel_megert'), ('markus_keller', '2004-06-04 03:50:24 EDT', 'markus.kell.r'), ('daniel_megert', '2004-06-04 03:50:24 EDT', 'markus.kell.r'), ('NEW', '2004-06-04 03:50:24 EDT', 'markus.kell.r'), ('RESOLVED', '2004-06-04 05:06:58 EDT', 'daniel_megert'), ('FIXED', '2004-06-04 05:06:58 EDT', 'daniel_megert'), ('VERIFIED', '2004-06-11 11:09:04 EDT', 'eclipse')]</t>
  </si>
  <si>
    <t>CLOSED  INVALID</t>
  </si>
  <si>
    <t>2004-06-03 09:00:33 EDT</t>
  </si>
  <si>
    <t>2009-08-30 02:07:53 EDT</t>
  </si>
  <si>
    <t>2004-05-26 12:49 EDT</t>
  </si>
  <si>
    <t>2004-06-03 05:53:36 EDT</t>
  </si>
  <si>
    <t>[('CREATED', '2004-05-26 12:49 EDT'), ('jdt-ui-inbox', '2004-06-03 05:53:36 EDT', 'kai-uwe_maetzel'), ('UI', '2004-06-03 05:53:36 EDT', 'kai-uwe_maetzel'), ('[quick assist] Local variable rename fails in 3M9 code assist', '2004-06-03 05:53:36 EDT', 'kai-uwe_maetzel'), ('martin_aeschlimann', '2004-06-03 06:06:15 EDT', 'dirk_baeumer'), ('Local variable rename fails in 3M9 code assist [quick assist]', '2004-06-03 06:06:15 EDT', 'dirk_baeumer'), ('3.0 RC2', '2004-06-03 06:06:15 EDT', 'dirk_baeumer'), ('RESOLVED', '2004-06-03 09:00:33 EDT', 'martinae'), ('REMIND', '2004-06-03 09:00:33 EDT', 'martinae'), ('CLOSED', '2004-10-04 14:02:31 EDT', 'BJGeraci'), ('jdt-ui-inbox', '2009-08-30 02:07:53 EDT', 'denis.roy'), ('needinfo', '2009-08-30 02:07:53 EDT', 'denis.roy'), ('INVALID', '2009-08-30 02:07:53 EDT', 'denis.roy')]</t>
  </si>
  <si>
    <t>2004-05-26 18:30 EDT</t>
  </si>
  <si>
    <t>2004-05-26 18:30:58 EDT</t>
  </si>
  <si>
    <t>2009-08-01 07:58:15 EDT</t>
  </si>
  <si>
    <t>b.muskalla</t>
  </si>
  <si>
    <t>[('CREATED', '2004-05-26 18:30 EDT'), ('enhancement', '2004-05-26 18:30:58 EDT', 'ggregory'), ('jdt-ui-inbox', '2004-05-26 21:41:29 EDT', 'Olivier_Thomann'), ('UI', '2004-05-26 21:41:29 EDT', 'Olivier_Thomann'), ('dirk_baeumer', '2004-05-27 04:45:36 EDT', 'dirk_baeumer'), ('Extract Method Refactoring creates un-needed code [refactoring]', '2004-05-27 04:45:36 EDT', 'dirk_baeumer'), ('[refactoring] [extract method] Extract Method Refactoring creates un-needed code', '2006-04-05 06:36:15 EDT', 'dirk_baeumer'), ('jdt-ui-inbox', '2006-06-02 06:09:00 EDT', 'martinae'), ('[extract method] creates un-needed code', '2006-06-02 06:09:00 EDT', 'martinae'), ('bmuskalla, markus_keller', '2009-08-01 07:58:15 EDT', 'b.muskalla'), ('bmuskalla', '2009-08-01 07:58:15 EDT', 'b.muskalla')]</t>
  </si>
  <si>
    <t>2007-10-24 10:43:53 EDT</t>
  </si>
  <si>
    <t>2007-10-25 05:20:31 EDT</t>
  </si>
  <si>
    <t>2004-05-27 06:17 EDT</t>
  </si>
  <si>
    <t>2004-05-27 13:23:13 EDT</t>
  </si>
  <si>
    <t>2010-09-05 13:57:55 EDT</t>
  </si>
  <si>
    <t>[('CREATED', '2004-05-27 06:17 EDT'), ('markus_keller', '2004-05-27 13:23:13 EDT', 'dirk_baeumer'), ('Guess names for expression in method call based on parameter name [refactoring]', '2004-05-27 13:23:13 EDT', 'dirk_baeumer'), ('[extract local] Guess names for expression in method call based on parameter name', '2006-08-03 10:40:54 EDT', 'martinae'), ('martin_aeschlimann, markus_keller', '2007-10-24 10:33:23 EDT', 'markus.kell.r'), ('RESOLVED', '2007-10-24 10:43:53 EDT', 'martinae'), ('DUPLICATE', '2007-10-24 10:43:53 EDT', 'martinae'), (nan, '2007-10-25 05:20:31 EDT', 'markus.kell.r'), ('REOPENED', '2007-10-25 05:20:31 EDT', 'markus.kell.r'), ('---', '2007-10-25 05:20:31 EDT', 'markus.kell.r'), ('[introduce parameter] Guess names for expression in method call based on parameter name', '2007-10-25 05:20:31 EDT', 'markus.kell.r'), ('deepak.azad', '2010-09-05 13:57:55 EDT', 'deepakazad')]</t>
  </si>
  <si>
    <t>2004-05-28 18:36:23 EDT</t>
  </si>
  <si>
    <t>2004-05-27 14:42 EDT</t>
  </si>
  <si>
    <t>2004-05-27 15:29:02 EDT</t>
  </si>
  <si>
    <t>[('CREATED', '2004-05-27 14:42 EDT'), ('jdt-ui-inbox', '2004-05-27 15:29:02 EDT', 'Olivier_Thomann'), ('UI', '2004-05-27 15:29:02 EDT', 'Olivier_Thomann'), ('Cannot extract constant from for loop [refactoring]', '2004-05-28 03:11:16 EDT', 'dirk_baeumer'), ('RESOLVED', '2004-05-28 18:36:23 EDT', 'dirk_baeumer'), ('WORKSFORME', '2004-05-28 18:36:23 EDT', 'dirk_baeumer')]</t>
  </si>
  <si>
    <t>64718 (view as bug list)</t>
  </si>
  <si>
    <t>2004-06-03 04:56:48 EDT</t>
  </si>
  <si>
    <t>2004-06-11 04:41:43 EDT</t>
  </si>
  <si>
    <t>2004-05-27 14:51 EDT</t>
  </si>
  <si>
    <t>2004-05-28 10:07:31 EDT</t>
  </si>
  <si>
    <t>[('CREATED', '2004-05-27 14:51 EDT'), ('markus_keller', '2004-05-28 10:07:31 EDT', 'martinae'), ('UI', '2004-05-28 10:07:31 EDT', 'martinae'), ('a', '2004-06-02 05:27:31 EDT', 'markus.kell.r'), ('ASSIGNED', '2004-06-02 05:28:23 EDT', 'markus.kell.r'), ('P2', '2004-06-02 05:28:23 EDT', 'markus.kell.r'), ('3.0 RC2', '2004-06-02 05:28:23 EDT', 'markus.kell.r'), ('RESOLVED', '2004-06-03 04:56:48 EDT', 'markus.kell.r'), ('FIXED', '2004-06-03 04:56:48 EDT', 'markus.kell.r'), ('VERIFIED', '2004-06-11 04:41:43 EDT', 'dirk_baeumer')]</t>
  </si>
  <si>
    <t>2004-06-03 14:10:02 EDT</t>
  </si>
  <si>
    <t>2004-06-11 10:13:47 EDT</t>
  </si>
  <si>
    <t>2004-05-28 05:01 EDT</t>
  </si>
  <si>
    <t>2004-05-28 05:18:49 EDT</t>
  </si>
  <si>
    <t>[('CREATED', '2004-05-28 05:01 EDT'), ('ASSIGNED', '2004-05-28 05:18:49 EDT', 'markus.kell.r'), ('3.0 RC2', '2004-05-28 05:18:49 EDT', 'markus.kell.r'), ('RESOLVED', '2004-06-03 14:10:02 EDT', 'markus.kell.r'), ('FIXED', '2004-06-03 14:10:02 EDT', 'markus.kell.r'), ('VERIFIED', '2004-06-11 10:13:47 EDT', 'dirk_baeumer')]</t>
  </si>
  <si>
    <t>2005-04-27 14:13:21 EDT</t>
  </si>
  <si>
    <t>2004-05-28 05:21 EDT</t>
  </si>
  <si>
    <t>2004-06-03 08:29:33 EDT</t>
  </si>
  <si>
    <t>[('CREATED', '2004-05-28 05:21 EDT'), ('dirk_baeumer', '2004-06-03 08:29:33 EDT', 'dirk_baeumer'), ('FIXED', '2005-04-27 14:13:21 EDT', 'dirk_baeumer'), ('3.1 M7', '2005-04-27 14:13:21 EDT', 'dirk_baeumer'), ('RESOLVED', '2005-04-27 14:13:21 EDT', 'dirk_baeumer')]</t>
  </si>
  <si>
    <t>2004-06-09 03:56:29 EDT</t>
  </si>
  <si>
    <t>2004-06-11 12:18:47 EDT</t>
  </si>
  <si>
    <t>2004-05-28 05:33 EDT</t>
  </si>
  <si>
    <t>2004-06-03 08:28:10 EDT</t>
  </si>
  <si>
    <t>[('CREATED', '2004-05-28 05:33 EDT'), ('markus_keller', '2004-06-03 08:28:10 EDT', 'dirk_baeumer'), ("Change Signature Refactoring: Error lable contains '' [refactoring]", '2004-06-03 08:28:10 EDT', 'dirk_baeumer'), ('3.0 RC2', '2004-06-09 03:56:29 EDT', 'markus.kell.r'), ('RESOLVED', '2004-06-09 03:56:29 EDT', 'markus.kell.r'), ('FIXED', '2004-06-09 03:56:29 EDT', 'markus.kell.r'), ('VERIFIED', '2004-06-11 12:18:47 EDT', 'martinae')]</t>
  </si>
  <si>
    <t>2006-06-14 05:09:55 EDT</t>
  </si>
  <si>
    <t>2004-05-28 07:03 EDT</t>
  </si>
  <si>
    <t>2004-06-03 07:00:39 EDT</t>
  </si>
  <si>
    <t>[('CREATED', '2004-05-28 07:03 EDT'), ('ASSIGNED', '2004-06-03 07:00:39 EDT', 'dirk_baeumer'), ('renaming "main" fails with wrong error message [refactoring]', '2004-06-03 07:00:39 EDT', 'dirk_baeumer'), ('RESOLVED', '2006-06-14 05:09:55 EDT', 'martinae'), ('WORKSFORME', '2006-06-14 05:09:55 EDT', 'martinae'), ('[rename] renaming "main" fails with wrong error message [refactoring]', '2006-06-14 05:09:55 EDT', 'martinae')]</t>
  </si>
  <si>
    <t>2004-06-08 04:18:04 EDT</t>
  </si>
  <si>
    <t>2004-06-11 10:50:30 EDT</t>
  </si>
  <si>
    <t>2004-05-28 07:19 EDT</t>
  </si>
  <si>
    <t>2004-05-28 08:47:50 EDT</t>
  </si>
  <si>
    <t>[('CREATED', '2004-05-28 07:19 EDT'), ('dirk_baeumer', '2004-05-28 08:47:50 EDT', 'dirk_baeumer'), ('markus_keller', '2004-05-28 08:47:50 EDT', 'dirk_baeumer'), ('ASSIGNED', '2004-05-28 09:48:47 EDT', 'markus.kell.r'), ('3.0 RC2', '2004-05-28 09:48:47 EDT', 'markus.kell.r'), ('RESOLVED', '2004-06-08 04:18:04 EDT', 'markus.kell.r'), ('FIXED', '2004-06-08 04:18:04 EDT', 'markus.kell.r'), ('VERIFIED', '2004-06-11 10:50:30 EDT', 'dirk_baeumer')]</t>
  </si>
  <si>
    <t>VERIFIED  DUPLICATE  of bug 64563</t>
  </si>
  <si>
    <t>2004-05-28 11:02:14 EDT</t>
  </si>
  <si>
    <t>2004-06-11 07:52:57 EDT</t>
  </si>
  <si>
    <t>2004-05-28 10:33 EDT</t>
  </si>
  <si>
    <t>2004-05-28 10:42:53 EDT</t>
  </si>
  <si>
    <t>[('CREATED', '2004-05-28 10:33 EDT'), ('markus_keller', '2004-05-28 10:42:53 EDT', 'markus.kell.r'), ('3.0 RC2', '2004-05-28 10:42:53 EDT', 'markus.kell.r'), ('ASSIGNED', '2004-05-28 10:43:59 EDT', 'markus.kell.r'), ('DUPLICATE', '2004-05-28 11:02:14 EDT', 'dirk_baeumer'), ('RESOLVED', '2004-05-28 11:02:14 EDT', 'dirk_baeumer'), ('VERIFIED', '2004-06-11 07:52:57 EDT', 'daniel_megert')]</t>
  </si>
  <si>
    <t>64560 64912 (view as bug list)</t>
  </si>
  <si>
    <t>2004-06-10 06:10:17 EDT</t>
  </si>
  <si>
    <t>2004-06-11 07:52:21 EDT</t>
  </si>
  <si>
    <t>2004-05-28 11:00 EDT</t>
  </si>
  <si>
    <t>2004-05-28 11:01:32 EDT</t>
  </si>
  <si>
    <t>[('CREATED', '2004-05-28 11:00 EDT'), ('3.0 RC2', '2004-05-28 11:01:32 EDT', 'dirk_baeumer'), ('eclipse', '2004-05-28 11:02:14 EDT', 'dirk_baeumer'), ('erich_gamma', '2004-06-01 12:44:11 EDT', 'dirk_baeumer'), ('NLS &amp; Mnemonic bugs in RC1', '2004-06-01 12:44:11 EDT', 'dirk_baeumer'), ('markus_keller', '2004-06-01 12:44:30 EDT', 'dirk_baeumer'), ('RESOLVED', '2004-06-10 06:10:17 EDT', 'markus.kell.r'), ('FIXED', '2004-06-10 06:10:17 EDT', 'markus.kell.r'), ('VERIFIED', '2004-06-11 07:52:21 EDT', 'daniel_megert')]</t>
  </si>
  <si>
    <t>2004-05-29 10:39:04 EDT</t>
  </si>
  <si>
    <t>2004-05-28 20:29 EDT</t>
  </si>
  <si>
    <t>a</t>
  </si>
  <si>
    <t>[('CREATED', '2004-05-28 20:29 EDT'), ('RESOLVED', '2004-05-29 10:39:04 EDT', 'a'), ('FIXED', '2004-05-29 10:39:04 EDT', 'a')]</t>
  </si>
  <si>
    <t>43172 96038 109267 (view as bug list)</t>
  </si>
  <si>
    <t>103627 103630 106024</t>
  </si>
  <si>
    <t>2005-11-15 09:22:31 EST</t>
  </si>
  <si>
    <t>2005-12-13 05:16:54 EST</t>
  </si>
  <si>
    <t>2005-11-08 06:35:13 EST</t>
  </si>
  <si>
    <t>2004-05-29 07:32 EDT</t>
  </si>
  <si>
    <t>2004-05-29 13:04:04 EDT</t>
  </si>
  <si>
    <t>[('CREATED', '2004-05-29 07:32 EDT'), ('RESOLVED', '2004-05-29 13:04:04 EDT', 'dirk_baeumer'), ('P4', '2004-05-29 13:04:04 EDT', 'dirk_baeumer'), ('LATER', '2004-05-29 13:04:04 EDT', 'dirk_baeumer'), ('JDT controls with symbol names should be camel-case aware [refactoring]', '2004-05-29 13:04:04 EDT', 'dirk_baeumer'), ('gatesda', '2005-05-19 17:54:37 EDT', 'dirk_baeumer'), ('markus_keller', '2005-07-13 05:21:43 EDT', 'markus.kell.r'), ('103627', '2005-07-13 05:29:50 EDT', 'markus.kell.r'), ('103630', '2005-07-13 05:40:14 EDT', 'markus.kell.r'), ('106024', '2005-08-04 06:28:30 EDT', 'markus.kell.r'), ('eclipse-bugs', '2005-09-12 03:09:00 EDT', 'dirk_baeumer'), ('115460', '2005-11-08 06:35:13 EST', 'markus.kell.r'), ('REOPENED', '2005-11-08 06:35:13 EST', 'markus.kell.r'), ('---', '2005-11-08 06:35:13 EST', 'markus.kell.r'), ('markus_keller', '2005-11-08 06:35:51 EST', 'markus.kell.r'), ('NEW', '2005-11-08 06:35:51 EST', 'markus.kell.r'), ('P3', '2005-11-08 06:35:51 EST', 'markus.kell.r'), ('3.2 M4', '2005-11-08 06:35:51 EST', 'markus.kell.r'), (nan, '2005-11-08 07:31:42 EST', 'daniel_megert'), ('RESOLVED', '2005-11-15 09:22:31 EST', 'markus.kell.r'), ('FIXED', '2005-11-15 09:22:31 EST', 'markus.kell.r'), ('VERIFIED', '2005-12-13 05:16:54 EST', 'markus.kell.r'), ('tonny', '2006-04-03 09:16:29 EDT', 'markus.kell.r')]</t>
  </si>
  <si>
    <t>2004-06-07 05:47:48 EDT</t>
  </si>
  <si>
    <t>2004-06-11 09:50:05 EDT</t>
  </si>
  <si>
    <t>2004-05-29 12:21 EDT</t>
  </si>
  <si>
    <t>2004-05-29 12:49:19 EDT</t>
  </si>
  <si>
    <t>[('CREATED', '2004-05-29 12:21 EDT'), ('dirk_baeumer', '2004-05-29 12:49:19 EDT', 'dirk_baeumer'), ('Refactor -&gt; Move can duplicate code [refactoring]', '2004-05-29 12:49:19 EDT', 'dirk_baeumer'), ('3.0 RC2', '2004-06-06 11:13:31 EDT', 'dirk_baeumer'), ('RESOLVED', '2004-06-07 05:47:48 EDT', 'dirk_baeumer'), ('FIXED', '2004-06-07 05:47:48 EDT', 'dirk_baeumer'), ('VERIFIED', '2004-06-11 09:50:05 EDT', 'dirk_baeumer')]</t>
  </si>
  <si>
    <t>2004-05-29 12:26 EDT</t>
  </si>
  <si>
    <t>2004-05-29 12:47:09 EDT</t>
  </si>
  <si>
    <t>2007-06-14 10:45:15 EDT</t>
  </si>
  <si>
    <t>[('CREATED', '2004-05-29 12:26 EDT'), ('ASSIGNED', '2004-05-29 12:47:09 EDT', 'dirk_baeumer'), ('Refactor -&gt; Move should provide a way to change visibility og the moved method [refactoring]', '2004-05-29 12:47:09 EDT', 'dirk_baeumer'), ('martin_aeschlimann', '2006-06-13 02:28:53 EDT', 'martinae'), ('tobias_widmer', '2006-06-13 02:28:53 EDT', 'martinae'), ('NEW', '2006-06-13 02:28:53 EDT', 'martinae'), ('[move method] Refactor -&gt; Move should provide a way to change visibility og the moved method [refactoring]', '2006-06-13 02:28:53 EDT', 'martinae'), ('[move method] option to change visibility og the moved method [refactoring]', '2006-06-13 03:02:22 EDT', 'martinae'), ('[move method] option to change visibility of the moved method [refactoring]', '2006-06-13 03:28:45 EDT', 'tobias_widmer'), ('jdt-ui-inbox', '2007-06-14 10:45:15 EDT', 'martinae')]</t>
  </si>
  <si>
    <t>2004-05-30 09:10:49 EDT</t>
  </si>
  <si>
    <t>2004-05-29 13:49 EDT</t>
  </si>
  <si>
    <t>2004-05-29 14:23:16 EDT</t>
  </si>
  <si>
    <t>[('CREATED', '2004-05-29 13:49 EDT'), ('jdt-ui-inbox', '2004-05-29 14:23:16 EDT', 'frederic_fusier'), ('UI', '2004-05-29 14:23:16 EDT', 'frederic_fusier'), ('RESOLVED', '2004-05-30 09:10:49 EDT', 'dirk_baeumer'), ('DUPLICATE', '2004-05-30 09:10:49 EDT', 'dirk_baeumer')]</t>
  </si>
  <si>
    <t>65104 108188 152168 198026 368625 454331 (view as bug list)</t>
  </si>
  <si>
    <t>2004-05-30 08:04 EDT</t>
  </si>
  <si>
    <t>2004-05-30 08:59:29 EDT</t>
  </si>
  <si>
    <t>2014-12-08 09:12:31 EST</t>
  </si>
  <si>
    <t>[('CREATED', '2004-05-30 08:04 EDT'), ('enhancement', '2004-05-30 08:59:29 EDT', 'dirk_baeumer'), ('ASSIGNED', '2004-05-30 08:59:29 EDT', 'dirk_baeumer'), ('parameter name of setter is not changed when renaming a field [refactoring]', '2004-05-30 08:59:29 EDT', 'dirk_baeumer'), ('markus_keller', '2006-06-13 03:04:06 EDT', 'martinae'), ('NEW', '2006-06-13 03:04:06 EDT', 'martinae'), ('[rename] include parameter name when renaming field and getter', '2006-06-13 03:04:06 EDT', 'martinae'), ('eclipse', '2006-06-14 03:51:04 EDT', 'martinae'), ('ASSIGNED', '2006-06-14 04:20:01 EDT', 'markus.kell.r'), ('wmitsuda', '2006-08-02 13:10:01 EDT', 'martinae'), ('darryl', '2006-08-03 12:29:32 EDT', 'martinae'), ('david.balazic', '2011-02-22 07:49:41 EST', 'david.balazic'), ('ivan.outer', '2011-11-23 08:03:55 EST', 'ivan.outer'), ('josef1207', '2012-01-16 12:02:13 EST', 'markus.kell.r'), ('mail', '2012-04-25 19:58:34 EDT', 'mail'), ('jdt-ui-inbox', '2012-04-26 09:29:04 EDT', 'markus.kell.r'), ('daniel_megert', '2012-05-02 03:14:23 EDT', 'daniel_megert'), ('harawata', '2013-10-09 00:03:45 EDT', 'harawata'), ('an.delbene', '2014-12-08 09:12:31 EST', 'markus.kell.r')]</t>
  </si>
  <si>
    <t>2004-05-31 08:13:35 EDT</t>
  </si>
  <si>
    <t>2009-08-30 02:17:48 EDT</t>
  </si>
  <si>
    <t>2004-05-30 12:18 EDT</t>
  </si>
  <si>
    <t>[('CREATED', '2004-05-30 12:18 EDT'), ('enhancement', '2004-05-31 08:13:35 EDT', 'dirk_baeumer'), ('RESOLVED', '2004-05-31 08:13:35 EDT', 'dirk_baeumer'), ('P5', '2004-05-31 08:13:35 EDT', 'dirk_baeumer'), ('LATER', '2004-05-31 08:13:35 EDT', 'dirk_baeumer'), ('Move type refactoring dialog should provide option to display package with hierarchical layout [refactoring]', '2004-05-31 08:13:35 EDT', 'dirk_baeumer'), ('WONTFIX', '2009-08-30 02:17:48 EDT', 'denis.roy')]</t>
  </si>
  <si>
    <t>2004-05-31 00:41:02 EDT</t>
  </si>
  <si>
    <t>2004-05-31 00:37 EDT</t>
  </si>
  <si>
    <t>waltonl</t>
  </si>
  <si>
    <t>[('CREATED', '2004-05-31 00:37 EDT'), ('RESOLVED', '2004-05-31 00:41:02 EDT', 'waltonl'), ('FIXED', '2004-05-31 00:41:02 EDT', 'waltonl'), ('preview and ok buttons always disabled on Refactor -&gt; Rename on a file', '2004-05-31 00:41:02 EDT', 'waltonl')]</t>
  </si>
  <si>
    <t>2004-06-04 11:25:03 EDT</t>
  </si>
  <si>
    <t>2004-06-11 11:59:24 EDT</t>
  </si>
  <si>
    <t>2004-06-01 03:41 EDT</t>
  </si>
  <si>
    <t>2004-06-01 04:13:20 EDT</t>
  </si>
  <si>
    <t>[('CREATED', '2004-06-01 03:41 EDT'), ('markus_keller', '2004-06-01 04:13:20 EDT', 'dirk_baeumer'), ('3.0 RC2', '2004-06-01 04:13:20 EDT', 'dirk_baeumer'), ('ASSIGNED', '2004-06-04 10:13:52 EDT', 'markus.kell.r'), ('RESOLVED', '2004-06-04 11:25:03 EDT', 'markus.kell.r'), ('FIXED', '2004-06-04 11:25:03 EDT', 'markus.kell.r'), ('VERIFIED', '2004-06-11 11:59:24 EDT', 'andre_weinand')]</t>
  </si>
  <si>
    <t>2004-06-08 05:25:44 EDT</t>
  </si>
  <si>
    <t>2004-06-11 10:52:48 EDT</t>
  </si>
  <si>
    <t>2004-06-01 04:33 EDT</t>
  </si>
  <si>
    <t>2004-06-03 06:30:07 EDT</t>
  </si>
  <si>
    <t>[('CREATED', '2004-06-01 04:33 EDT'), ('erich_gamma', '2004-06-03 06:30:07 EDT', 'dirk_baeumer'), ('Missing command definitions for Go to Type and Go to Package', '2004-06-03 06:30:07 EDT', 'dirk_baeumer'), ('3.0 RC2', '2004-06-03 06:30:07 EDT', 'dirk_baeumer'), ('RESOLVED', '2004-06-08 05:25:44 EDT', 'erich_gamma'), ('FIXED', '2004-06-08 05:25:44 EDT', 'erich_gamma'), ('VERIFIED', '2004-06-11 10:52:48 EDT', 'dirk_baeumer')]</t>
  </si>
  <si>
    <t>2004-06-01 10:00:01 EDT</t>
  </si>
  <si>
    <t>2004-06-01 05:23 EDT</t>
  </si>
  <si>
    <t>[('CREATED', '2004-06-01 05:23 EDT'), ('RESOLVED', '2004-06-01 10:00:01 EDT', 'dirk_baeumer'), ('WONTFIX', '2004-06-01 10:00:01 EDT', 'dirk_baeumer')]</t>
  </si>
  <si>
    <t>2004-06-03 11:48:00 EDT</t>
  </si>
  <si>
    <t>2004-06-11 10:56:27 EDT</t>
  </si>
  <si>
    <t>2004-06-01 06:34 EDT</t>
  </si>
  <si>
    <t>2004-06-03 09:26:04 EDT</t>
  </si>
  <si>
    <t>[('CREATED', '2004-06-01 06:34 EDT'), ('martin_aeschlimann', '2004-06-03 09:26:04 EDT', 'dirk_baeumer'), ('3.0 RC2', '2004-06-03 09:26:04 EDT', 'dirk_baeumer'), ('RESOLVED', '2004-06-03 11:48:00 EDT', 'martinae'), ('FIXED', '2004-06-03 11:48:00 EDT', 'martinae'), ('VERIFIED', '2004-06-11 10:56:27 EDT', 'dirk_baeumer')]</t>
  </si>
  <si>
    <t>2004-06-09 06:10:04 EDT</t>
  </si>
  <si>
    <t>2009-08-30 02:34:30 EDT</t>
  </si>
  <si>
    <t>2004-06-01 08:25 EDT</t>
  </si>
  <si>
    <t>2004-06-01 08:26:39 EDT</t>
  </si>
  <si>
    <t>[('CREATED', '2004-06-01 08:25 EDT'), ('martin_aeschlimann', '2004-06-01 08:26:39 EDT', 'dirk_baeumer'), ('P2', '2004-06-01 08:26:39 EDT', 'dirk_baeumer'), ('3.0 RC2', '2004-06-01 08:26:39 EDT', 'dirk_baeumer'), ('erich_gamma', '2004-06-01 08:26:50 EDT', 'dirk_baeumer'), ('RESOLVED', '2004-06-09 06:10:04 EDT', 'martinae'), ('LATER', '2004-06-09 06:10:04 EDT', 'martinae'), ('WONTFIX', '2009-08-30 02:34:30 EDT', 'webmaster'), ('jdt-ui-inbox', '2009-08-30 02:34:30 EDT', 'webmaster')]</t>
  </si>
  <si>
    <t>2004-06-07 05:48:14 EDT</t>
  </si>
  <si>
    <t>2004-06-11 12:20:47 EDT</t>
  </si>
  <si>
    <t>2004-06-01 08:29 EDT</t>
  </si>
  <si>
    <t>2004-06-01 08:29:59 EDT</t>
  </si>
  <si>
    <t>[('CREATED', '2004-06-01 08:29 EDT'), ('dirk_baeumer', '2004-06-01 08:29:59 EDT', 'dirk_baeumer'), ('3.0 RC2', '2004-06-01 08:29:59 EDT', 'dirk_baeumer'), ('RESOLVED', '2004-06-07 05:48:14 EDT', 'dirk_baeumer'), ('FIXED', '2004-06-07 05:48:14 EDT', 'dirk_baeumer'), ('VERIFIED', '2004-06-11 12:20:47 EDT', 'martinae')]</t>
  </si>
  <si>
    <t>RESOLVED  DUPLICATE  of bug 85839</t>
  </si>
  <si>
    <t>2005-02-18 12:55:02 EST</t>
  </si>
  <si>
    <t>2004-06-01 10:11 EDT</t>
  </si>
  <si>
    <t>2004-06-03 09:27:33 EDT</t>
  </si>
  <si>
    <t>[('CREATED', '2004-06-01 10:11 EDT'), ('ASSIGNED', '2004-06-03 09:27:33 EDT', 'dirk_baeumer'), ('Extract constant: source not formatted corretly [refactoring]', '2004-06-03 09:27:33 EDT', 'dirk_baeumer'), ('smcrae', '2004-06-22 16:48:01 EDT', 'smcrae'), ('markus_keller', '2005-02-18 08:22:46 EST', 'markus.kell.r'), ('NEW', '2005-02-18 08:22:46 EST', 'markus.kell.r'), ('RESOLVED', '2005-02-18 12:55:02 EST', 'markus.kell.r'), ('DUPLICATE', '2005-02-18 12:55:02 EST', 'markus.kell.r')]</t>
  </si>
  <si>
    <t>RESOLVED  DUPLICATE  of bug 64698</t>
  </si>
  <si>
    <t>2006-06-14 03:51:04 EDT</t>
  </si>
  <si>
    <t>2004-06-01 14:32 EDT</t>
  </si>
  <si>
    <t>2004-06-01 14:33:36 EDT</t>
  </si>
  <si>
    <t>[('CREATED', '2004-06-01 14:32 EDT'), ('jdt-ui-inbox', '2004-06-01 14:33:36 EDT', 'eclipse'), ('JDT', '2004-06-01 14:33:36 EDT', 'eclipse'), ('enhancement', '2004-06-02 05:55:33 EDT', 'dirk_baeumer'), ('ASSIGNED', '2004-06-02 05:55:33 EDT', 'dirk_baeumer'), ("refactor-rename not renaming setter's parameter name [refactoring]", '2004-06-02 05:55:33 EDT', 'dirk_baeumer'), ('RESOLVED', '2006-06-14 03:51:04 EDT', 'martinae'), ('DUPLICATE', '2006-06-14 03:51:04 EDT', 'martinae')]</t>
  </si>
  <si>
    <t>2004-06-04 08:20:32 EDT</t>
  </si>
  <si>
    <t>2004-06-11 04:53:34 EDT</t>
  </si>
  <si>
    <t>2004-06-01 15:50 EDT</t>
  </si>
  <si>
    <t>2004-06-01 17:40:43 EDT</t>
  </si>
  <si>
    <t>[('CREATED', '2004-06-01 15:50 EDT'), ('jdt-ui-inbox', '2004-06-01 17:40:43 EDT', 'philippe_mulet'), ('UI', '2004-06-01 17:40:43 EDT', 'philippe_mulet'), ('markus_keller', '2004-06-02 03:58:27 EDT', 'dirk_baeumer'), ('3.0 RC2', '2004-06-02 03:58:27 EDT', 'dirk_baeumer'), ('ASSIGNED', '2004-06-02 04:28:00 EDT', 'markus.kell.r'), ('P2', '2004-06-02 04:28:00 EDT', 'markus.kell.r'), ('RESOLVED', '2004-06-04 08:20:32 EDT', 'markus.kell.r'), ('FIXED', '2004-06-04 08:20:32 EDT', 'markus.kell.r'), ('VERIFIED', '2004-06-11 04:53:34 EDT', 'dirk_baeumer')]</t>
  </si>
  <si>
    <t>2004-06-07 04:55:50 EDT</t>
  </si>
  <si>
    <t>2004-06-11 08:09:43 EDT</t>
  </si>
  <si>
    <t>2004-06-02 05:49 EDT</t>
  </si>
  <si>
    <t>2004-06-02 05:59:05 EDT</t>
  </si>
  <si>
    <t>[('CREATED', '2004-06-02 05:49 EDT'), ('dirk_baeumer', '2004-06-02 05:59:05 EDT', 'dirk_baeumer'), ('3.0 RC2', '2004-06-02 05:59:05 EDT', 'dirk_baeumer'), ('RESOLVED', '2004-06-07 04:55:50 EDT', 'dirk_baeumer'), ('FIXED', '2004-06-07 04:55:50 EDT', 'dirk_baeumer'), ('VERIFIED', '2004-06-11 08:09:43 EDT', 'daniel_megert')]</t>
  </si>
  <si>
    <t>2004-06-06 11:38:23 EDT</t>
  </si>
  <si>
    <t>2004-06-11 12:12:44 EDT</t>
  </si>
  <si>
    <t>2004-06-02 06:07 EDT</t>
  </si>
  <si>
    <t>2004-06-02 06:28:58 EDT</t>
  </si>
  <si>
    <t>[('CREATED', '2004-06-02 06:07 EDT'), ('Generalize Type dialog does not disappear on Ok', '2004-06-02 06:28:58 EDT', 'christof_marti'), ('tip', '2004-06-02 09:49:44 EDT', 'dirk_baeumer'), ('dirk_baeumer', '2004-06-02 09:49:44 EDT', 'dirk_baeumer'), ('3.0 RC2', '2004-06-02 09:49:44 EDT', 'dirk_baeumer'), ('akiezun', '2004-06-04 17:23:58 EDT', 'akiezun'), ('FIXED', '2004-06-06 11:38:23 EDT', 'dirk_baeumer'), ('Generalize Type dialog does not disappear on Ok [refactoring]', '2004-06-06 11:38:23 EDT', 'dirk_baeumer'), ('RESOLVED', '2004-06-06 11:38:23 EDT', 'dirk_baeumer'), ('VERIFIED', '2004-06-11 12:12:44 EDT', 'tmader')]</t>
  </si>
  <si>
    <t>2004-06-07 05:47:06 EDT</t>
  </si>
  <si>
    <t>2004-06-11 12:34:10 EDT</t>
  </si>
  <si>
    <t>2004-06-02 10:15 EDT</t>
  </si>
  <si>
    <t>2004-06-02 15:08:10 EDT</t>
  </si>
  <si>
    <t>[('CREATED', '2004-06-02 10:15 EDT'), ('ASSIGNED', '2004-06-02 15:08:10 EDT', 'kai-uwe_maetzel'), ("[validateEdit] CVS-Edit: refactoring doesn't show request dialog", '2004-06-02 15:08:10 EDT', 'kai-uwe_maetzel'), ('3.0', '2004-06-02 15:08:10 EDT', 'kai-uwe_maetzel'), ('Platform', '2004-06-03 04:26:00 EDT', 'martinae'), ('platform-team-inbox', '2004-06-03 04:26:15 EDT', 'martinae'), ('NEW', '2004-06-03 04:26:15 EDT', 'martinae'), ('Team', '2004-06-03 04:26:15 EDT', 'martinae'), ('JDT', '2004-06-03 09:21:51 EDT', 'valentam'), ('Jean-Michel_Lemieux', '2004-06-03 09:21:51 EDT', 'valentam'), ('jdt-text-inbox', '2004-06-03 09:21:51 EDT', 'valentam'), ('Text', '2004-06-03 09:21:51 EDT', 'valentam'), ('dirk_baeumer', '2004-06-03 10:13:27 EDT', 'kai-uwe_maetzel'), ('UI', '2004-06-03 10:13:27 EDT', 'kai-uwe_maetzel'), ('---', '2004-06-03 10:13:27 EDT', 'kai-uwe_maetzel'), ('Michael_Valenta', '2004-06-03 11:17:56 EDT', 'martinae'), ('erich_gamma', '2004-06-04 09:26:22 EDT', 'dirk_baeumer'), ('3.0 RC2', '2004-06-04 09:26:22 EDT', 'dirk_baeumer'), ('jim_des_rivieres', '2004-06-04 09:30:24 EDT', 'erich_gamma'), ('RESOLVED', '2004-06-07 05:47:06 EDT', 'dirk_baeumer'), ('FIXED', '2004-06-07 05:47:06 EDT', 'dirk_baeumer'), ('VERIFIED', '2004-06-11 12:34:10 EDT', 'martinae')]</t>
  </si>
  <si>
    <t>RESOLVED  DUPLICATE  of bug 62446</t>
  </si>
  <si>
    <t>2004-06-04 04:10:01 EDT</t>
  </si>
  <si>
    <t>2004-06-03 08:59 EDT</t>
  </si>
  <si>
    <t>2004-06-03 09:35:26 EDT</t>
  </si>
  <si>
    <t>[('CREATED', '2004-06-03 08:59 EDT'), ("renaming an element doesn't update the search tree view [refactoring]", '2004-06-03 09:35:26 EDT', 'dirk_baeumer'), ('RESOLVED', '2004-06-04 04:10:01 EDT', 'dirk_baeumer'), ('DUPLICATE', '2004-06-04 04:10:01 EDT', 'dirk_baeumer')]</t>
  </si>
  <si>
    <t>65206</t>
  </si>
  <si>
    <t>2004-06-07 16:49:47 EDT</t>
  </si>
  <si>
    <t>2004-06-04 17:00 EDT</t>
  </si>
  <si>
    <t>2004-06-04 17:03:23 EDT</t>
  </si>
  <si>
    <t>[('CREATED', '2004-06-04 17:00 EDT'), ('65206', '2004-06-04 17:03:23 EDT', 'eclipse'), ('WORKSFORME', '2004-06-07 16:49:47 EDT', 'eclipse'), ('RESOLVED', '2004-06-07 16:49:47 EDT', 'eclipse')]</t>
  </si>
  <si>
    <t>2004-06-05 10:55:39 EDT</t>
  </si>
  <si>
    <t>2009-08-30 02:15:42 EDT</t>
  </si>
  <si>
    <t>2004-06-05 04:40 EDT</t>
  </si>
  <si>
    <t>[('CREATED', '2004-06-05 04:40 EDT'), ('RESOLVED', '2004-06-05 10:55:39 EDT', 'dirk_baeumer'), ('P4', '2004-06-05 10:55:39 EDT', 'dirk_baeumer'), ('LATER', '2004-06-05 10:55:39 EDT', 'dirk_baeumer'), ('Add "open file" action to "find strings to externalize" dialog [nls] [refactoring]', '2004-06-05 10:55:39 EDT', 'dirk_baeumer'), ('WONTFIX', '2009-08-30 02:15:42 EDT', 'denis.roy')]</t>
  </si>
  <si>
    <t>341979 (view as bug list)</t>
  </si>
  <si>
    <t>2014-07-22 13:18:20 EDT</t>
  </si>
  <si>
    <t>2004-06-05 15:26 EDT</t>
  </si>
  <si>
    <t>2004-06-05 18:57:08 EDT</t>
  </si>
  <si>
    <t>[('CREATED', '2004-06-05 15:26 EDT'), ('markus_keller', '2004-06-05 18:57:08 EDT', 'dirk_baeumer'), ('Extract Local Variable puts declaration at wrong position [refactoring]', '2004-06-05 18:57:08 EDT', 'dirk_baeumer'), ('[extract local] puts declaration at wrong position', '2006-08-03 10:32:16 EDT', 'martinae'), ('commer', '2011-10-18 22:12:26 EDT', 'deepakazad'), ('deepak.azad', '2011-10-18 22:25:37 EDT', 'deepakazad'), ('cleo_al', '2014-02-14 02:48:53 EST', 'alicesotzek'), ('nicohoess', '2014-07-18 08:46:56 EDT', 'nicohoess'), ('timo.kinnunen', '2014-07-18 18:32:59 EDT', 'timo.kinnunen'), ('marco', '2014-07-21 04:57:58 EDT', 'marco'), ('RESOLVED', '2014-07-22 13:18:20 EDT', 'markus.kell.r'), ('FIXED', '2014-07-22 13:18:20 EDT', 'markus.kell.r'), ('nicohoess', '2014-07-22 13:18:20 EDT', 'markus.kell.r'), ('4.5 M1', '2014-07-22 13:18:20 EDT', 'markus.kell.r')]</t>
  </si>
  <si>
    <t>RESOLVED  DUPLICATE  of bug 30153</t>
  </si>
  <si>
    <t>2004-06-07 06:10:33 EDT</t>
  </si>
  <si>
    <t>2004-06-07 05:37 EDT</t>
  </si>
  <si>
    <t>[('CREATED', '2004-06-07 05:37 EDT'), ('RESOLVED', '2004-06-07 06:10:33 EDT', 'dirk_baeumer'), ('DUPLICATE', '2004-06-07 06:10:33 EDT', 'dirk_baeumer')]</t>
  </si>
  <si>
    <t>2004-06-09 13:06:56 EDT</t>
  </si>
  <si>
    <t>2004-06-11 12:01:37 EDT</t>
  </si>
  <si>
    <t>2004-06-08 09:32 EDT</t>
  </si>
  <si>
    <t>2004-06-08 19:41:01 EDT</t>
  </si>
  <si>
    <t>[('CREATED', '2004-06-08 09:32 EDT'), ('dirk_baeumer', '2004-06-08 19:41:01 EDT', 'dirk_baeumer'), ('3.0 RC2', '2004-06-08 19:41:01 EDT', 'dirk_baeumer'), ('RESOLVED', '2004-06-09 13:06:56 EDT', 'dirk_baeumer'), ('FIXED', '2004-06-09 13:06:56 EDT', 'dirk_baeumer'), ('tip', '2004-06-09 13:08:33 EDT', 'dirk_baeumer'), ('VERIFIED', '2004-06-11 12:01:37 EDT', 'dirk_baeumer')]</t>
  </si>
  <si>
    <t>2005-02-07 08:49:49 EST</t>
  </si>
  <si>
    <t>2004-06-08 09:37 EDT</t>
  </si>
  <si>
    <t>2004-06-08 18:59:39 EDT</t>
  </si>
  <si>
    <t>[('CREATED', '2004-06-08 09:37 EDT'), ('ASSIGNED', '2004-06-08 18:59:39 EDT', 'dirk_baeumer'), ('generalize type: interfaces handled incorectly [refactoring]', '2004-06-08 18:59:39 EDT', 'dirk_baeumer'), ('tip', '2005-01-19 09:20:27 EST', 'dirk_baeumer'), ('NEW', '2005-01-19 09:20:27 EST', 'dirk_baeumer'), ('RESOLVED', '2005-02-07 08:49:49 EST', 'dirk_baeumer'), ('FIXED', '2005-02-07 08:49:49 EST', 'dirk_baeumer')]</t>
  </si>
  <si>
    <t>2004-06-08 19:25:19 EDT</t>
  </si>
  <si>
    <t>2004-06-08 10:06 EDT</t>
  </si>
  <si>
    <t>2004-06-08 10:07:10 EDT</t>
  </si>
  <si>
    <t>2004-08-16 11:44:23 EDT</t>
  </si>
  <si>
    <t>dwhare</t>
  </si>
  <si>
    <t>[('CREATED', '2004-06-08 10:06 EDT'), ('jjsimpso', '2004-06-08 10:07:10 EDT', 'dwhare'), ('Tod_Creasey', '2004-06-08 11:32:29 EDT', 'debbie_wilson'), ('TVT3.0: Nonexternalized strings in Window-&gt;Preferences-&gt;Java', '2004-06-08 11:32:29 EDT', 'debbie_wilson'), ('JDT', '2004-06-08 11:33:41 EDT', 'Tod_Creasey'), ('jdt-ui-inbox', '2004-06-08 11:33:41 EDT', 'Tod_Creasey'), ('RESOLVED', '2004-06-08 19:25:19 EDT', 'dirk_baeumer'), ('WORKSFORME', '2004-06-08 19:25:19 EDT', 'dirk_baeumer'), ('CLOSED', '2004-08-16 11:44:23 EDT', 'dwhare')]</t>
  </si>
  <si>
    <t>2004-06-09 04:47:52 EDT</t>
  </si>
  <si>
    <t>2004-06-11 11:07:58 EDT</t>
  </si>
  <si>
    <t>2004-06-08 11:45 EDT</t>
  </si>
  <si>
    <t>2004-06-08 18:49:44 EDT</t>
  </si>
  <si>
    <t>[('CREATED', '2004-06-08 11:45 EDT'), ('markus_keller', '2004-06-08 18:49:44 EDT', 'dirk_baeumer'), ('3.0 RC2', '2004-06-08 18:49:44 EDT', 'dirk_baeumer'), ('RESOLVED', '2004-06-09 04:47:52 EDT', 'markus.kell.r'), ('FIXED', '2004-06-09 04:47:52 EDT', 'markus.kell.r'), ('VERIFIED', '2004-06-11 11:07:58 EDT', 'andre_weinand')]</t>
  </si>
  <si>
    <t>2004-10-14 12:46:30 EDT</t>
  </si>
  <si>
    <t>2004-06-09 06:54:52 EDT</t>
  </si>
  <si>
    <t>2004-06-09 09:07:58 EDT</t>
  </si>
  <si>
    <t>2004-06-08 12:35 EDT</t>
  </si>
  <si>
    <t>2004-06-09 04:42:03 EDT</t>
  </si>
  <si>
    <t>[('CREATED', '2004-06-08 12:35 EDT'), ('jdt-ui-inbox', '2004-06-09 04:42:03 EDT', 'kai-uwe_maetzel'), ('UI', '2004-06-09 04:42:03 EDT', 'kai-uwe_maetzel'), ('daniel_megert', '2004-06-09 04:47:45 EDT', 'daniel_megert'), ('RESOLVED', '2004-06-09 06:54:52 EDT', 'dirk_baeumer'), ('WORKSFORME', '2004-06-09 06:54:52 EDT', 'dirk_baeumer'), ('REOPENED', '2004-06-09 09:07:58 EDT', 'patmc'), ('---', '2004-06-09 09:07:58 EDT', 'patmc'), ('martin_aeschlimann', '2004-06-13 13:01:58 EDT', 'dirk_baeumer'), ('NEW', '2004-06-13 13:01:58 EDT', 'dirk_baeumer'), ('Different implementation of method override - ctrl+space vs Override/Implement method dialog [code manipulation]', '2004-06-13 13:01:58 EDT', 'dirk_baeumer'), ('RESOLVED', '2004-10-14 12:46:30 EDT', 'martinae'), ('FIXED', '2004-10-14 12:46:30 EDT', 'martinae'), ('3.1 M3', '2004-10-14 12:46:30 EDT', 'martinae')]</t>
  </si>
  <si>
    <t>2004-06-09 07:12:56 EDT</t>
  </si>
  <si>
    <t>2004-06-10 10:26:26 EDT</t>
  </si>
  <si>
    <t>2004-06-09 03:03 EDT</t>
  </si>
  <si>
    <t>2004-06-09 03:58:13 EDT</t>
  </si>
  <si>
    <t>[('CREATED', '2004-06-09 03:03 EDT'), ('jdt-ui-inbox', '2004-06-09 03:58:13 EDT', 'frederic_fusier'), ('UI', '2004-06-09 03:58:13 EDT', 'frederic_fusier'), ('markus_keller', '2004-06-09 04:29:31 EDT', 'dirk_baeumer'), ('RC1- NPE renaming a class with compilation errors [refactoring]', '2004-06-09 04:29:31 EDT', 'dirk_baeumer'), ('3.0 RC2', '2004-06-09 04:29:31 EDT', 'dirk_baeumer'), ('FIXED', '2004-06-09 07:12:56 EDT', 'markus.kell.r'), ('RESOLVED', '2004-06-09 07:12:56 EDT', 'markus.kell.r'), ('VERIFIED', '2004-06-10 10:26:26 EDT', 'tmader')]</t>
  </si>
  <si>
    <t>2006-04-05 07:04:18 EDT</t>
  </si>
  <si>
    <t>2004-06-09 14:56 EDT</t>
  </si>
  <si>
    <t>2004-06-09 14:58:58 EDT</t>
  </si>
  <si>
    <t>[('CREATED', '2004-06-09 14:56 EDT'), ('jdt-ui-inbox', '2004-06-09 14:58:58 EDT', 'Olivier_Thomann'), ('UI', '2004-06-09 14:58:58 EDT', 'Olivier_Thomann'), ('martin_aeschlimann', '2004-06-09 17:32:30 EDT', 'dirk_baeumer'), ('Surround with try/catch quick fix too greedy [quick fix]', '2004-06-09 17:32:30 EDT', 'dirk_baeumer'), ('dirk_baeumer', '2004-06-10 08:15:54 EDT', 'martinae'), ('RESOLVED', '2006-04-05 07:04:18 EDT', 'dirk_baeumer'), ('FIXED', '2006-04-05 07:04:18 EDT', 'dirk_baeumer'), ('3.2 RC1', '2006-04-05 07:04:18 EDT', 'dirk_baeumer')]</t>
  </si>
  <si>
    <t>67768 122981 (view as bug list)</t>
  </si>
  <si>
    <t>2004-06-10 00:30 EDT</t>
  </si>
  <si>
    <t>2004-06-10 03:46:36 EDT</t>
  </si>
  <si>
    <t>2019-10-09 15:31:56 EDT</t>
  </si>
  <si>
    <t>[('CREATED', '2004-06-10 00:30 EDT'), ('normal', '2004-06-10 03:46:36 EDT', 'dirk_baeumer'), ('ASSIGNED', '2004-06-10 03:46:36 EDT', 'dirk_baeumer'), ('"Convert Local Variable to Field" should copy comments [refactoring]', '2004-06-10 03:46:36 EDT', 'dirk_baeumer'), ('bpasero', '2004-10-04 04:50:59 EDT', 'markus.kell.r'), ('tobias_widmer', '2006-06-09 05:25:57 EDT', 'martinae'), ('NEW', '2006-06-09 05:25:57 EDT', 'martinae'), ('[convert local] should copy comments [refactoring]', '2006-06-09 05:25:57 EDT', 'martinae'), ('jdt-ui-inbox', '2007-06-14 10:42:28 EDT', 'martinae'), ('michael.pellaton', '2009-07-20 10:40:20 EDT', 'michael.pellaton'), ('philippe.marschall', '2009-07-20 12:11:46 EDT', 'philippe.marschall'), ('markus_keller', '2009-08-10 14:16:03 EDT', 'markus.kell.r'), ('ASSIGNED', '2009-08-10 14:16:03 EDT', 'markus.kell.r'), ('shaun', '2011-02-09 09:11:44 EST', 'deepakazad'), ('stalebug', '2019-10-09 15:31:56 EDT', 'genie')]</t>
  </si>
  <si>
    <t>2004-06-10 09:58:07 EDT</t>
  </si>
  <si>
    <t>2004-06-11 12:36:50 EDT</t>
  </si>
  <si>
    <t>2004-06-10 04:19 EDT</t>
  </si>
  <si>
    <t>2004-06-10 04:40:51 EDT</t>
  </si>
  <si>
    <t>[('CREATED', '2004-06-10 04:19 EDT'), ('martin_aeschlimann', '2004-06-10 04:40:51 EDT', 'dirk_baeumer'), ("Externalize Strings at end of file doesn't break lines correctly [refactoring] [nls]", '2004-06-10 04:40:51 EDT', 'dirk_baeumer'), ('3.0 RC2', '2004-06-10 04:40:51 EDT', 'dirk_baeumer'), ('RESOLVED', '2004-06-10 09:58:07 EDT', 'dirk_baeumer'), ('FIXED', '2004-06-10 09:58:07 EDT', 'dirk_baeumer'), ('VERIFIED', '2004-06-11 12:36:50 EDT', 'tmader')]</t>
  </si>
  <si>
    <t>2004-06-10 12:04:10 EDT</t>
  </si>
  <si>
    <t>2004-06-11 13:17:30 EDT</t>
  </si>
  <si>
    <t>2004-06-10 10:29:07 EDT</t>
  </si>
  <si>
    <t>2004-06-10 05:05 EDT</t>
  </si>
  <si>
    <t>2004-06-10 09:55:14 EDT</t>
  </si>
  <si>
    <t>[('CREATED', '2004-06-10 05:05 EDT'), ('RESOLVED', '2004-06-10 09:55:14 EDT', 'dirk_baeumer'), ('FIXED', '2004-06-10 09:55:14 EDT', 'dirk_baeumer'), ('3.0 RC2', '2004-06-10 09:55:14 EDT', 'dirk_baeumer'), ('REOPENED', '2004-06-10 10:29:07 EDT', 'dirk_baeumer'), ('---', '2004-06-10 10:29:07 EDT', 'dirk_baeumer'), ('RESOLVED', '2004-06-10 12:04:10 EDT', 'dirk_baeumer'), ('FIXED', '2004-06-10 12:04:10 EDT', 'dirk_baeumer'), ('Not present exception when deleting under Motif [package explorer]', '2004-06-10 12:04:10 EDT', 'dirk_baeumer'), ('VERIFIED', '2004-06-11 13:17:30 EDT', 'markus.kell.r')]</t>
  </si>
  <si>
    <t>2004-06-10 09:52:17 EDT</t>
  </si>
  <si>
    <t>2004-06-11 12:08:15 EDT</t>
  </si>
  <si>
    <t>2004-06-10 06:11 EDT</t>
  </si>
  <si>
    <t>2004-06-10 08:05:10 EDT</t>
  </si>
  <si>
    <t>[('CREATED', '2004-06-10 06:11 EDT'), ('3.0 RC2', '2004-06-10 08:05:10 EDT', 'dirk_baeumer'), ('RESOLVED', '2004-06-10 09:52:17 EDT', 'dirk_baeumer'), ('FIXED', '2004-06-10 09:52:17 EDT', 'dirk_baeumer'), ('markus_keller', '2004-06-11 12:08:15 EDT', 'markus.kell.r'), ('VERIFIED', '2004-06-11 12:08:15 EDT', 'markus.kell.r')]</t>
  </si>
  <si>
    <t>2004-06-17 10:01:00 EDT</t>
  </si>
  <si>
    <t>2004-06-21 04:57:32 EDT</t>
  </si>
  <si>
    <t>2004-06-10 06:18 EDT</t>
  </si>
  <si>
    <t>2004-06-16 05:47:50 EDT</t>
  </si>
  <si>
    <t>[('CREATED', '2004-06-10 06:18 EDT'), ('dirk_baeumer', '2004-06-16 05:47:50 EDT', 'erich_gamma'), ('major', '2004-06-16 05:47:50 EDT', 'erich_gamma'), ('P2', '2004-06-16 05:47:50 EDT', 'erich_gamma'), ('3.0 RC3', '2004-06-16 05:47:50 EDT', 'erich_gamma'), ('FIXED', '2004-06-17 10:01:00 EDT', 'dirk_baeumer'), ('RESOLVED', '2004-06-17 10:01:00 EDT', 'dirk_baeumer'), ('VERIFIED', '2004-06-21 04:57:32 EDT', 'eclipse')]</t>
  </si>
  <si>
    <t>74409 (view as bug list)</t>
  </si>
  <si>
    <t>2005-04-29 18:50:35 EDT</t>
  </si>
  <si>
    <t>2004-06-10 06:25 EDT</t>
  </si>
  <si>
    <t>2004-06-10 10:22:42 EDT</t>
  </si>
  <si>
    <t>[('CREATED', '2004-06-10 06:25 EDT'), ('philippe_mulet', '2004-06-10 10:22:42 EDT', 'dirk_baeumer'), ('Core', '2004-06-10 10:22:42 EDT', 'dirk_baeumer'), ('UI', '2004-06-11 19:14:38 EDT', 'philippe_mulet'), ('fraenkel', '2004-06-14 09:02:28 EDT', 'fraenkel'), ('3.1', '2004-09-14 12:51:53 EDT', 'dirk_baeumer'), ('daniel_megert', '2004-11-17 04:30:30 EST', 'dirk_baeumer'), ('dirk_baeumer', '2004-11-23 04:11:50 EST', 'martinae'), ('RESOLVED', '2005-04-29 18:50:35 EDT', 'dirk_baeumer'), ('FIXED', '2005-04-29 18:50:35 EDT', 'dirk_baeumer')]</t>
  </si>
  <si>
    <t>2004-06-10 14:11:21 EDT</t>
  </si>
  <si>
    <t>2009-08-30 02:15:34 EDT</t>
  </si>
  <si>
    <t>2004-06-10 06:40 EDT</t>
  </si>
  <si>
    <t>[('CREATED', '2004-06-10 06:40 EDT'), ('RESOLVED', '2004-06-10 14:11:21 EDT', 'dirk_baeumer'), ('P4', '2004-06-10 14:11:21 EDT', 'dirk_baeumer'), ('LATER', '2004-06-10 14:11:21 EDT', 'dirk_baeumer'), ("drag'n'drop a type into another compilation unit doesn't behave like Move... refactoring [refactoring]", '2004-06-10 14:11:21 EDT', 'dirk_baeumer'), ('WONTFIX', '2009-08-30 02:15:34 EDT', 'denis.roy')]</t>
  </si>
  <si>
    <t>2004-06-10 14:12:14 EDT</t>
  </si>
  <si>
    <t>2009-08-30 02:41:54 EDT</t>
  </si>
  <si>
    <t>2004-06-10 06:51 EDT</t>
  </si>
  <si>
    <t>[('CREATED', '2004-06-10 06:51 EDT'), ('RESOLVED', '2004-06-10 14:12:14 EDT', 'dirk_baeumer'), ('P4', '2004-06-10 14:12:14 EDT', 'dirk_baeumer'), ('LATER', '2004-06-10 14:12:14 EDT', 'dirk_baeumer'), ("[refactoring] Move inner type to upper level won't compile [refactoring]", '2004-06-10 14:12:14 EDT', 'dirk_baeumer'), ('WONTFIX', '2009-08-30 02:41:54 EDT', 'webmaster')]</t>
  </si>
  <si>
    <t>2005-02-07 08:54:33 EST</t>
  </si>
  <si>
    <t>2004-06-10 09:43 EDT</t>
  </si>
  <si>
    <t>2004-06-10 10:12:20 EDT</t>
  </si>
  <si>
    <t>[('CREATED', '2004-06-10 09:43 EDT'), ('ASSIGNED', '2004-06-10 10:12:20 EDT', 'dirk_baeumer'), ('P4', '2004-06-10 10:12:20 EDT', 'dirk_baeumer'), ('3.1', '2005-01-19 09:25:09 EST', 'dirk_baeumer'), ('tip', '2005-01-19 09:25:09 EST', 'dirk_baeumer'), ('NEW', '2005-01-19 09:25:09 EST', 'dirk_baeumer'), ('rfuhrer', '2005-01-27 15:00:46 EST', 'tip'), ('dirk_baeumer', '2005-01-27 15:00:46 EST', 'tip'), ('tip', '2005-01-27 16:13:18 EST', 'tip'), ('tip', '2005-01-28 03:57:40 EST', 'dirk_baeumer'), ('RESOLVED', '2005-02-07 08:54:33 EST', 'dirk_baeumer'), ('FIXED', '2005-02-07 08:54:33 EST', 'dirk_baeumer')]</t>
  </si>
  <si>
    <t>66800 (view as bug list)</t>
  </si>
  <si>
    <t>2004-06-11 05:47:20 EDT</t>
  </si>
  <si>
    <t>2004-06-11 12:45:51 EDT</t>
  </si>
  <si>
    <t>2004-06-10 12:46 EDT</t>
  </si>
  <si>
    <t>2004-06-10 13:52:07 EDT</t>
  </si>
  <si>
    <t>2004-06-16 18:40:54 EDT</t>
  </si>
  <si>
    <t>[('CREATED', '2004-06-10 12:46 EDT'), ('jdt-ui-inbox', '2004-06-10 13:52:07 EDT', 'Olivier_Thomann'), ('UI', '2004-06-10 13:52:07 EDT', 'Olivier_Thomann'), ('RESOLVED', '2004-06-11 05:47:20 EDT', 'dirk_baeumer'), ('FIXED', '2004-06-11 05:47:20 EDT', 'dirk_baeumer'), ('3.0 RC2', '2004-06-11 05:47:20 EDT', 'dirk_baeumer'), ('VERIFIED', '2004-06-11 12:45:51 EDT', 'martinae'), ('cebert', '2004-06-16 18:40:54 EDT', 'dirk_baeumer')]</t>
  </si>
  <si>
    <t>2004-06-15 09:25:49 EDT</t>
  </si>
  <si>
    <t>2004-06-11 09:20 EDT</t>
  </si>
  <si>
    <t>2004-06-11 09:26:30 EDT</t>
  </si>
  <si>
    <t>michael_christiansen_tw</t>
  </si>
  <si>
    <t>[('CREATED', '2004-06-11 09:20 EDT'), ('akiezun', '2004-06-11 09:26:30 EDT', 'akiezun'), ('RESOLVED', '2004-06-15 09:25:49 EDT', 'michael_christiansen_tw'), ('FIXED', '2004-06-15 09:25:49 EDT', 'michael_christiansen_tw')]</t>
  </si>
  <si>
    <t>2004-06-13 06:00:43 EDT</t>
  </si>
  <si>
    <t>2009-08-30 02:13:00 EDT</t>
  </si>
  <si>
    <t>2004-06-11 10:01 EDT</t>
  </si>
  <si>
    <t>[('CREATED', '2004-06-11 10:01 EDT'), ('RESOLVED', '2004-06-13 06:00:43 EDT', 'dirk_baeumer'), ('LATER', '2004-06-13 06:00:43 EDT', 'dirk_baeumer'), ('Move Class refactoring is undoable [Refactoring]', '2004-06-13 06:00:43 EDT', 'dirk_baeumer'), ('WONTFIX', '2009-08-30 02:13:00 EDT', 'denis.roy')]</t>
  </si>
  <si>
    <t>2004-06-20 09:59:06 EDT</t>
  </si>
  <si>
    <t>2009-08-30 02:08:42 EDT</t>
  </si>
  <si>
    <t>2004-06-11 10:16 EDT</t>
  </si>
  <si>
    <t>2004-06-11 11:29:30 EDT</t>
  </si>
  <si>
    <t>[('CREATED', '2004-06-11 10:16 EDT'), ('normal', '2004-06-11 11:29:30 EDT', 'dirk_baeumer'), ('RESOLVED', '2004-06-20 09:59:06 EDT', 'dirk_baeumer'), ('REMIND', '2004-06-20 09:59:06 EDT', 'dirk_baeumer'), ('Actions disabled for no reason in Debug perspective [misc]', '2004-06-20 09:59:06 EDT', 'dirk_baeumer'), ('needinfo', '2009-08-30 02:08:42 EDT', 'denis.roy'), ('INVALID', '2009-08-30 02:08:42 EDT', 'denis.roy')]</t>
  </si>
  <si>
    <t>2005-01-21 06:55:29 EST</t>
  </si>
  <si>
    <t>2004-06-11 10:40 EDT</t>
  </si>
  <si>
    <t>2004-06-13 17:17:31 EDT</t>
  </si>
  <si>
    <t>[('CREATED', '2004-06-11 10:40 EDT'), ('markus_keller', '2004-06-13 17:17:31 EDT', 'dirk_baeumer'), ('make Structure Selection actions more robust [refactoring] [editor]', '2004-06-13 17:17:31 EDT', 'dirk_baeumer'), ('RESOLVED', '2005-01-21 06:55:29 EST', 'markus.kell.r'), ('FIXED', '2005-01-21 06:55:29 EST', 'markus.kell.r'), ('3.1 M5', '2005-01-21 06:55:29 EST', 'markus.kell.r')]</t>
  </si>
  <si>
    <t>2004-06-17 12:52:45 EDT</t>
  </si>
  <si>
    <t>2004-06-21 05:01:10 EDT</t>
  </si>
  <si>
    <t>2004-06-11 10:57 EDT</t>
  </si>
  <si>
    <t>2004-06-16 06:05:54 EDT</t>
  </si>
  <si>
    <t>[('CREATED', '2004-06-11 10:57 EDT'), ('markus_keller', '2004-06-16 06:05:54 EDT', 'markus.kell.r'), ('ASSIGNED', '2004-06-16 06:05:54 EDT', 'markus.kell.r'), ('P2', '2004-06-16 07:03:38 EDT', 'erich_gamma'), ("PackageExplorer show's elements twice", '2004-06-16 07:03:38 EDT', 'erich_gamma'), ('3.0 RC3', '2004-06-16 07:03:38 EDT', 'erich_gamma'), ('markus_keller', '2004-06-16 07:03:38 EDT', 'erich_gamma'), ('NEW', '2004-06-16 07:03:38 EDT', 'erich_gamma'), ('dirk_baeumer, erich_gamma', '2004-06-16 10:23:08 EDT', 'markus.kell.r'), ('ASSIGNED', '2004-06-16 10:23:08 EDT', 'markus.kell.r'), ('philippe_mulet', '2004-06-16 11:58:40 EDT', 'markus.kell.r'), ('PackageExplorer shows elements twice', '2004-06-17 05:58:35 EDT', 'markus.kell.r'), ('RESOLVED', '2004-06-17 12:52:45 EDT', 'markus.kell.r'), ('FIXED', '2004-06-17 12:52:45 EDT', 'markus.kell.r'), ('VERIFIED', '2004-06-21 05:01:10 EDT', 'dirk_baeumer')]</t>
  </si>
  <si>
    <t>RESOLVED  DUPLICATE  of bug 67183</t>
  </si>
  <si>
    <t>66985 (view as bug list)</t>
  </si>
  <si>
    <t>2004-06-15 06:47:27 EDT</t>
  </si>
  <si>
    <t>2004-06-11 12:18 EDT</t>
  </si>
  <si>
    <t>2004-06-15 04:44:06 EDT</t>
  </si>
  <si>
    <t>[('CREATED', '2004-06-11 12:18 EDT'), ('Michael_Valenta', '2004-06-15 04:44:06 EDT', 'dirk_baeumer'), ('RESOLVED', '2004-06-15 06:47:27 EDT', 'dirk_baeumer'), ('DUPLICATE', '2004-06-15 06:47:27 EDT', 'dirk_baeumer')]</t>
  </si>
  <si>
    <t>66916 (view as bug list)</t>
  </si>
  <si>
    <t>2004-06-17 09:34:41 EDT</t>
  </si>
  <si>
    <t>2004-06-18 05:44:14 EDT</t>
  </si>
  <si>
    <t>2004-06-11 17:04 EDT</t>
  </si>
  <si>
    <t>2004-06-15 05:23:37 EDT</t>
  </si>
  <si>
    <t>[('CREATED', '2004-06-11 17:04 EDT'), ('3.0 RC3', '2004-06-15 05:23:37 EDT', 'tmader'), ('P2', '2004-06-16 05:09:04 EDT', 'erich_gamma'), ('RESOLVED', '2004-06-17 09:34:41 EDT', 'tmader'), ('FIXED', '2004-06-17 09:34:41 EDT', 'tmader'), ('VERIFIED', '2004-06-18 05:44:14 EDT', 'markus.kell.r')]</t>
  </si>
  <si>
    <t>RESOLVED  DUPLICATE  of bug 66548</t>
  </si>
  <si>
    <t>2004-06-11 17:46 EDT</t>
  </si>
  <si>
    <t>2004-06-16 11:53:20 EDT</t>
  </si>
  <si>
    <t>2004-06-16 18:47:55 EDT</t>
  </si>
  <si>
    <t>debbie_wilson</t>
  </si>
  <si>
    <t>[('CREATED', '2004-06-11 17:46 EDT'), ('Platform-UI-Inbox', '2004-06-16 11:53:20 EDT', 'veronika_irvine'), ('UI', '2004-06-16 11:53:20 EDT', 'veronika_irvine'), ('debbie_wilson', '2004-06-16 14:56:43 EDT', 'debbie_wilson'), ('jdt-ui-inbox', '2004-06-16 14:56:43 EDT', 'debbie_wilson'), ('JDT', '2004-06-16 14:56:43 EDT', 'debbie_wilson'), ('RESOLVED', '2004-06-16 18:40:54 EDT', 'dirk_baeumer'), ('DUPLICATE', '2004-06-16 18:40:54 EDT', 'dirk_baeumer'), (nan, '2004-06-16 18:47:55 EDT', 'debbie_wilson')]</t>
  </si>
  <si>
    <t>2004-06-18 05:47:09 EDT</t>
  </si>
  <si>
    <t>2004-06-21 04:38:37 EDT</t>
  </si>
  <si>
    <t>2004-06-12 13:48 EDT</t>
  </si>
  <si>
    <t>2004-06-13 05:46:44 EDT</t>
  </si>
  <si>
    <t>[('CREATED', '2004-06-12 13:48 EDT'), ('Deleting a package with CUs opened and dirty results in strange behaviour', '2004-06-13 05:46:44 EDT', 'dirk_baeumer'), ('normal', '2004-06-13 05:47:15 EDT', 'dirk_baeumer'), ('Deleting a package with CUs opened and dirty results in strange behaviour [refactoring]', '2004-06-13 05:47:15 EDT', 'dirk_baeumer'), ('Deleting a package with CUs opened and dirty results in stale package explorer [refactoring]', '2004-06-16 05:56:48 EDT', 'erich_gamma'), ('3.0 RC3', '2004-06-16 05:56:48 EDT', 'erich_gamma'), ('P2', '2004-06-16 05:56:48 EDT', 'erich_gamma'), ('dirk_baeumer', '2004-06-16 08:52:49 EDT', 'dirk_baeumer'), ('philippe_mulet', '2004-06-16 18:20:38 EDT', 'dirk_baeumer'), ('jerome_lanneluc', '2004-06-16 18:42:51 EDT', 'philippe_mulet'), ('1', '2004-06-17 17:18:21 EDT', 'dirk_baeumer'), ('RESOLVED', '2004-06-18 05:47:09 EDT', 'dirk_baeumer'), ('FIXED', '2004-06-18 05:47:09 EDT', 'dirk_baeumer'), ('VERIFIED', '2004-06-21 04:38:37 EDT', 'eclipse')]</t>
  </si>
  <si>
    <t>2004-09-14 12:52:30 EDT</t>
  </si>
  <si>
    <t>2004-06-13 14:31 EDT</t>
  </si>
  <si>
    <t>[('CREATED', '2004-06-13 14:31 EDT'), ('RESOLVED', '2004-09-14 12:52:30 EDT', 'dirk_baeumer'), ('FIXED', '2004-09-14 12:52:30 EDT', 'dirk_baeumer')]</t>
  </si>
  <si>
    <t>2004-06-16 11:22:12 EDT</t>
  </si>
  <si>
    <t>2004-06-17 11:46:22 EDT</t>
  </si>
  <si>
    <t>2004-06-14 05:07 EDT</t>
  </si>
  <si>
    <t>2004-06-15 06:17:14 EDT</t>
  </si>
  <si>
    <t>[('CREATED', '2004-06-14 05:07 EDT'), ('martin_aeschlimann', '2004-06-15 06:17:14 EDT', 'dirk_baeumer'), ('Externalize Strings uses wrong newline character [nls] [refactoring]', '2004-06-15 06:17:14 EDT', 'dirk_baeumer'), ('martin_aeschlimann', '2004-06-15 11:03:28 EDT', 'martinae'), ('dirk_baeumer', '2004-06-16 09:02:38 EDT', 'martinae'), ('P2', '2004-06-16 09:10:30 EDT', 'dirk_baeumer'), ('3.0 RC3', '2004-06-16 09:10:30 EDT', 'dirk_baeumer'), ('RESOLVED', '2004-06-16 11:22:12 EDT', 'martinae'), ('FIXED', '2004-06-16 11:22:12 EDT', 'martinae'), ('VERIFIED', '2004-06-17 11:46:22 EDT', 'markus.kell.r')]</t>
  </si>
  <si>
    <t>2004-07-12 10:10:07 EDT</t>
  </si>
  <si>
    <t>2004-06-14 10:02 EDT</t>
  </si>
  <si>
    <t>2004-06-15 05:35:50 EDT</t>
  </si>
  <si>
    <t>[('CREATED', '2004-06-14 10:02 EDT'), ('ASSIGNED', '2004-06-15 05:35:50 EDT', 'dirk_baeumer'), ('Use supertype refactoring: target type not named [refactoring]', '2004-06-15 05:35:50 EDT', 'dirk_baeumer'), ('markus_keller', '2004-06-15 05:36:23 EDT', 'dirk_baeumer'), ('NEW', '2004-06-15 05:36:23 EDT', 'dirk_baeumer'), ('3.1', '2004-06-15 05:36:23 EDT', 'dirk_baeumer'), ('ASSIGNED', '2004-06-15 05:44:58 EDT', 'markus.kell.r'), ('RESOLVED', '2004-07-12 10:10:07 EDT', 'markus.kell.r'), ('FIXED', '2004-07-12 10:10:07 EDT', 'markus.kell.r')]</t>
  </si>
  <si>
    <t>RESOLVED  DUPLICATE  of bug 66724</t>
  </si>
  <si>
    <t>2004-06-14 11:37 EDT</t>
  </si>
  <si>
    <t>[('CREATED', '2004-06-14 11:37 EDT'), ('RESOLVED', '2004-06-15 04:44:06 EDT', 'dirk_baeumer'), ('DUPLICATE', '2004-06-15 04:44:06 EDT', 'dirk_baeumer')]</t>
  </si>
  <si>
    <t>2004-06-14 18:19:00 EDT</t>
  </si>
  <si>
    <t>2004-06-14 11:45 EDT</t>
  </si>
  <si>
    <t>[('CREATED', '2004-06-14 11:45 EDT'), ('RESOLVED', '2004-06-14 18:19:00 EDT', 'dirk_baeumer'), ('WONTFIX', '2004-06-14 18:19:00 EDT', 'dirk_baeumer')]</t>
  </si>
  <si>
    <t>2005-03-17 04:52:17 EST</t>
  </si>
  <si>
    <t>2004-06-14 15:08 EDT</t>
  </si>
  <si>
    <t>2004-06-14 17:26:48 EDT</t>
  </si>
  <si>
    <t>[('CREATED', '2004-06-14 15:08 EDT'), ('ASSIGNED', '2004-06-14 17:26:48 EDT', 'dirk_baeumer'), ('JDT UI breaks api rules by implementing SourceRange [refactoring]', '2004-06-14 17:26:48 EDT', 'dirk_baeumer'), ('tobias_widmer', '2005-03-16 18:22:20 EST', 'dirk_baeumer'), ('NEW', '2005-03-16 18:22:20 EST', 'dirk_baeumer'), ('RESOLVED', '2005-03-17 04:52:17 EST', 'tobias_widmer'), ('FIXED', '2005-03-17 04:52:17 EST', 'tobias_widmer'), ('3.1 M6', '2005-03-17 04:52:17 EST', 'tobias_widmer')]</t>
  </si>
  <si>
    <t>2005-09-15 09:07:28 EDT</t>
  </si>
  <si>
    <t>2004-06-14 16:59 EDT</t>
  </si>
  <si>
    <t>2004-06-15 08:27:06 EDT</t>
  </si>
  <si>
    <t>[('CREATED', '2004-06-14 16:59 EDT'), ('jdt-ui-inbox', '2004-06-15 08:27:06 EDT', 'Tod_Creasey'), ('JDT', '2004-06-15 08:27:06 EDT', 'Tod_Creasey'), ('markus_keller', '2004-06-15 08:36:16 EDT', 'dirk_baeumer'), ('Delete operation enabled when nothing is selected in the Package Explorer [refactoring] [ccp]', '2004-06-15 08:36:16 EDT', 'dirk_baeumer'), ('ASSIGNED', '2004-06-15 08:56:44 EDT', 'markus.kell.r'), ('RESOLVED', '2005-09-15 09:07:28 EDT', 'markus.kell.r'), ('WORKSFORME', '2005-09-15 09:07:28 EDT', 'markus.kell.r')]</t>
  </si>
  <si>
    <t>2004-06-29 12:53:14 EDT</t>
  </si>
  <si>
    <t>2004-06-15 03:06 EDT</t>
  </si>
  <si>
    <t>2004-06-15 04:11:21 EDT</t>
  </si>
  <si>
    <t>[('CREATED', '2004-06-15 03:06 EDT'), ('markus_keller', '2004-06-15 04:11:21 EDT', 'dirk_baeumer'), ('Change Signature shows error message twice [refactoring]', '2004-06-15 04:11:21 EDT', 'dirk_baeumer'), ('dirk_baeumer', '2004-06-15 08:04:02 EDT', 'markus.kell.r'), ('3.0 RC3', '2004-06-15 08:04:02 EDT', 'markus.kell.r'), ('3.1', '2004-06-16 04:44:16 EDT', 'erich_gamma'), ('RESOLVED', '2004-06-29 12:53:14 EDT', 'markus.kell.r'), ('FIXED', '2004-06-29 12:53:14 EDT', 'markus.kell.r')]</t>
  </si>
  <si>
    <t>66642 66668 66724 (view as bug list)</t>
  </si>
  <si>
    <t>2004-06-17 09:57:33 EDT</t>
  </si>
  <si>
    <t>2004-06-18 13:48:53 EDT</t>
  </si>
  <si>
    <t>2004-06-15 04:40 EDT</t>
  </si>
  <si>
    <t>[('CREATED', '2004-06-15 04:40 EDT'), ('markus_keller', '2004-06-15 06:47:27 EDT', 'dirk_baeumer'), ('markus_keller', '2004-06-15 06:48:33 EDT', 'dirk_baeumer'), ('nl', '2004-06-15 07:56:45 EDT', 'dirk_baeumer'), ('Tod_Creasey', '2004-06-15 07:56:50 EDT', 'dirk_baeumer'), ('jerome_lanneluc', '2004-06-15 07:59:52 EDT', 'dirk_baeumer'), ('3.0 RC3', '2004-06-16 04:18:55 EDT', 'erich_gamma'), ('RESOLVED', '2004-06-17 09:57:33 EDT', 'markus.kell.r'), ('FIXED', '2004-06-17 09:57:33 EDT', 'markus.kell.r'), ('VERIFIED', '2004-06-18 13:48:53 EDT', 'markus.kell.r')]</t>
  </si>
  <si>
    <t>2006-01-25 05:29:12 EST</t>
  </si>
  <si>
    <t>2006-01-25 05:27:05 EST</t>
  </si>
  <si>
    <t>2004-06-15 05:47 EDT</t>
  </si>
  <si>
    <t>2004-06-15 08:30:44 EDT</t>
  </si>
  <si>
    <t>[('CREATED', '2004-06-15 05:47 EDT'), ('rfuhrer', '2004-06-15 08:30:44 EDT', 'dirk_baeumer'), ('RESOLVED', '2004-06-15 08:30:44 EDT', 'dirk_baeumer'), ('LATER', '2004-06-15 08:30:44 EDT', 'dirk_baeumer'), ('Introduce Factory Method is not available unles there are explicit constructors [refactoring]', '2004-06-15 08:30:44 EDT', 'dirk_baeumer'), ('---', '2006-01-25 05:27:05 EST', 'markus.kell.r'), ('REOPENED', '2006-01-25 05:27:05 EST', 'markus.kell.r'), ('markus_keller', '2006-01-25 05:27:45 EST', 'markus.kell.r'), ('NEW', '2006-01-25 05:27:45 EST', 'markus.kell.r'), ('3.2 M5', '2006-01-25 05:27:45 EST', 'markus.kell.r'), ('RESOLVED', '2006-01-25 05:29:12 EST', 'markus.kell.r'), ('FIXED', '2006-01-25 05:29:12 EST', 'markus.kell.r'), ('Introduce Factory Method is not available unless there are explicit constructors [refactoring]', '2006-01-25 05:29:12 EST', 'markus.kell.r')]</t>
  </si>
  <si>
    <t>RESOLVED  DUPLICATE  of bug 29117</t>
  </si>
  <si>
    <t>2004-06-15 08:09:16 EDT</t>
  </si>
  <si>
    <t>2009-08-30 02:21:27 EDT</t>
  </si>
  <si>
    <t>2009-09-14 11:55:54 EDT</t>
  </si>
  <si>
    <t>2004-06-15 05:53 EDT</t>
  </si>
  <si>
    <t>[('CREATED', '2004-06-15 05:53 EDT'), ('RESOLVED', '2004-06-15 08:09:16 EDT', 'dirk_baeumer'), ('P4', '2004-06-15 08:09:16 EDT', 'dirk_baeumer'), ('LATER', '2004-06-15 08:09:16 EDT', 'dirk_baeumer'), ('Introduce Singleton refactoring [refactoring]', '2004-06-15 08:09:16 EDT', 'dirk_baeumer'), ('WONTFIX', '2009-08-30 02:21:27 EDT', 'denis.roy'), ('raubvogel87', '2009-09-13 10:34:36 EDT', 'nobody'), ('markus_keller', '2009-09-14 11:55:54 EDT', 'markus.kell.r'), ('DUPLICATE', '2009-09-14 11:55:54 EDT', 'markus.kell.r')]</t>
  </si>
  <si>
    <t>2004-06-15 08:05:27 EDT</t>
  </si>
  <si>
    <t>2009-08-30 02:15:49 EDT</t>
  </si>
  <si>
    <t>2004-06-15 06:36 EDT</t>
  </si>
  <si>
    <t>[('CREATED', '2004-06-15 06:36 EDT'), ('RESOLVED', '2004-06-15 08:05:27 EDT', 'dirk_baeumer'), ('LATER', '2004-06-15 08:05:27 EDT', 'dirk_baeumer'), ('Add Exception refactoring should resolve the references to the modified method [refactoring]', '2004-06-15 08:05:27 EDT', 'dirk_baeumer'), ('WONTFIX', '2009-08-30 02:15:49 EDT', 'denis.roy')]</t>
  </si>
  <si>
    <t>2005-03-24 09:37:02 EST</t>
  </si>
  <si>
    <t>2004-06-15 11:10 EDT</t>
  </si>
  <si>
    <t>2004-06-15 12:51:46 EDT</t>
  </si>
  <si>
    <t>[('CREATED', '2004-06-15 11:10 EDT'), ('philippe_mulet', '2004-06-15 12:51:46 EDT', 'philippe_mulet'), ('ASSIGNED', '2004-06-16 14:57:00 EDT', 'markus.kell.r'), ('markus_keller', '2004-06-17 13:04:01 EDT', 'markus.kell.r'), ('dirk_baeumer', '2005-03-24 06:54:23 EST', 'dirk_baeumer'), ('markus_keller', '2005-03-24 06:54:23 EST', 'dirk_baeumer'), ('NEW', '2005-03-24 06:54:23 EST', 'dirk_baeumer'), ('RESOLVED', '2005-03-24 09:37:02 EST', 'markus.kell.r'), ('FIXED', '2005-03-24 09:37:02 EST', 'markus.kell.r'), ('3.1 M6', '2005-03-24 09:37:02 EST', 'markus.kell.r')]</t>
  </si>
  <si>
    <t>2004-06-15 13:17:55 EDT</t>
  </si>
  <si>
    <t>2004-06-15 12:15 EDT</t>
  </si>
  <si>
    <t>[('CREATED', '2004-06-15 12:15 EDT'), ('RESOLVED', '2004-06-15 13:17:55 EDT', 'dirk_baeumer'), ('WORKSFORME', '2004-06-15 13:17:55 EDT', 'dirk_baeumer'), ("extract method doesn't work on this example [refactoring]", '2004-06-15 13:17:55 EDT', 'dirk_baeumer')]</t>
  </si>
  <si>
    <t>2005-04-27 16:39:17 EDT</t>
  </si>
  <si>
    <t>2004-06-15 12:25 EDT</t>
  </si>
  <si>
    <t>2004-06-15 13:09:25 EDT</t>
  </si>
  <si>
    <t>[('CREATED', '2004-06-15 12:25 EDT'), ('dirk_baeumer', '2004-06-15 13:09:25 EDT', 'dirk_baeumer'), ('UIPerformChangeOperation swallows exception stacktrace [refactoring]', '2004-06-15 13:09:25 EDT', 'dirk_baeumer'), ('3.1', '2004-06-15 13:09:25 EDT', 'dirk_baeumer'), ('RESOLVED', '2005-04-27 16:39:17 EDT', 'dirk_baeumer'), ('FIXED', '2005-04-27 16:39:17 EDT', 'dirk_baeumer')]</t>
  </si>
  <si>
    <t>2004-06-17 05:08:36 EDT</t>
  </si>
  <si>
    <t>2004-06-21 06:38:25 EDT</t>
  </si>
  <si>
    <t>2004-06-15 13:43 EDT</t>
  </si>
  <si>
    <t>2004-06-15 16:08:58 EDT</t>
  </si>
  <si>
    <t>[('CREATED', '2004-06-15 13:43 EDT'), ('Refactoring - NPE when extracting interface [refactoring]', '2004-06-15 16:08:58 EDT', 'dirk_baeumer'), ('3.0 RC3', '2004-06-15 16:45:14 EDT', 'dirk_baeumer'), ('P2', '2004-06-16 04:33:15 EDT', 'erich_gamma'), ('dirk_baeumer', '2004-06-16 08:55:58 EDT', 'dirk_baeumer'), ('RESOLVED', '2004-06-17 05:08:36 EDT', 'dirk_baeumer'), ('FIXED', '2004-06-17 05:08:36 EDT', 'dirk_baeumer'), ('VERIFIED', '2004-06-21 06:38:25 EDT', 'martinae')]</t>
  </si>
  <si>
    <t>148016 (view as bug list)</t>
  </si>
  <si>
    <t>2004-06-15 14:28 EDT</t>
  </si>
  <si>
    <t>2004-06-15 15:54:48 EDT</t>
  </si>
  <si>
    <t>2010-11-04 06:44:59 EDT</t>
  </si>
  <si>
    <t>[('CREATED', '2004-06-15 14:28 EDT'), ('ASSIGNED', '2004-06-15 15:54:48 EDT', 'dirk_baeumer'), ('Rename related classes [refactoring]', '2004-06-15 15:54:48 EDT', 'dirk_baeumer'), ('[refactoring] [dcr] Rename related classes', '2006-06-15 01:42:10 EDT', 'martinae'), ('gunnar', '2006-09-06 05:18:15 EDT', 'gunnar'), ('markus_keller', '2006-09-06 07:16:06 EDT', 'markus.kell.r'), ('sven', '2006-09-06 07:17:23 EDT', 'markus.kell.r'), ('tobias_widmer', '2006-09-13 04:24:40 EDT', 'tobias_widmer'), ('NEW', '2006-09-14 06:40:38 EDT', 'markus.kell.r'), ('3.3 M3', '2006-09-14 06:40:38 EDT', 'markus.kell.r'), ('markus_keller', '2006-09-14 06:40:38 EDT', 'markus.kell.r'), ('ASSIGNED', '2006-10-30 06:48:07 EST', 'markus.kell.r'), ('P2', '2006-10-30 06:48:07 EST', 'markus.kell.r'), ('3.3 M4', '2006-10-30 06:48:07 EST', 'markus.kell.r'), ('3.3 M5', '2006-12-14 04:59:02 EST', 'martinae'), ('3.3 M6', '2007-02-07 05:06:30 EST', 'markus.kell.r'), ('3.3 M7', '2007-03-22 04:36:58 EDT', 'martinae'), ('3.3 RC1', '2007-05-03 05:33:40 EDT', 'martinae'), ('benno_baumgartner', '2007-05-03 10:30:24 EDT', 'benno.baumgartner'), ('3.4', '2007-05-11 18:30:44 EDT', 'markus.kell.r'), ('Mike_Wilson', '2008-04-12 11:19:53 EDT', 'Mike_Wilson'), ('P3', '2008-04-14 05:54:59 EDT', 'markus.kell.r'), ('3.5', '2008-04-14 05:54:59 EDT', 'markus.kell.r'), ('daniel_megert', '2009-04-30 08:35:11 EDT', 'daniel_megert'), ('3.6', '2009-04-30 08:35:11 EDT', 'daniel_megert'), ('---', '2010-04-13 12:40:11 EDT', 'markus.kell.r'), ('fix candidate', '2010-04-13 12:40:11 EDT', 'markus.kell.r'), ('remysuen', '2010-07-28 07:09:50 EDT', 'remy.suen'), ('44178', '2010-07-28 07:12:43 EDT', 'markus.kell.r'), ('[refactoring] Rename related classes', '2010-11-04 06:44:59 EDT', 'daniel_megert')]</t>
  </si>
  <si>
    <t>2004-06-15 16:31 EDT</t>
  </si>
  <si>
    <t>2004-06-15 18:04:03 EDT</t>
  </si>
  <si>
    <t>2019-02-22 11:56:05 EST</t>
  </si>
  <si>
    <t>[('CREATED', '2004-06-15 16:31 EDT'), ('refactoring message does not match context [refactoring]', '2004-06-15 18:04:03 EDT', 'dirk_baeumer'), ('ASSIGNED', '2004-06-20 09:59:49 EDT', 'dirk_baeumer'), ('tobias_widmer', '2006-06-15 01:47:52 EDT', 'martinae'), ('NEW', '2006-06-15 01:47:52 EDT', 'martinae'), ('[reorg] refactoring message does not match context [refactoring]', '2006-06-15 01:47:52 EDT', 'martinae'), ('jdt-ui-inbox', '2007-06-14 10:48:31 EDT', 'martinae'), ('stalebug', '2019-02-22 11:56:05 EST', 'genie')]</t>
  </si>
  <si>
    <t>2005-05-23 12:38:34 EDT</t>
  </si>
  <si>
    <t>2005-05-27 10:28:20 EDT</t>
  </si>
  <si>
    <t>2004-06-16 04:11 EDT</t>
  </si>
  <si>
    <t>2004-06-16 08:38:50 EDT</t>
  </si>
  <si>
    <t>[('CREATED', '2004-06-16 04:11 EDT'), ('NPE when performing Refactor&gt;Inline [refactoring]', '2004-06-16 08:38:50 EDT', 'dirk_baeumer'), ('dirk_baeumer', '2004-06-16 11:45:14 EDT', 'dirk_baeumer'), ('RESOLVED', '2005-05-23 12:38:34 EDT', 'dirk_baeumer'), ('FIXED', '2005-05-23 12:38:34 EDT', 'dirk_baeumer'), ('3.1 RC1', '2005-05-23 12:38:34 EDT', 'dirk_baeumer'), ('saff', '2005-05-27 06:27:01 EDT', 'dirk_baeumer'), ('VERIFIED', '2005-05-27 10:28:20 EDT', 'tobias_widmer')]</t>
  </si>
  <si>
    <t>2005-05-24 05:27:46 EDT</t>
  </si>
  <si>
    <t>2005-05-27 06:17:26 EDT</t>
  </si>
  <si>
    <t>2004-06-16 10:11 EDT</t>
  </si>
  <si>
    <t>2004-06-16 11:29:58 EDT</t>
  </si>
  <si>
    <t>[('CREATED', '2004-06-16 10:11 EDT'), ('markus_keller', '2004-06-16 11:29:58 EDT', 'dirk_baeumer'), ('type filters ignored in dialog fields [refactoring] [code assist]', '2004-06-16 11:29:58 EDT', 'dirk_baeumer'), ('3.1', '2004-06-16 11:29:58 EDT', 'dirk_baeumer'), ('ASSIGNED', '2005-05-02 11:12:46 EDT', 'markus.kell.r'), ('P4', '2005-05-02 11:12:46 EDT', 'markus.kell.r'), ('RESOLVED', '2005-05-24 05:27:46 EDT', 'markus.kell.r'), ('FIXED', '2005-05-24 05:27:46 EDT', 'markus.kell.r'), ('3.1 RC1', '2005-05-24 05:27:46 EDT', 'markus.kell.r'), ('VERIFIED', '2005-05-27 06:17:26 EDT', 'dirk_baeumer')]</t>
  </si>
  <si>
    <t>2006-06-15 03:46:22 EDT</t>
  </si>
  <si>
    <t>2006-08-10 05:06:11 EDT</t>
  </si>
  <si>
    <t>2004-06-17 03:46 EDT</t>
  </si>
  <si>
    <t>2004-06-17 12:30:14 EDT</t>
  </si>
  <si>
    <t>[('CREATED', '2004-06-17 03:46 EDT'), ('ASSIGNED', '2004-06-17 12:30:14 EDT', 'dirk_baeumer'), ('Cannot move folder into a folder inside a non-java project with ReorgMove [reorg]', '2004-06-17 12:30:14 EDT', 'dirk_baeumer'), ('tobias_widmer', '2006-06-15 01:45:36 EDT', 'martinae'), ('NEW', '2006-06-15 01:45:36 EDT', 'martinae'), ('[reorg] Cannot move folder into a folder inside a non-java project with ReorgMove', '2006-06-15 01:45:36 EDT', 'martinae'), ('3.3 M1', '2006-06-15 03:46:22 EDT', 'tobias_widmer'), ('RESOLVED', '2006-06-15 03:46:22 EDT', 'tobias_widmer'), ('FIXED', '2006-06-15 03:46:22 EDT', 'tobias_widmer'), ('[reorg] cannot move folder into folder of non-java project [refactoring]', '2006-06-15 03:46:22 EDT', 'tobias_widmer'), ('VERIFIED', '2006-08-10 05:06:11 EDT', 'benno.baumgartner')]</t>
  </si>
  <si>
    <t>2004-06-18 13:07:26 EDT</t>
  </si>
  <si>
    <t>2004-06-17 08:43 EDT</t>
  </si>
  <si>
    <t>[('CREATED', '2004-06-17 08:43 EDT'), ('RESOLVED', '2004-06-18 13:07:26 EDT', 'dirk_baeumer'), ('WORKSFORME', '2004-06-18 13:07:26 EDT', 'dirk_baeumer')]</t>
  </si>
  <si>
    <t>2005-02-23 11:06:28 EST</t>
  </si>
  <si>
    <t>2004-06-17 09:56 EDT</t>
  </si>
  <si>
    <t>2004-06-17 11:56:25 EDT</t>
  </si>
  <si>
    <t>[('CREATED', '2004-06-17 09:56 EDT'), ('markus_keller', '2004-06-17 11:56:25 EDT', 'dirk_baeumer'), ('Conflicting mnemonics in Refactor menu [refactoring]', '2004-06-17 11:56:25 EDT', 'dirk_baeumer'), ('ASSIGNED', '2004-06-18 14:07:38 EDT', 'markus.kell.r'), ('3.1', '2004-07-22 09:00:32 EDT', 'markus.kell.r'), ('RESOLVED', '2005-02-23 11:06:28 EST', 'markus.kell.r'), ('FIXED', '2005-02-23 11:06:28 EST', 'markus.kell.r'), ('3.1 M6', '2005-02-23 11:06:28 EST', 'markus.kell.r')]</t>
  </si>
  <si>
    <t>265896 (view as bug list)</t>
  </si>
  <si>
    <t>2004-06-17 17:28:35 EDT</t>
  </si>
  <si>
    <t>2009-08-30 02:42:19 EDT</t>
  </si>
  <si>
    <t>2004-06-17 16:19 EDT</t>
  </si>
  <si>
    <t>[('CREATED', '2004-06-17 16:19 EDT'), ('RESOLVED', '2004-06-17 17:28:35 EDT', 'dirk_baeumer'), ('P4', '2004-06-17 17:28:35 EDT', 'dirk_baeumer'), ('LATER', '2004-06-17 17:28:35 EDT', 'dirk_baeumer'), ('[Externalize] Externalize should concatenate consecutive Strings [refactoring]', '2004-06-17 17:28:35 EDT', 'dirk_baeumer'), ('roxspring', '2009-02-24 03:11:09 EST', 'daniel_megert'), ('daniel_megert', '2009-02-27 08:11:15 EST', 'daniel_megert'), ('WONTFIX', '2009-08-30 02:42:19 EDT', 'webmaster')]</t>
  </si>
  <si>
    <t>2004-06-18 05:10:17 EDT</t>
  </si>
  <si>
    <t>2004-06-21 04:25:35 EDT</t>
  </si>
  <si>
    <t>2004-06-17 17:30 EDT</t>
  </si>
  <si>
    <t>2004-06-17 17:49:54 EDT</t>
  </si>
  <si>
    <t>[('CREATED', '2004-06-17 17:30 EDT'), ('Refactoring fails if validate edit returns a cancel status', '2004-06-17 17:49:54 EDT', 'dirk_baeumer'), ('3.0 RC3', '2004-06-17 17:49:54 EDT', 'dirk_baeumer'), ('P2', '2004-06-17 17:53:13 EDT', 'dirk_baeumer'), ('dirk_baeumer', '2004-06-17 17:54:20 EDT', 'dirk_baeumer'), ('RESOLVED', '2004-06-18 05:10:17 EDT', 'dirk_baeumer'), ('FIXED', '2004-06-18 05:10:17 EDT', 'dirk_baeumer'), ('Refactoring fails if validate edit returns a cancel status [refactoring]', '2004-06-18 05:10:17 EDT', 'dirk_baeumer'), ('VERIFIED', '2004-06-21 04:25:35 EDT', 'daniel_megert')]</t>
  </si>
  <si>
    <t>RESOLVED  DUPLICATE  of bug 66457</t>
  </si>
  <si>
    <t>2004-10-04 04:50:59 EDT</t>
  </si>
  <si>
    <t>2004-06-18 03:23 EDT</t>
  </si>
  <si>
    <t>2004-06-18 03:37:16 EDT</t>
  </si>
  <si>
    <t>[('CREATED', '2004-06-18 03:23 EDT'), ('jdt-ui-inbox', '2004-06-18 03:37:16 EDT', 'daniel_megert'), ('UI', '2004-06-18 03:37:16 EDT', 'daniel_megert'), ('ASSIGNED', '2004-06-18 08:26:01 EDT', 'dirk_baeumer'), ('Convert local variable to field deletes JavaDoc [refactoring]', '2004-06-18 08:26:01 EDT', 'dirk_baeumer'), ('DUPLICATE', '2004-10-04 04:50:59 EDT', 'markus.kell.r'), ('RESOLVED', '2004-10-04 04:50:59 EDT', 'markus.kell.r')]</t>
  </si>
  <si>
    <t>2004-06-18 05:55:36 EDT</t>
  </si>
  <si>
    <t>2004-06-18 04:30 EDT</t>
  </si>
  <si>
    <t>2004-06-18 04:34:28 EDT</t>
  </si>
  <si>
    <t>[('CREATED', '2004-06-18 04:30 EDT'), ('Java code migration using refactoring core/refactoring history and applying.', '2004-06-18 04:34:28 EDT', 'johnwillsons'), ('jdt-ui-inbox', '2004-06-18 05:51:10 EDT', 'frederic_fusier'), ('UI', '2004-06-18 05:51:10 EDT', 'frederic_fusier'), ('P4', '2004-06-18 05:55:36 EDT', 'dirk_baeumer'), ('LATER', '2004-06-18 05:55:36 EDT', 'dirk_baeumer'), ('Java code migration using refactoring core/refactoring history and applying. [refactoring]', '2004-06-18 05:55:36 EDT', 'dirk_baeumer'), ('RESOLVED', '2004-06-18 05:55:36 EDT', 'dirk_baeumer'), ('WONTFIX', '2009-08-30 02:13:41 EDT', 'denis.roy')]</t>
  </si>
  <si>
    <t>2004-06-22 11:55:49 EDT</t>
  </si>
  <si>
    <t>2004-06-25 05:59:53 EDT</t>
  </si>
  <si>
    <t>2004-06-18 10:48 EDT</t>
  </si>
  <si>
    <t>2004-06-18 11:13:19 EDT</t>
  </si>
  <si>
    <t>[('CREATED', '2004-06-18 10:48 EDT'), ('jdt-ui-inbox', '2004-06-18 11:13:19 EDT', 'john.arthorne'), ('UI', '2004-06-18 11:13:19 EDT', 'john.arthorne'), ('JDT', '2004-06-18 11:13:19 EDT', 'john.arthorne'), ('critical', '2004-06-20 07:23:25 EDT', 'dirk_baeumer'), ('DirtyBufferValidationState becomes stale when buffer closes', '2004-06-20 07:23:25 EDT', 'dirk_baeumer'), ('1', '2004-06-22 05:02:50 EDT', 'dirk_baeumer'), ('P2', '2004-06-22 07:01:50 EDT', 'dirk_baeumer'), ('3.0 RC4', '2004-06-22 11:54:08 EDT', 'dirk_baeumer'), ('RESOLVED', '2004-06-22 11:55:49 EDT', 'dirk_baeumer'), ('FIXED', '2004-06-22 11:55:49 EDT', 'dirk_baeumer'), ('VERIFIED', '2004-06-25 05:59:53 EDT', 'andre_weinand')]</t>
  </si>
  <si>
    <t>2020-01-25 15:27:24 EST</t>
  </si>
  <si>
    <t>2004-06-19 20:28 EDT</t>
  </si>
  <si>
    <t>2004-06-20 09:46:59 EDT</t>
  </si>
  <si>
    <t>[('CREATED', '2004-06-19 20:28 EDT'), ('ASSIGNED', '2004-06-20 09:46:59 EDT', 'dirk_baeumer'), ('Pasting multiple resources in Packages Explorer results in multiple validateEdits [refactoring]', '2004-06-20 09:46:59 EDT', 'dirk_baeumer'), ('3.1', '2004-06-20 09:46:59 EDT', 'dirk_baeumer'), ('tobias_widmer', '2005-03-16 17:51:08 EST', 'dirk_baeumer'), ('NEW', '2005-03-16 17:51:08 EST', 'dirk_baeumer'), ('3.1 M7', '2005-05-03 04:46:53 EDT', 'tobias_widmer'), ('dirk_baeumer', '2005-05-11 06:28:28 EDT', 'tobias_widmer'), ('3.1 RC1', '2005-05-11 06:28:28 EDT', 'tobias_widmer'), ('3.1', '2005-05-26 09:13:14 EDT', 'tobias_widmer'), ('3.2', '2005-06-09 07:07:01 EDT', 'dirk_baeumer'), ('ASSIGNED', '2006-04-27 04:32:07 EDT', 'tobias_widmer'), ('3.3', '2006-04-27 04:32:07 EDT', 'tobias_widmer'), ('[ccp][refactoring] pasting multiple resources in Package Explorer results in multiple validateEdits', '2006-05-29 04:58:12 EDT', 'tobias_widmer'), ('---', '2007-02-16 04:49:11 EST', 'martinae'), ('benno_baumgartner', '2007-06-14 10:29:50 EDT', 'martinae'), ('NEW', '2007-06-14 10:29:50 EDT', 'martinae'), ('jdt-ui-inbox', '2008-07-16 05:59:58 EDT', 'benno.baumgartner'), ('daniel_megert', '2008-07-17 04:21:17 EDT', 'daniel_megert'), ('ASSIGNED', '2008-07-17 04:21:17 EDT', 'daniel_megert'), ('CLOSED', '2020-01-25 15:27:24 EST', 'genie'), ('WONTFIX', '2020-01-25 15:27:24 EST', 'genie'), ('stalebug', '2020-01-25 15:27:24 EST', 'genie')]</t>
  </si>
  <si>
    <t>2004-06-21 06:18:04 EDT</t>
  </si>
  <si>
    <t>2004-06-21 06:05 EDT</t>
  </si>
  <si>
    <t>[('CREATED', '2004-06-21 06:05 EDT'), ('RESOLVED', '2004-06-21 06:18:04 EDT', 'martinae'), ('WORKSFORME', '2004-06-21 06:18:04 EDT', 'martinae')]</t>
  </si>
  <si>
    <t>74051</t>
  </si>
  <si>
    <t>2007-06-26 04:05:24 EDT</t>
  </si>
  <si>
    <t>2004-06-21 14:55 EDT</t>
  </si>
  <si>
    <t>2004-06-21 15:04:18 EDT</t>
  </si>
  <si>
    <t>[('CREATED', '2004-06-21 14:55 EDT'), ('dirk_baeumer', '2004-06-21 15:04:18 EDT', 'dirk_baeumer'), ('Cannot nest beginRule with custom ISchedulingRule inside RefactoringParticipant [refactoring]', '2004-06-21 15:04:18 EDT', 'dirk_baeumer'), ('3.1', '2004-06-21 15:04:18 EDT', 'dirk_baeumer'), ('david_williams', '2004-09-21 22:37:21 EDT', 'david_williams'), ('74051', '2004-10-04 06:08:17 EDT', 'dirk_baeumer'), ('---', '2005-04-06 17:56:29 EDT', 'dirk_baeumer'), ('tobias_widmer', '2006-04-05 07:07:22 EDT', 'dirk_baeumer'), ('[refactoring] [ltk] Cannot nest beginRule with custom ISchedulingRule inside RefactoringParticipant', '2006-04-05 07:07:22 EDT', 'dirk_baeumer'), ('[ltk] cannot nest beginRule with custom ISchedulingRule inside RefactoringParticipant [refactoring]', '2006-05-29 05:57:17 EDT', 'tobias_widmer'), ('jdt-ui-inbox', '2007-06-14 10:44:17 EDT', 'martinae'), ('RESOLVED', '2007-06-26 04:05:24 EDT', 'martinae'), ('WONTFIX', '2007-06-26 04:05:24 EDT', 'martinae')]</t>
  </si>
  <si>
    <t>2004-06-21 18:02:40 EDT</t>
  </si>
  <si>
    <t>2004-06-21 16:46 EDT</t>
  </si>
  <si>
    <t>2004-06-21 17:22:12 EDT</t>
  </si>
  <si>
    <t>[('CREATED', '2004-06-21 16:46 EDT'), ('jdt-ui-inbox', '2004-06-21 17:22:12 EDT', 'jerome_lanneluc'), ('UI', '2004-06-21 17:22:12 EDT', 'jerome_lanneluc'), ('RESOLVED', '2004-06-21 18:02:40 EDT', 'dirk_baeumer'), ('WORKSFORME', '2004-06-21 18:02:40 EDT', 'dirk_baeumer')]</t>
  </si>
  <si>
    <t>69577 (view as bug list)</t>
  </si>
  <si>
    <t>2004-08-02 07:00:08 EDT</t>
  </si>
  <si>
    <t>2004-09-02 06:06:17 EDT</t>
  </si>
  <si>
    <t>2004-06-21 17:16 EDT</t>
  </si>
  <si>
    <t>2004-06-21 17:18:56 EDT</t>
  </si>
  <si>
    <t>[('CREATED', '2004-06-21 17:16 EDT'), ('birdo', '2004-06-21 17:18:56 EDT', 'birdo'), ('Error when changing class name in Configure Accessor Class dilaog from Externalize Strings dialog', '2004-06-21 17:18:56 EDT', 'birdo'), ('martin_aeschlimann', '2004-06-21 18:24:42 EDT', 'dirk_baeumer'), ('martin_aeschlimann', '2004-07-06 13:56:10 EDT', 'martinae'), ('markus_keller', '2004-07-08 05:39:54 EDT', 'dirk_baeumer'), ('3.0.1', '2004-07-08 07:59:57 EDT', 'martinae'), ('RESOLVED', '2004-08-02 07:00:08 EDT', 'dirk_baeumer'), ('FIXED', '2004-08-02 07:00:08 EDT', 'dirk_baeumer'), ('VERIFIED', '2004-09-02 06:06:17 EDT', 'dirk_baeumer')]</t>
  </si>
  <si>
    <t>RESOLVED  DUPLICATE  of bug 44803</t>
  </si>
  <si>
    <t>2004-06-22 05:47:15 EDT</t>
  </si>
  <si>
    <t>2004-06-22 05:28 EDT</t>
  </si>
  <si>
    <t>2004-06-22 05:38:01 EDT</t>
  </si>
  <si>
    <t>[('CREATED', '2004-06-22 05:28 EDT'), ('markus_keller', '2004-06-22 05:38:01 EDT', 'dirk_baeumer'), ('introduce parameter should behave the same as extract local variable [refactoring]', '2004-06-22 05:38:01 EDT', 'dirk_baeumer'), ('RESOLVED', '2004-06-22 05:47:15 EDT', 'markus.kell.r'), ('DUPLICATE', '2004-06-22 05:47:15 EDT', 'markus.kell.r')]</t>
  </si>
  <si>
    <t>2004-06-22 05:34 EDT</t>
  </si>
  <si>
    <t>2004-06-22 05:38:43 EDT</t>
  </si>
  <si>
    <t>2006-06-09 11:52:29 EDT</t>
  </si>
  <si>
    <t>[('CREATED', '2004-06-22 05:34 EDT'), ('markus_keller', '2004-06-22 05:38:43 EDT', 'dirk_baeumer'), ('introduce parameter should allow for final [refactoring]', '2004-06-22 05:38:43 EDT', 'dirk_baeumer'), ('ASSIGNED', '2006-06-09 11:52:29 EDT', 'markus.kell.r'), ('P4', '2006-06-09 11:52:29 EDT', 'markus.kell.r'), ('[introduce parameter] should allow for final', '2006-06-09 11:52:29 EDT', 'markus.kell.r')]</t>
  </si>
  <si>
    <t>RESOLVED  DUPLICATE  of bug 67969</t>
  </si>
  <si>
    <t>2004-06-22 11:10:39 EDT</t>
  </si>
  <si>
    <t>2004-06-22 09:54 EDT</t>
  </si>
  <si>
    <t>2004-06-22 10:08:14 EDT</t>
  </si>
  <si>
    <t>[('CREATED', '2004-06-22 09:54 EDT'), ('philippe_mulet', '2004-06-22 10:08:14 EDT', 'dirk_baeumer'), ('Complete freeze on Extract Method Refactoring', '2004-06-22 10:08:14 EDT', 'dirk_baeumer'), ('RESOLVED', '2004-06-22 11:10:39 EDT', 'dirk_baeumer'), ('DUPLICATE', '2004-06-22 11:10:39 EDT', 'dirk_baeumer')]</t>
  </si>
  <si>
    <t>2004-09-08 08:34:14 EDT</t>
  </si>
  <si>
    <t>2004-06-22 11:57 EDT</t>
  </si>
  <si>
    <t>2004-06-22 11:57:49 EDT</t>
  </si>
  <si>
    <t>[('CREATED', '2004-06-22 11:57 EDT'), ('3.1', '2004-06-22 11:57:49 EDT', 'dirk_baeumer'), ('RESOLVED', '2004-09-08 08:34:14 EDT', 'dirk_baeumer'), ('FIXED', '2004-09-08 08:34:14 EDT', 'dirk_baeumer')]</t>
  </si>
  <si>
    <t>75655 (view as bug list)</t>
  </si>
  <si>
    <t>2005-05-02 11:15:15 EDT</t>
  </si>
  <si>
    <t>2004-10-08 04:47:41 EDT</t>
  </si>
  <si>
    <t>2004-06-23 06:23 EDT</t>
  </si>
  <si>
    <t>2004-06-23 08:53:40 EDT</t>
  </si>
  <si>
    <t>[('CREATED', '2004-06-23 06:23 EDT'), ('markus_keller', '2004-06-23 08:53:40 EDT', 'markus.kell.r'), ('normal', '2004-06-23 08:53:40 EDT', 'markus.kell.r'), ('RESOLVED', '2004-09-10 10:26:15 EDT', 'markus.kell.r'), ('WORKSFORME', '2004-09-10 10:26:15 EDT', 'markus.kell.r'), ('3.1', '2004-09-10 10:26:15 EDT', 'markus.kell.r'), ('REOPENED', '2004-10-08 04:47:41 EDT', 'dirk_baeumer'), ('---', '2004-10-08 04:47:41 EDT', 'dirk_baeumer'), ('tweissin', '2004-10-08 04:48:12 EDT', 'dirk_baeumer'), ('RESOLVED', '2005-05-02 11:15:15 EDT', 'markus.kell.r'), ('WORKSFORME', '2005-05-02 11:15:15 EDT', 'markus.kell.r'), ('3.1 M7', '2005-05-02 11:15:15 EDT', 'markus.kell.r')]</t>
  </si>
  <si>
    <t>2006-08-03 10:14:28 EDT</t>
  </si>
  <si>
    <t>2004-06-23 13:45 EDT</t>
  </si>
  <si>
    <t>2004-06-23 15:09:43 EDT</t>
  </si>
  <si>
    <t>[('CREATED', '2004-06-23 13:45 EDT'), ('jdt-ui-inbox', '2004-06-23 15:09:43 EDT', 'john.arthorne'), ('UI', '2004-06-23 15:09:43 EDT', 'john.arthorne'), ('JDT', '2004-06-23 15:09:43 EDT', 'john.arthorne'), ('markus_keller', '2004-06-23 17:48:47 EDT', 'dirk_baeumer'), ('Error when refactoring and java class was deleted... [refactoring]', '2004-06-23 17:48:47 EDT', 'dirk_baeumer'), ('RESOLVED', '2006-08-03 10:14:28 EDT', 'martinae'), ('WONTFIX', '2006-08-03 10:14:28 EDT', 'martinae'), ('[refactoring] Error when refactoring and java class was deleted... [refactoring]', '2006-08-03 10:14:28 EDT', 'martinae')]</t>
  </si>
  <si>
    <t>69241 69964 70181 71140 71875 (view as bug list)</t>
  </si>
  <si>
    <t>2004-06-29 11:06:53 EDT</t>
  </si>
  <si>
    <t>2004-09-02 06:19:53 EDT</t>
  </si>
  <si>
    <t>2004-06-24 13:27 EDT</t>
  </si>
  <si>
    <t>2004-06-24 13:38:44 EDT</t>
  </si>
  <si>
    <t>[('CREATED', '2004-06-24 13:27 EDT'), ('jdt-ui-inbox', '2004-06-24 13:38:44 EDT', 'jerome_lanneluc'), ('UI', '2004-06-24 13:38:44 EDT', 'jerome_lanneluc'), ('markus_keller', '2004-06-24 14:05:24 EDT', 'dirk_baeumer'), ('Refactor -&gt; Change Method Signature removes import [refactoring]', '2004-06-24 14:05:24 EDT', 'dirk_baeumer'), ('ASSIGNED', '2004-06-25 04:58:11 EDT', 'markus.kell.r'), ('3.1', '2004-06-25 04:58:11 EDT', 'markus.kell.r'), ('RESOLVED', '2004-06-29 11:06:53 EDT', 'markus.kell.r'), ('FIXED', '2004-06-29 11:06:53 EDT', 'markus.kell.r'), ('dcorbin', '2004-07-05 04:19:07 EDT', 'markus.kell.r'), ('henkel', '2004-07-19 10:37:50 EDT', 'markus.kell.r'), ('cebert', '2004-07-21 06:17:07 EDT', 'markus.kell.r'), ('j.c.yip', '2004-08-11 03:18:45 EDT', 'markus.kell.r'), ('diegof79', '2004-08-12 13:05:45 EDT', 'markus.kell.r'), ('3.0.1', '2004-08-16 14:40:22 EDT', 'markus.kell.r'), ('VERIFIED', '2004-09-02 06:19:53 EDT', 'dirk_baeumer')]</t>
  </si>
  <si>
    <t>2004-06-25 04:20:07 EDT</t>
  </si>
  <si>
    <t>2009-08-30 02:37:08 EDT</t>
  </si>
  <si>
    <t>2004-06-25 01:53 EDT</t>
  </si>
  <si>
    <t>2004-06-25 01:57:33 EDT</t>
  </si>
  <si>
    <t>[('CREATED', '2004-06-25 01:53 EDT'), ('P1', '2004-06-25 01:57:33 EDT', 'rsathish'), ('P3', '2004-06-25 03:13:06 EDT', 'philippe_mulet'), ('jdt-ui-inbox', '2004-06-25 03:13:29 EDT', 'philippe_mulet'), ('UI', '2004-06-25 03:13:29 EDT', 'philippe_mulet'), ('RESOLVED', '2004-06-25 04:20:07 EDT', 'dirk_baeumer'), ('P4', '2004-06-25 04:20:07 EDT', 'dirk_baeumer'), ('LATER', '2004-06-25 04:20:07 EDT', 'dirk_baeumer'), ('Extract constant ...As a wizard [refactoring]', '2004-06-25 04:20:07 EDT', 'dirk_baeumer'), ('WONTFIX', '2009-08-30 02:37:08 EDT', 'webmaster')]</t>
  </si>
  <si>
    <t>72112 (view as bug list)</t>
  </si>
  <si>
    <t>2004-11-02 04:42:41 EST</t>
  </si>
  <si>
    <t>2004-06-25 06:13 EDT</t>
  </si>
  <si>
    <t>2004-06-25 08:55:21 EDT</t>
  </si>
  <si>
    <t>[('CREATED', '2004-06-25 06:13 EDT'), ('dirk_baeumer', '2004-06-25 08:55:21 EDT', 'dirk_baeumer'), ('3.1', '2004-06-25 08:55:21 EDT', 'dirk_baeumer'), ('tobias_widmer', '2004-11-01 13:17:23 EST', 'dirk_baeumer'), ('daniel_megert', '2004-11-01 18:50:59 EST', 'dirk_baeumer'), ('3.1 M3', '2004-11-02 03:29:01 EST', 'daniel_megert'), ('FIXED', '2004-11-02 04:42:41 EST', 'daniel_megert'), ('RESOLVED', '2004-11-02 04:42:41 EST', 'daniel_megert')]</t>
  </si>
  <si>
    <t>72606 78279 (view as bug list)</t>
  </si>
  <si>
    <t>2004-08-24 09:40:22 EDT</t>
  </si>
  <si>
    <t>2004-06-25 07:48 EDT</t>
  </si>
  <si>
    <t>2004-06-25 09:27:17 EDT</t>
  </si>
  <si>
    <t>2004-11-22 07:10:50 EST</t>
  </si>
  <si>
    <t>[('CREATED', '2004-06-25 07:48 EDT'), ('jdt-ui-inbox', '2004-06-25 09:27:17 EDT', 'jerome_lanneluc'), ('UI', '2004-06-25 09:27:17 EDT', 'jerome_lanneluc'), ('markus_keller', '2004-06-25 10:41:02 EDT', 'dirk_baeumer'), ('3.1', '2004-06-25 10:41:02 EDT', 'dirk_baeumer'), ('FIXED', '2004-08-24 09:40:22 EDT', 'markus.kell.r'), ('rename method exception with method in local type [refactoring]', '2004-08-24 09:40:22 EDT', 'markus.kell.r'), ('3.1 M2', '2004-08-24 09:40:22 EDT', 'markus.kell.r'), ('RESOLVED', '2004-08-24 09:40:22 EDT', 'markus.kell.r'), ('N.Metchev', '2004-08-26 03:41:36 EDT', 'markus.kell.r'), ('malte', '2004-11-22 07:10:50 EST', 'markus.kell.r')]</t>
  </si>
  <si>
    <t>2006-04-05 08:54:24 EDT</t>
  </si>
  <si>
    <t>2004-06-25 09:45 EDT</t>
  </si>
  <si>
    <t>2004-06-25 10:39:17 EDT</t>
  </si>
  <si>
    <t>[('CREATED', '2004-06-25 09:45 EDT'), ('dirk_baeumer', '2004-06-25 10:39:17 EDT', 'dirk_baeumer'), ('Need to be able to participate in JDT copy refactorings [refactoring]', '2004-06-25 10:39:17 EDT', 'dirk_baeumer'), ('RESOLVED', '2006-04-05 08:54:24 EDT', 'dirk_baeumer'), ('WORKSFORME', '2006-04-05 08:54:24 EDT', 'dirk_baeumer')]</t>
  </si>
  <si>
    <t>2005-02-11 10:55:36 EST</t>
  </si>
  <si>
    <t>2009-08-30 02:41:49 EDT</t>
  </si>
  <si>
    <t>2004-06-25 09:46 EDT</t>
  </si>
  <si>
    <t>2004-11-17 03:59:58 EST</t>
  </si>
  <si>
    <t>[('CREATED', '2004-06-25 09:46 EDT'), ('Need a way to contribute arguments/UI to refactoring dialogs [refactoring] [ltk]', '2004-11-17 03:59:58 EST', 'dirk_baeumer'), ('RESOLVED', '2005-02-11 10:55:36 EST', 'dirk_baeumer'), ('LATER', '2005-02-11 10:55:36 EST', 'dirk_baeumer'), ('daniel_megert, markus_keller', '2009-07-06 04:50:30 EDT', 'daniel_megert'), ('WONTFIX', '2009-08-30 02:41:49 EDT', 'webmaster')]</t>
  </si>
  <si>
    <t>2005-05-24 05:36:56 EDT</t>
  </si>
  <si>
    <t>2004-06-25 11:19 EDT</t>
  </si>
  <si>
    <t>2004-06-25 13:31:41 EDT</t>
  </si>
  <si>
    <t>[('CREATED', '2004-06-25 11:19 EDT'), ('dan_rubel', '2004-06-25 13:31:41 EDT', 'danrubel'), ('RESOLVED', '2005-05-24 05:36:56 EDT', 'dirk_baeumer'), ('FIXED', '2005-05-24 05:36:56 EDT', 'dirk_baeumer'), ('3.1', '2005-05-24 05:36:56 EDT', 'dirk_baeumer')]</t>
  </si>
  <si>
    <t>2004-06-27 18:11:41 EDT</t>
  </si>
  <si>
    <t>2004-06-27 13:27 EDT</t>
  </si>
  <si>
    <t>[('CREATED', '2004-06-27 13:27 EDT'), ('RESOLVED', '2004-06-27 18:11:41 EDT', 'dirk_baeumer'), ('WORKSFORME', '2004-06-27 18:11:41 EDT', 'dirk_baeumer')]</t>
  </si>
  <si>
    <t>2006-06-15 02:16:52 EDT</t>
  </si>
  <si>
    <t>2004-06-28 10:55 EDT</t>
  </si>
  <si>
    <t>2004-06-28 11:10:32 EDT</t>
  </si>
  <si>
    <t>[('CREATED', '2004-06-28 10:55 EDT'), ('jdt-ui-inbox', '2004-06-28 11:10:32 EDT', 'debbie_wilson'), ('JDT', '2004-06-28 11:10:32 EDT', 'debbie_wilson'), ('minor', '2004-06-28 12:39:36 EDT', 'dirk_baeumer'), ('ASSIGNED', '2004-06-28 12:39:36 EDT', 'dirk_baeumer'), ('Refactor rename syntax error in file yeilds unhelpfull error message [refactoring]', '2004-06-28 12:39:36 EDT', 'dirk_baeumer'), ('hauser', '2004-07-31 09:56:09 EDT', 'hauser'), ('RESOLVED', '2006-06-15 02:16:52 EDT', 'martinae'), ('WONTFIX', '2006-06-15 02:16:52 EDT', 'martinae')]</t>
  </si>
  <si>
    <t>RESOLVED  DUPLICATE  of bug 68823</t>
  </si>
  <si>
    <t>2004-07-01 05:07:27 EDT</t>
  </si>
  <si>
    <t>2004-06-29 12:55:15 EDT</t>
  </si>
  <si>
    <t>2004-06-29 14:18:34 EDT</t>
  </si>
  <si>
    <t>2004-06-28 19:10 EDT</t>
  </si>
  <si>
    <t>2004-06-29 11:48:49 EDT</t>
  </si>
  <si>
    <t>[('CREATED', '2004-06-28 19:10 EDT'), ('jdt-ui-inbox', '2004-06-29 11:48:49 EDT', 'john.arthorne'), ('UI', '2004-06-29 11:48:49 EDT', 'john.arthorne'), ('JDT', '2004-06-29 11:48:49 EDT', 'john.arthorne'), ('RESOLVED', '2004-06-29 12:55:15 EDT', 'dirk_baeumer'), ('WORKSFORME', '2004-06-29 12:55:15 EDT', 'dirk_baeumer'), ('---', '2004-06-29 14:18:34 EDT', 'worookie'), ('REOPENED', '2004-06-29 14:18:34 EDT', 'worookie'), ('RESOLVED', '2004-07-01 05:07:27 EDT', 'dirk_baeumer'), ('DUPLICATE', '2004-07-01 05:07:27 EDT', 'dirk_baeumer')]</t>
  </si>
  <si>
    <t>2004-06-29 06:01 EDT</t>
  </si>
  <si>
    <t>2004-06-29 08:44:36 EDT</t>
  </si>
  <si>
    <t>2006-06-09 11:52:56 EDT</t>
  </si>
  <si>
    <t>[('CREATED', '2004-06-29 06:01 EDT'), ('markus_keller', '2004-06-29 08:44:36 EDT', 'dirk_baeumer'), ('introduce parameter should let choose parameter type [refactoring]', '2004-06-29 08:44:36 EDT', 'dirk_baeumer'), ('ASSIGNED', '2006-06-09 11:52:56 EDT', 'markus.kell.r'), ('[introduce parameter] should let choose parameter type', '2006-06-09 11:52:56 EDT', 'markus.kell.r')]</t>
  </si>
  <si>
    <t>2004-06-30 05:01:34 EDT</t>
  </si>
  <si>
    <t>2004-06-29 12:25 EDT</t>
  </si>
  <si>
    <t>2004-06-29 17:52:04 EDT</t>
  </si>
  <si>
    <t>[('CREATED', '2004-06-29 12:25 EDT'), ('jdt-ui-inbox', '2004-06-29 17:52:04 EDT', 'Olivier_Thomann'), ('UI', '2004-06-29 17:52:04 EDT', 'Olivier_Thomann'), ('RESOLVED', '2004-06-30 05:01:34 EDT', 'dirk_baeumer'), ('WORKSFORME', '2004-06-30 05:01:34 EDT', 'dirk_baeumer')]</t>
  </si>
  <si>
    <t>215837 (view as bug list)</t>
  </si>
  <si>
    <t>2004-06-29 13:58 EDT</t>
  </si>
  <si>
    <t>2004-06-30 05:20:35 EDT</t>
  </si>
  <si>
    <t>2018-11-05 07:18:42 EST</t>
  </si>
  <si>
    <t>[('CREATED', '2004-06-29 13:58 EDT'), ('normal', '2004-06-30 05:20:35 EDT', 'dirk_baeumer'), ('ASSIGNED', '2004-06-30 05:20:35 EDT', 'dirk_baeumer'), ('change type signature [refactoring] [1.5]', '2004-06-30 05:20:35 EDT', 'dirk_baeumer'), ('mlists', '2005-04-29 07:43:59 EDT', 'mlists'), ('[refactoring] [dcr] change type signature', '2006-06-16 01:40:35 EDT', 'martinae'), ('nikolaymetchev', '2008-01-21 05:40:28 EST', 'daniel_megert'), ('daniel_megert', '2010-11-04 06:46:47 EDT', 'daniel_megert'), ('[refactoring] change type signature', '2010-11-04 06:46:47 EDT', 'daniel_megert'), ('stalebug', '2018-11-05 07:18:42 EST', 'genie')]</t>
  </si>
  <si>
    <t>2004-06-30 05:18:24 EDT</t>
  </si>
  <si>
    <t>2009-08-30 02:14:56 EDT</t>
  </si>
  <si>
    <t>2004-06-29 14:00 EDT</t>
  </si>
  <si>
    <t>[('CREATED', '2004-06-29 14:00 EDT'), ('RESOLVED', '2004-06-30 05:18:24 EDT', 'dirk_baeumer'), ('P4', '2004-06-30 05:18:24 EDT', 'dirk_baeumer'), ('LATER', '2004-06-30 05:18:24 EDT', 'dirk_baeumer'), ('WONTFIX', '2009-08-30 02:14:56 EDT', 'denis.roy')]</t>
  </si>
  <si>
    <t>RESOLVED  DUPLICATE  of bug 70922</t>
  </si>
  <si>
    <t>2004-08-16 06:04:53 EDT</t>
  </si>
  <si>
    <t>2004-06-29 14:01 EDT</t>
  </si>
  <si>
    <t>2004-06-29 14:02:03 EDT</t>
  </si>
  <si>
    <t>[('CREATED', '2004-06-29 14:01 EDT'), ('jdt-ui-inbox', '2004-06-29 14:02:03 EDT', 'akiezun'), ('UI', '2004-06-29 14:02:03 EDT', 'akiezun'), ('ASSIGNED', '2004-06-30 05:17:55 EDT', 'dirk_baeumer'), ('convert for to foreach [quick assist] [1.5]', '2004-06-30 05:17:55 EDT', 'dirk_baeumer'), ('RESOLVED', '2004-08-16 06:04:53 EDT', 'dirk_baeumer'), ('DUPLICATE', '2004-08-16 06:04:53 EDT', 'dirk_baeumer')]</t>
  </si>
  <si>
    <t>2004-06-30 05:12:51 EDT</t>
  </si>
  <si>
    <t>2004-06-29 14:06 EDT</t>
  </si>
  <si>
    <t>[('CREATED', '2004-06-29 14:06 EDT'), ('RESOLVED', '2004-06-30 05:12:51 EDT', 'dirk_baeumer'), ('P4', '2004-06-30 05:12:51 EDT', 'dirk_baeumer'), ('LATER', '2004-06-30 05:12:51 EDT', 'dirk_baeumer'), ('WONTFIX', '2009-08-30 02:37:48 EDT', 'webmaster')]</t>
  </si>
  <si>
    <t>2004-06-30 04:53:57 EDT</t>
  </si>
  <si>
    <t>2004-06-30 04:36 EDT</t>
  </si>
  <si>
    <t>[('CREATED', '2004-06-30 04:36 EDT'), ('RESOLVED', '2004-06-30 04:53:57 EDT', 'dirk_baeumer'), ('P4', '2004-06-30 04:53:57 EDT', 'dirk_baeumer'), ('LATER', '2004-06-30 04:53:57 EDT', 'dirk_baeumer'), ('Add inverse of "Generate Delegate Methods" [code manipulation]', '2004-06-30 04:53:57 EDT', 'dirk_baeumer'), ('WONTFIX', '2009-08-30 02:18:39 EDT', 'denis.roy')]</t>
  </si>
  <si>
    <t>2005-05-02 03:58:28 EDT</t>
  </si>
  <si>
    <t>2004-06-30 07:13 EDT</t>
  </si>
  <si>
    <t>2004-06-30 08:49:22 EDT</t>
  </si>
  <si>
    <t>[('CREATED', '2004-06-30 07:13 EDT'), ('ASSIGNED', '2004-06-30 08:49:22 EDT', 'dirk_baeumer'), ('Refactor menu not available on binary types [refactoring]', '2004-06-30 08:49:22 EDT', 'dirk_baeumer'), ('tobias_widmer', '2005-05-01 18:39:21 EDT', 'dirk_baeumer'), ('RESOLVED', '2005-05-02 03:58:28 EDT', 'tobias_widmer'), ('FIXED', '2005-05-02 03:58:28 EDT', 'tobias_widmer'), ('3.1 M7', '2005-05-02 03:58:28 EDT', 'tobias_widmer')]</t>
  </si>
  <si>
    <t>2004-07-26 10:39:13 EDT</t>
  </si>
  <si>
    <t>2004-08-11 13:25:18 EDT</t>
  </si>
  <si>
    <t>2004-06-30 09:30 EDT</t>
  </si>
  <si>
    <t>2004-07-01 04:49:04 EDT</t>
  </si>
  <si>
    <t>[('CREATED', '2004-06-30 09:30 EDT'), ('dirk_baeumer', '2004-07-01 04:49:04 EDT', 'dirk_baeumer'), ('[1.5] Internal error highlighting method exit points', '2004-07-01 04:49:04 EDT', 'dirk_baeumer'), ('3.1', '2004-07-01 04:49:04 EDT', 'dirk_baeumer'), ('FIXED', '2004-07-26 10:39:13 EDT', 'dirk_baeumer'), ('RESOLVED', '2004-07-26 10:39:13 EDT', 'dirk_baeumer'), ('VERIFIED', '2004-08-11 13:25:18 EDT', 'markus.kell.r'), ('3.1 M1', '2004-08-11 13:25:18 EDT', 'markus.kell.r')]</t>
  </si>
  <si>
    <t>2004-07-06 14:00:48 EDT</t>
  </si>
  <si>
    <t>2004-06-30 11:03 EDT</t>
  </si>
  <si>
    <t>2004-07-01 04:37:01 EDT</t>
  </si>
  <si>
    <t>[('CREATED', '2004-06-30 11:03 EDT'), ('markus_keller', '2004-07-01 04:37:01 EDT', 'dirk_baeumer'), ('IAE when drag and dropping field in anonym type [reorg] [dnd]', '2004-07-01 04:37:01 EDT', 'dirk_baeumer'), ('3.1', '2004-07-01 04:37:01 EDT', 'dirk_baeumer'), ('RESOLVED', '2004-07-06 14:00:48 EDT', 'markus.kell.r'), ('FIXED', '2004-07-06 14:00:48 EDT', 'markus.kell.r')]</t>
  </si>
  <si>
    <t>2004-06-30 13:38:11 EDT</t>
  </si>
  <si>
    <t>2009-08-30 02:42:22 EDT</t>
  </si>
  <si>
    <t>2004-06-30 12:29 EDT</t>
  </si>
  <si>
    <t>[('CREATED', '2004-06-30 12:29 EDT'), ('RESOLVED', '2004-06-30 13:38:11 EDT', 'dirk_baeumer'), ('LATER', '2004-06-30 13:38:11 EDT', 'dirk_baeumer'), ('find overspecific locals [general issue]', '2004-06-30 13:38:11 EDT', 'dirk_baeumer'), ('WONTFIX', '2009-08-30 02:42:22 EDT', 'webmaster')]</t>
  </si>
  <si>
    <t>RESOLVED  DUPLICATE  of bug 68504</t>
  </si>
  <si>
    <t>2004-07-05 04:19:07 EDT</t>
  </si>
  <si>
    <t>2004-07-03 07:41 EDT</t>
  </si>
  <si>
    <t>2004-07-03 11:39:40 EDT</t>
  </si>
  <si>
    <t>[('CREATED', '2004-07-03 07:41 EDT'), ('markus_keller', '2004-07-03 11:39:40 EDT', 'dirk_baeumer'), ('Refactoring looses import [refactoring]', '2004-07-03 11:39:40 EDT', 'dirk_baeumer'), ('3.1', '2004-07-03 11:39:40 EDT', 'dirk_baeumer'), ('DUPLICATE', '2004-07-05 04:19:07 EDT', 'markus.kell.r'), ('RESOLVED', '2004-07-05 04:19:07 EDT', 'markus.kell.r')]</t>
  </si>
  <si>
    <t>2004-07-12 06:25:30 EDT</t>
  </si>
  <si>
    <t>2004-07-12 06:14:58 EDT</t>
  </si>
  <si>
    <t>2004-07-05 11:13 EDT</t>
  </si>
  <si>
    <t>2004-07-06 05:26:41 EDT</t>
  </si>
  <si>
    <t>dperezcar</t>
  </si>
  <si>
    <t>[('CREATED', '2004-07-05 11:13 EDT'), ('martin_aeschlimann', '2004-07-06 05:26:41 EDT', 'daniel_megert'), ('minor', '2004-07-06 05:26:41 EDT', 'daniel_megert'), ('UI', '2004-07-06 05:26:41 EDT', 'daniel_megert'), ('RESOLVED', '2004-07-12 04:54:32 EDT', 'martinae'), ('INVALID', '2004-07-12 04:54:32 EDT', 'martinae'), ('REOPENED', '2004-07-12 06:14:58 EDT', 'dperezcar'), ('---', '2004-07-12 06:14:58 EDT', 'dperezcar'), ('RESOLVED', '2004-07-12 06:25:30 EDT', 'dperezcar'), ('INVALID', '2004-07-12 06:25:30 EDT', 'dperezcar')]</t>
  </si>
  <si>
    <t>2004-07-06 05:53:27 EDT</t>
  </si>
  <si>
    <t>2004-07-05 12:08 EDT</t>
  </si>
  <si>
    <t>2004-07-05 12:08:43 EDT</t>
  </si>
  <si>
    <t>[('CREATED', '2004-07-05 12:08 EDT'), ('[Refactoring] Extract static and extract method across all source', '2004-07-05 12:08:43 EDT', 'channingwalton'), ('[Refactoring] Extract static method and extract method across all source', '2004-07-05 12:08:58 EDT', 'channingwalton'), ('jdt-ui-inbox', '2004-07-06 05:12:15 EDT', 'daniel_megert'), ('UI', '2004-07-06 05:12:15 EDT', 'daniel_megert'), ('RESOLVED', '2004-07-06 05:53:27 EDT', 'dirk_baeumer'), ('LATER', '2004-07-06 05:53:27 EDT', 'dirk_baeumer'), ('WONTFIX', '2009-08-30 02:18:29 EDT', 'denis.roy')]</t>
  </si>
  <si>
    <t>69282 69361 69483 (view as bug list)</t>
  </si>
  <si>
    <t>2004-07-26 10:38:22 EDT</t>
  </si>
  <si>
    <t>2004-07-06 11:29:17 EDT</t>
  </si>
  <si>
    <t>2004-07-05 13:23 EDT</t>
  </si>
  <si>
    <t>2004-07-05 17:27:50 EDT</t>
  </si>
  <si>
    <t>[('CREATED', '2004-07-05 13:23 EDT'), ('jdt-ui-inbox', '2004-07-05 17:27:50 EDT', 'Olivier_Thomann'), ('UI', '2004-07-05 17:27:50 EDT', 'Olivier_Thomann'), ('ludovic_claude', '2004-07-05 17:30:09 EDT', 'Olivier_Thomann'), ('dusponda', '2004-07-06 09:42:05 EDT', 'Olivier_Thomann'), ('RESOLVED', '2004-07-06 09:53:24 EDT', 'bbszabi'), ('P5', '2004-07-06 09:53:24 EDT', 'bbszabi'), ('FIXED', '2004-07-06 09:53:24 EDT', 'bbszabi'), ('REOPENED', '2004-07-06 11:29:17 EDT', 'Olivier_Thomann'), ('---', '2004-07-06 11:29:17 EDT', 'Olivier_Thomann'), ('olivier_thomann', '2004-07-06 11:34:32 EDT', 'Olivier_Thomann'), ('dirk_baeumer', '2004-07-06 12:19:34 EDT', 'dirk_baeumer'), ('NEW', '2004-07-06 12:19:34 EDT', 'dirk_baeumer'), ('[1.5] "Java AST creation" error in Eclipse 3.0.0', '2004-07-06 12:19:34 EDT', 'dirk_baeumer'), ('dperezcar', '2004-07-07 13:50:31 EDT', 'dirk_baeumer'), ('RESOLVED', '2004-07-26 10:38:22 EDT', 'dirk_baeumer'), ('FIXED', '2004-07-26 10:38:22 EDT', 'dirk_baeumer')]</t>
  </si>
  <si>
    <t>2004-07-06 02:31 EDT</t>
  </si>
  <si>
    <t>2004-07-06 03:25:09 EDT</t>
  </si>
  <si>
    <t>2020-07-14 17:44:49 EDT</t>
  </si>
  <si>
    <t>[('CREATED', '2004-07-06 02:31 EDT'), ('jdt-ui-inbox', '2004-07-06 03:25:09 EDT', 'philippe_mulet'), ('UI', '2004-07-06 03:25:09 EDT', 'philippe_mulet'), ('markus_keller', '2004-07-06 05:57:05 EDT', 'dirk_baeumer'), ('Change method signature refactoring does not save the source [refactoring]', '2004-07-06 05:57:05 EDT', 'dirk_baeumer'), ('markus_keller', '2004-07-06 14:23:52 EDT', 'markus.kell.r'), ('jdt-text-inbox', '2004-07-06 14:23:52 EDT', 'markus.kell.r'), ('Text', '2004-07-06 14:23:52 EDT', 'markus.kell.r'), ('markus_keller', '2004-07-07 05:41:26 EDT', 'daniel_megert'), ('UI', '2004-07-07 05:41:26 EDT', 'daniel_megert'), ('[change method signature] does not save the source', '2006-08-03 09:55:56 EDT', 'martinae'), ('stalebug', '2020-07-14 17:44:49 EDT', 'genie')]</t>
  </si>
  <si>
    <t>2006-08-03 11:42:21 EDT</t>
  </si>
  <si>
    <t>2013-01-09 06:54:47 EST</t>
  </si>
  <si>
    <t>2009-08-30 02:20:21 EDT</t>
  </si>
  <si>
    <t>2004-07-07 05:59 EDT</t>
  </si>
  <si>
    <t>2004-07-07 10:48:56 EDT</t>
  </si>
  <si>
    <t>[('CREATED', '2004-07-07 05:59 EDT'), ('jdt-ui-inbox', '2004-07-07 10:48:56 EDT', 'Olivier_Thomann'), ('UI', '2004-07-07 10:48:56 EDT', 'Olivier_Thomann'), ('markus_keller', '2004-07-08 06:17:32 EDT', 'dirk_baeumer'), ("Refactor -&gt; Extract local variable doesn't ignore whitespace in selection [refactoring]", '2004-07-08 06:17:32 EDT', 'dirk_baeumer'), ('All', '2005-03-24 07:48:18 EST', 'andre_weinand'), ('All', '2005-03-24 07:48:18 EST', 'andre_weinand'), ('RESOLVED', '2006-08-03 11:42:21 EDT', 'martinae'), ('LATER', '2006-08-03 11:42:21 EDT', 'martinae'), ("[extract local] Refactor -&gt; Extract local variable doesn't ignore whitespace in selection [refactoring]", '2006-08-03 11:42:21 EDT', 'martinae'), ('jdt-ui-inbox', '2009-08-30 02:20:21 EDT', 'denis.roy'), ('WONTFIX', '2009-08-30 02:20:21 EDT', 'denis.roy'), ('bugzilla', '2013-01-09 05:07:19 EST', 'bugzilla'), ('daniel_megert', '2013-01-09 06:54:47 EST', 'daniel_megert'), ('FIXED', '2013-01-09 06:54:47 EST', 'daniel_megert')]</t>
  </si>
  <si>
    <t>RESOLVED  DUPLICATE  of bug 69307</t>
  </si>
  <si>
    <t>2004-07-12 06:14:03 EDT</t>
  </si>
  <si>
    <t>2004-07-08 03:39:02 EDT</t>
  </si>
  <si>
    <t>2004-07-07 11:56 EDT</t>
  </si>
  <si>
    <t>2004-07-07 12:02:43 EDT</t>
  </si>
  <si>
    <t>[('CREATED', '2004-07-07 11:56 EDT'), ('jdt-ui-inbox', '2004-07-07 12:02:43 EDT', 'philippe_mulet'), ('UI', '2004-07-07 12:02:43 EDT', 'philippe_mulet'), ('RESOLVED', '2004-07-07 13:50:31 EDT', 'dirk_baeumer'), ('DUPLICATE', '2004-07-07 13:50:31 EDT', 'dirk_baeumer'), ('REOPENED', '2004-07-08 03:39:02 EDT', 'dperezcar'), ('---', '2004-07-08 03:39:02 EDT', 'dperezcar'), ('RESOLVED', '2004-07-12 06:14:03 EDT', 'dirk_baeumer'), ('DUPLICATE', '2004-07-12 06:14:03 EDT', 'dirk_baeumer')]</t>
  </si>
  <si>
    <t>2004-07-08 11:50:28 EDT</t>
  </si>
  <si>
    <t>2004-07-07 13:46 EDT</t>
  </si>
  <si>
    <t>[('CREATED', '2004-07-07 13:46 EDT'), ('RESOLVED', '2004-07-08 11:50:28 EDT', 'dirk_baeumer'), ('INVALID', '2004-07-08 11:50:28 EDT', 'dirk_baeumer')]</t>
  </si>
  <si>
    <t>2004-07-08 05:51:41 EDT</t>
  </si>
  <si>
    <t>2009-08-30 02:33:52 EDT</t>
  </si>
  <si>
    <t>2004-07-07 16:04 EDT</t>
  </si>
  <si>
    <t>[('CREATED', '2004-07-07 16:04 EDT'), ('RESOLVED', '2004-07-08 05:51:41 EDT', 'dirk_baeumer'), ('LATER', '2004-07-08 05:51:41 EDT', 'dirk_baeumer'), ('WONTFIX', '2009-08-30 02:33:52 EDT', 'webmaster')]</t>
  </si>
  <si>
    <t>2006-04-05 08:55:57 EDT</t>
  </si>
  <si>
    <t>2004-07-08 08:35 EDT</t>
  </si>
  <si>
    <t>2004-07-12 06:12:09 EDT</t>
  </si>
  <si>
    <t>[('CREATED', '2004-07-08 08:35 EDT'), ('dirk_baeumer', '2004-07-12 06:12:09 EDT', 'dirk_baeumer'), ('Allow Inline refactoring to use attached source [refactoring]', '2004-07-12 06:12:09 EDT', 'dirk_baeumer'), ('RESOLVED', '2006-04-05 08:55:57 EDT', 'dirk_baeumer'), ('WORKSFORME', '2006-04-05 08:55:57 EDT', 'dirk_baeumer')]</t>
  </si>
  <si>
    <t>2004-07-08 20:08 EDT</t>
  </si>
  <si>
    <t>2004-07-17 14:06:23 EDT</t>
  </si>
  <si>
    <t>2007-06-14 10:46:41 EDT</t>
  </si>
  <si>
    <t>[('CREATED', '2004-07-08 20:08 EDT'), ('3.1', '2004-07-17 14:06:23 EDT', 'dirk_baeumer'), ('markus_keller', '2004-07-17 14:06:23 EDT', 'dirk_baeumer'), ('"Push down"/Add Requried needs to be smarter [refactoring]', '2004-07-17 14:06:23 EDT', 'dirk_baeumer'), ('ASSIGNED', '2004-08-18 09:21:37 EDT', 'markus.kell.r'), ('tobias_widmer', '2005-05-02 11:16:59 EDT', 'markus.kell.r'), ('NEW', '2005-05-02 11:16:59 EDT', 'markus.kell.r'), ('enhancement', '2005-05-27 10:15:02 EDT', 'tobias_widmer'), ('3.2', '2005-05-27 10:15:02 EDT', 'tobias_widmer'), ('3.3', '2006-04-20 05:00:38 EDT', 'tobias_widmer'), ('ASSIGNED', '2006-05-29 04:59:24 EDT', 'tobias_widmer'), ('[push down][refactoring] Increase visibility action for Add Required...', '2006-05-29 04:59:24 EDT', 'tobias_widmer'), ('[push down] increase visibility action for Add Required... [refactoring]', '2006-05-29 05:19:28 EDT', 'tobias_widmer'), ('---', '2007-02-16 04:01:04 EST', 'martinae'), ('jdt-ui-inbox', '2007-06-14 10:46:41 EDT', 'martinae'), ('NEW', '2007-06-14 10:46:41 EDT', 'martinae')]</t>
  </si>
  <si>
    <t>2004-08-23 08:38:38 EDT</t>
  </si>
  <si>
    <t>2004-07-08 20:31 EDT</t>
  </si>
  <si>
    <t>2004-07-12 05:45:45 EDT</t>
  </si>
  <si>
    <t>[('CREATED', '2004-07-08 20:31 EDT'), ('markus_keller', '2004-07-12 05:45:45 EDT', 'dirk_baeumer'), ('"pull up" field placement [refactoring]', '2004-07-12 05:45:45 EDT', 'dirk_baeumer'), ('3.1', '2004-07-12 05:45:45 EDT', 'dirk_baeumer'), ('RESOLVED', '2004-08-23 08:38:38 EDT', 'markus.kell.r'), ('FIXED', '2004-08-23 08:38:38 EDT', 'markus.kell.r'), ('3.1 M2', '2004-08-23 08:38:38 EDT', 'markus.kell.r')]</t>
  </si>
  <si>
    <t>2004-07-12 05:43:28 EDT</t>
  </si>
  <si>
    <t>2004-07-09 03:14 EDT</t>
  </si>
  <si>
    <t>[('CREATED', '2004-07-09 03:14 EDT'), ('RESOLVED', '2004-07-12 05:43:28 EDT', 'dirk_baeumer'), ('INVALID', '2004-07-12 05:43:28 EDT', 'dirk_baeumer')]</t>
  </si>
  <si>
    <t>2005-05-25 12:36:31 EDT</t>
  </si>
  <si>
    <t>2004-07-09 03:52 EDT</t>
  </si>
  <si>
    <t>2004-07-12 05:42:11 EDT</t>
  </si>
  <si>
    <t>[('CREATED', '2004-07-09 03:52 EDT'), (nan, '2004-07-12 05:42:11 EDT', 'dirk_baeumer'), ('markus_keller', '2004-07-12 05:42:11 EDT', 'dirk_baeumer'), ('ASSIGNED', '2004-07-12 10:19:08 EDT', 'markus.kell.r'), ('dirk_baeumer', '2005-05-25 09:29:24 EDT', 'dirk_baeumer'), ('tobias_widmer', '2005-05-25 09:29:24 EDT', 'dirk_baeumer'), ('NEW', '2005-05-25 09:29:24 EDT', 'dirk_baeumer'), ('RESOLVED', '2005-05-25 12:36:31 EDT', 'tobias_widmer'), ('WONTFIX', '2005-05-25 12:36:31 EDT', 'tobias_widmer')]</t>
  </si>
  <si>
    <t>2004-07-12 05:07:23 EDT</t>
  </si>
  <si>
    <t>2009-08-30 02:20:12 EDT</t>
  </si>
  <si>
    <t>2004-07-09 16:46 EDT</t>
  </si>
  <si>
    <t>2004-07-09 17:27:47 EDT</t>
  </si>
  <si>
    <t>[('CREATED', '2004-07-09 16:46 EDT'), ('jdt-ui-inbox', '2004-07-09 17:27:47 EDT', 'philippe_mulet'), ('UI', '2004-07-09 17:27:47 EDT', 'philippe_mulet'), ('RESOLVED', '2004-07-12 05:07:23 EDT', 'dirk_baeumer'), ('P4', '2004-07-12 05:07:23 EDT', 'dirk_baeumer'), ('LATER', '2004-07-12 05:07:23 EDT', 'dirk_baeumer'), ('Drag&amp;Drop refactoring [refactoring]', '2004-07-12 05:07:23 EDT', 'dirk_baeumer'), ('WONTFIX', '2009-08-30 02:20:12 EDT', 'denis.roy')]</t>
  </si>
  <si>
    <t>2004-07-19 06:40:43 EDT</t>
  </si>
  <si>
    <t>2009-08-30 02:20:55 EDT</t>
  </si>
  <si>
    <t>2004-07-11 14:38 EDT</t>
  </si>
  <si>
    <t>2004-07-12 07:13:40 EDT</t>
  </si>
  <si>
    <t>[('CREATED', '2004-07-11 14:38 EDT'), ('daniel_megert', '2004-07-12 07:13:40 EDT', 'daniel_megert'), ('jdt-ui-inbox', '2004-07-12 07:13:40 EDT', 'daniel_megert'), ('UI', '2004-07-12 07:13:40 EDT', 'daniel_megert'), ('RESOLVED', '2004-07-19 06:40:43 EDT', 'dirk_baeumer'), ('P4', '2004-07-19 06:40:43 EDT', 'dirk_baeumer'), ('LATER', '2004-07-19 06:40:43 EDT', 'dirk_baeumer'), ('[Externalize Strings] Configurable defaults wanted [nls] [refactoring]', '2004-07-19 06:40:59 EDT', 'dirk_baeumer'), ('WONTFIX', '2009-08-30 02:20:55 EDT', 'denis.roy')]</t>
  </si>
  <si>
    <t>2004-10-14 13:21:49 EDT</t>
  </si>
  <si>
    <t>2004-07-12 06:18 EDT</t>
  </si>
  <si>
    <t>2004-07-12 08:57:58 EDT</t>
  </si>
  <si>
    <t>[('CREATED', '2004-07-12 06:18 EDT'), ('martin_aeschlimann', '2004-07-12 08:57:58 EDT', 'dirk_baeumer'), ('Externalize Strings Wizard: should not touch escaped characters [nls] [refactoring]', '2004-07-12 08:57:58 EDT', 'dirk_baeumer'), ('fraenkel', '2004-07-12 14:27:08 EDT', 'fraenkel'), ('FIXED', '2004-10-14 13:21:49 EDT', 'martinae'), ('3.1 M3', '2004-10-14 13:21:49 EDT', 'martinae'), ('RESOLVED', '2004-10-14 13:21:49 EDT', 'martinae')]</t>
  </si>
  <si>
    <t>2004-07-21 06:17:07 EDT</t>
  </si>
  <si>
    <t>2004-07-13 15:27 EDT</t>
  </si>
  <si>
    <t>2004-07-13 15:35:24 EDT</t>
  </si>
  <si>
    <t>[('CREATED', '2004-07-13 15:27 EDT'), ('jdt-ui-inbox', '2004-07-13 15:35:24 EDT', 'eclipse'), ('UI', '2004-07-13 15:35:24 EDT', 'eclipse'), ('JDT', '2004-07-13 15:35:24 EDT', 'eclipse'), ('imports wrong after refactoring [refactoring]', '2004-07-14 04:52:40 EDT', 'dirk_baeumer'), ('ASSIGNED', '2004-07-14 04:52:40 EDT', 'dirk_baeumer'), ('markus_keller', '2004-07-20 13:16:13 EDT', 'dirk_baeumer'), ('NEW', '2004-07-20 13:16:13 EDT', 'dirk_baeumer'), ('RESOLVED', '2004-07-21 06:17:07 EDT', 'markus.kell.r'), ('DUPLICATE', '2004-07-21 06:17:07 EDT', 'markus.kell.r'), ('3.1', '2004-07-21 06:17:07 EDT', 'markus.kell.r')]</t>
  </si>
  <si>
    <t>2006-01-03 10:07:35 EST</t>
  </si>
  <si>
    <t>2005-03-21 04:15:23 EST</t>
  </si>
  <si>
    <t>2004-07-15 13:54 EDT</t>
  </si>
  <si>
    <t>2004-07-16 15:53:18 EDT</t>
  </si>
  <si>
    <t>[('CREATED', '2004-07-15 13:54 EDT'), ('jdt-ui-inbox', '2004-07-16 15:53:18 EDT', 'frederic_fusier'), ('UI', '2004-07-16 15:53:18 EDT', 'frederic_fusier'), ('Add "Deprecate" to Rename refactoring [refactoring]', '2004-07-19 08:36:32 EDT', 'dirk_baeumer'), ('RESOLVED', '2004-07-19 08:36:32 EDT', 'dirk_baeumer'), ('P4', '2004-07-19 08:36:32 EDT', 'dirk_baeumer'), ('LATER', '2004-07-19 08:36:32 EDT', 'dirk_baeumer'), ('work', '2005-01-19 12:18:47 EST', 'user'), ('bena', '2005-01-20 15:02:25 EST', 'Ben.Aveling'), ('markus_keller', '2005-01-21 04:53:37 EST', 'dirk_baeumer'), ('REOPENED', '2005-03-21 04:15:23 EST', 'markus.kell.r'), ('---', '2005-03-21 04:15:23 EST', 'markus.kell.r'), ('3.1 M7', '2005-03-21 04:15:23 EST', 'markus.kell.r'), ('ASSIGNED', '2005-04-08 06:08:26 EDT', 'markus.kell.r'), ('---', '2005-04-08 06:08:26 EDT', 'markus.kell.r'), ('philip_mayer', '2005-12-16 08:19:43 EST', 'markus.kell.r'), ('NEW', '2005-12-16 08:19:43 EST', 'markus.kell.r'), ('P3', '2005-12-16 08:19:43 EST', 'markus.kell.r'), ('3.2 M5', '2005-12-16 08:19:43 EST', 'markus.kell.r'), ('1', '2006-01-03 06:16:48 EST', 'eclipsetalk2'), ('RESOLVED', '2006-01-03 10:07:35 EST', 'markus.kell.r'), ('FIXED', '2006-01-03 10:07:35 EST', 'markus.kell.r')]</t>
  </si>
  <si>
    <t>73367 (view as bug list)</t>
  </si>
  <si>
    <t>2020-01-24 08:40:26 EST</t>
  </si>
  <si>
    <t>2004-07-15 15:16 EDT</t>
  </si>
  <si>
    <t>2004-07-19 10:37:24 EDT</t>
  </si>
  <si>
    <t>[('CREATED', '2004-07-15 15:16 EDT'), ('ASSIGNED', '2004-07-19 10:37:24 EDT', 'dirk_baeumer'), ('P4', '2004-07-19 10:37:24 EDT', 'dirk_baeumer'), ("Can't rename Jar files which are on the build path &amp; located in root of project [reorg]", '2004-07-19 10:37:24 EDT', 'dirk_baeumer'), ("[reorg] Can't rename Jar files which are on the build path &amp; located in root of project", '2006-06-15 02:08:27 EDT', 'martinae'), ('tobias_widmer', '2006-06-15 02:08:47 EDT', 'martinae'), ('NEW', '2006-06-15 02:08:47 EDT', 'martinae'), ('ASSIGNED', '2006-06-15 03:54:41 EDT', 'tobias_widmer'), ('[reorg] cannot rename Jar files which are on the build path and located in root of project [refactoring]', '2006-06-15 03:54:41 EDT', 'tobias_widmer'), ('mhilpert', '2006-06-15 11:18:33 EDT', 'martinae'), ('jdt-ui-inbox', '2007-06-14 10:47:07 EDT', 'martinae'), ('NEW', '2007-06-14 10:47:07 EDT', 'martinae'), ('CLOSED', '2020-01-24 08:40:26 EST', 'genie'), ('stalebug', '2020-01-24 08:40:26 EST', 'genie'), ('WONTFIX', '2020-01-24 08:40:26 EST', 'genie')]</t>
  </si>
  <si>
    <t>2004-07-19 10:37:50 EDT</t>
  </si>
  <si>
    <t>2004-07-16 01:12 EDT</t>
  </si>
  <si>
    <t>2004-07-19 10:25:18 EDT</t>
  </si>
  <si>
    <t>[('CREATED', '2004-07-16 01:12 EDT'), ('markus_keller', '2004-07-19 10:25:18 EDT', 'dirk_baeumer'), ('Change Method Signature removes too many import statements. [refactoring]', '2004-07-19 10:25:18 EDT', 'dirk_baeumer'), ('3.1', '2004-07-19 10:25:18 EDT', 'dirk_baeumer'), ('RESOLVED', '2004-07-19 10:37:50 EDT', 'markus.kell.r'), ('DUPLICATE', '2004-07-19 10:37:50 EDT', 'markus.kell.r')]</t>
  </si>
  <si>
    <t>2006-08-03 09:54:57 EDT</t>
  </si>
  <si>
    <t>2004-07-19 10:57 EDT</t>
  </si>
  <si>
    <t>2004-07-19 11:22:36 EDT</t>
  </si>
  <si>
    <t>[('CREATED', '2004-07-19 10:57 EDT'), ('dirk_baeumer', '2004-07-19 11:22:36 EDT', 'dirk_baeumer'), ('markus_keller', '2004-07-19 11:22:36 EDT', 'dirk_baeumer'), ("Change Method Signature doesn't prompt for javadoc [refactoring]", '2004-07-19 11:22:36 EDT', 'dirk_baeumer'), ('RESOLVED', '2006-08-03 09:54:57 EDT', 'martinae'), ('LATER', '2006-08-03 09:54:57 EDT', 'martinae'), ("[change method signature] doesn't prompt for javadoc", '2006-08-03 09:54:57 EDT', 'martinae'), ('WONTFIX', '2009-08-30 02:42:40 EDT', 'webmaster'), ('jdt-ui-inbox', '2009-08-30 02:42:40 EDT', 'webmaster')]</t>
  </si>
  <si>
    <t>2004-07-20 09:06:11 EDT</t>
  </si>
  <si>
    <t>2004-07-19 19:45 EDT</t>
  </si>
  <si>
    <t>2004-07-20 07:04:08 EDT</t>
  </si>
  <si>
    <t>[('CREATED', '2004-07-19 19:45 EDT'), ('markus_keller', '2004-07-20 07:04:08 EDT', 'dirk_baeumer'), ('Allow selecting specific return type in Change Method Signature [refactoring]', '2004-07-20 07:04:08 EDT', 'dirk_baeumer'), ('RESOLVED', '2004-07-20 09:06:11 EDT', 'markus.kell.r'), ('WORKSFORME', '2004-07-20 09:06:11 EDT', 'markus.kell.r')]</t>
  </si>
  <si>
    <t>2004-07-26 10:36:58 EDT</t>
  </si>
  <si>
    <t>2004-07-20 18:22 EDT</t>
  </si>
  <si>
    <t>2004-07-21 16:46:16 EDT</t>
  </si>
  <si>
    <t>[('CREATED', '2004-07-20 18:22 EDT'), ('jdt-ui-inbox', '2004-07-21 16:46:16 EDT', 'Olivier_Thomann'), ('UI', '2004-07-21 16:46:16 EDT', 'Olivier_Thomann'), ('dirk_baeumer', '2004-07-22 05:09:36 EDT', 'dirk_baeumer'), ('FIXED', '2004-07-26 10:36:58 EDT', 'dirk_baeumer'), ('RESOLVED', '2004-07-26 10:36:58 EDT', 'dirk_baeumer')]</t>
  </si>
  <si>
    <t>2006-07-20 10:03:23 EDT</t>
  </si>
  <si>
    <t>2004-07-26 03:08 EDT</t>
  </si>
  <si>
    <t>2006-07-11 10:27:52 EDT</t>
  </si>
  <si>
    <t>[('CREATED', '2004-07-26 03:08 EDT'), ('jdt-ui-inbox', '2006-07-11 10:27:52 EDT', 'valentam'), ('UI', '2006-07-11 10:27:52 EDT', 'valentam'), ('JDT', '2006-07-11 10:27:52 EDT', 'valentam'), ('WONTFIX', '2006-07-20 10:03:23 EDT', 'martinae'), ('RESOLVED', '2006-07-20 10:03:23 EDT', 'martinae')]</t>
  </si>
  <si>
    <t>2004-08-01 18:15:37 EDT</t>
  </si>
  <si>
    <t>2009-08-30 02:07:22 EDT</t>
  </si>
  <si>
    <t>2004-07-26 09:44 EDT</t>
  </si>
  <si>
    <t>2004-07-26 11:06:02 EDT</t>
  </si>
  <si>
    <t>[('CREATED', '2004-07-26 09:44 EDT'), ('UI', '2004-07-26 11:06:02 EDT', 'frederic_fusier'), ('jdt-ui-inbox', '2004-07-26 12:06:32 EDT', 'frederic_fusier'), ('frederic_fusier', '2004-07-26 12:07:16 EDT', 'frederic_fusier'), ('RESOLVED', '2004-08-01 18:15:37 EDT', 'dirk_baeumer'), ('REMIND', '2004-08-01 18:15:37 EDT', 'dirk_baeumer'), ('needinfo', '2009-08-30 02:07:22 EDT', 'denis.roy'), ('INVALID', '2009-08-30 02:07:22 EDT', 'denis.roy')]</t>
  </si>
  <si>
    <t>2005-01-13 05:03:16 EST</t>
  </si>
  <si>
    <t>2004-07-26 10:33 EDT</t>
  </si>
  <si>
    <t>2004-07-27 14:01:06 EDT</t>
  </si>
  <si>
    <t>[('CREATED', '2004-07-26 10:33 EDT'), ('martin_aeschlimann', '2004-07-27 14:01:06 EDT', 'dirk_baeumer'), ('Quick fix "add method" not propagated to implementors [quick fix]', '2004-07-27 14:01:06 EDT', 'dirk_baeumer'), ('RESOLVED', '2005-01-13 05:03:16 EST', 'martinae'), ('WONTFIX', '2005-01-13 05:03:16 EST', 'martinae')]</t>
  </si>
  <si>
    <t>68905 (view as bug list)</t>
  </si>
  <si>
    <t>2004-08-23 09:34:24 EDT</t>
  </si>
  <si>
    <t>2004-07-27 13:17 EDT</t>
  </si>
  <si>
    <t>2004-08-05 12:16:12 EDT</t>
  </si>
  <si>
    <t>[('CREATED', '2004-07-27 13:17 EDT'), ('1', '2004-08-05 12:16:12 EDT', 'dirk_baeumer'), ('1', '2004-08-05 12:16:47 EDT', 'dirk_baeumer'), ('Convert to Enhanced For [quick assist]', '2004-08-16 06:04:38 EDT', 'dirk_baeumer'), ('akiezun', '2004-08-16 06:04:53 EDT', 'dirk_baeumer'), ('martin_aeschlimann', '2004-08-23 09:34:24 EDT', 'dirk_baeumer'), ('RESOLVED', '2004-08-23 09:34:24 EDT', 'dirk_baeumer'), ('FIXED', '2004-08-23 09:34:24 EDT', 'dirk_baeumer'), ('3.1 M2', '2004-08-23 09:34:24 EDT', 'dirk_baeumer')]</t>
  </si>
  <si>
    <t>2004-08-11 03:18:45 EDT</t>
  </si>
  <si>
    <t>2004-07-29 19:49 EDT</t>
  </si>
  <si>
    <t>2004-08-10 20:05:15 EDT</t>
  </si>
  <si>
    <t>[('CREATED', '2004-07-29 19:49 EDT'), ('chane', '2004-08-10 20:05:15 EDT', 'chane'), ('DUPLICATE', '2004-08-11 03:18:45 EDT', 'markus.kell.r'), ('RESOLVED', '2004-08-11 03:18:45 EDT', 'markus.kell.r')]</t>
  </si>
  <si>
    <t>2004-08-01 17:58:50 EDT</t>
  </si>
  <si>
    <t>2004-07-31 05:07 EDT</t>
  </si>
  <si>
    <t>2004-07-31 05:12:42 EDT</t>
  </si>
  <si>
    <t>[('CREATED', '2004-07-31 05:07 EDT'), ('major', '2004-07-31 05:12:42 EDT', 'chris_42'), ('jdt-ui-inbox', '2004-08-01 11:45:58 EDT', 'Olivier_Thomann'), ('UI', '2004-08-01 11:45:58 EDT', 'Olivier_Thomann'), ('RESOLVED', '2004-08-01 17:58:50 EDT', 'dirk_baeumer'), ('FIXED', '2004-08-01 17:58:50 EDT', 'dirk_baeumer')]</t>
  </si>
  <si>
    <t>2006-08-03 12:01:38 EDT</t>
  </si>
  <si>
    <t>2004-07-31 09:51 EDT</t>
  </si>
  <si>
    <t>2004-08-01 18:00:55 EDT</t>
  </si>
  <si>
    <t>[('CREATED', '2004-07-31 09:51 EDT'), ('markus_keller', '2004-08-01 18:00:55 EDT', 'dirk_baeumer'), ('WORKSFORME', '2006-08-03 12:01:38 EDT', 'martinae'), ('RESOLVED', '2006-08-03 12:01:38 EDT', 'martinae')]</t>
  </si>
  <si>
    <t>2004-07-31 13:53 EDT</t>
  </si>
  <si>
    <t>2004-08-01 11:48:16 EDT</t>
  </si>
  <si>
    <t>2006-06-23 14:09:32 EDT</t>
  </si>
  <si>
    <t>[('CREATED', '2004-07-31 13:53 EDT'), ('jdt-ui-inbox', '2004-08-01 11:48:16 EDT', 'Olivier_Thomann'), ('UI', '2004-08-01 11:48:16 EDT', 'Olivier_Thomann'), ('erich_gamma', '2004-08-01 18:02:37 EDT', 'dirk_baeumer'), ('Lauch config not in sync after class name refactoring [JUnit]', '2004-08-01 18:02:37 EDT', 'dirk_baeumer'), ('P2', '2005-04-26 05:29:14 EDT', 'erich_gamma'), ('dirk_baeumer', '2005-05-27 03:55:57 EDT', 'david'), ('enhancement', '2005-05-27 04:19:44 EDT', 'dirk_baeumer'), ('P3', '2005-05-27 04:19:44 EDT', 'dirk_baeumer'), ('JUnit results view not in sync after class name refactoring [JUnit]', '2005-05-27 04:19:44 EDT', 'dirk_baeumer'), ('3.2', '2006-05-24 05:48:31 EDT', 'erich_gamma'), ('jdt-ui-inbox', '2006-05-24 05:48:31 EDT', 'erich_gamma'), ('ASSIGNED', '2006-06-23 14:09:32 EDT', 'martinae'), ('[JUnit] JUnit results view not in sync after class name refactoring', '2006-06-23 14:09:32 EDT', 'martinae')]</t>
  </si>
  <si>
    <t>RESOLVED  DUPLICATE  of bug 71016</t>
  </si>
  <si>
    <t>2004-08-02 10:45:59 EDT</t>
  </si>
  <si>
    <t>2004-08-02 07:40 EDT</t>
  </si>
  <si>
    <t>[('CREATED', '2004-08-02 07:40 EDT'), ('RESOLVED', '2004-08-02 10:45:59 EDT', 'dirk_baeumer'), ('DUPLICATE', '2004-08-02 10:45:59 EDT', 'dirk_baeumer')]</t>
  </si>
  <si>
    <t>2004-08-03 12:46:32 EDT</t>
  </si>
  <si>
    <t>2009-08-30 02:41:47 EDT</t>
  </si>
  <si>
    <t>2004-08-03 09:33 EDT</t>
  </si>
  <si>
    <t>[('CREATED', '2004-08-03 09:33 EDT'), ('RESOLVED', '2004-08-03 12:46:32 EDT', 'dirk_baeumer'), ('P5', '2004-08-03 12:46:32 EDT', 'dirk_baeumer'), ('LATER', '2004-08-03 12:46:32 EDT', 'dirk_baeumer'), ('implement internationalization-managment-system [nls] [refactoring]', '2004-08-03 12:46:32 EDT', 'dirk_baeumer'), ('WONTFIX', '2009-08-30 02:41:47 EDT', 'webmaster')]</t>
  </si>
  <si>
    <t>2006-08-03 10:45:20 EDT</t>
  </si>
  <si>
    <t>2004-08-05 12:15 EDT</t>
  </si>
  <si>
    <t>2004-08-05 16:13:34 EDT</t>
  </si>
  <si>
    <t>[('CREATED', '2004-08-05 12:15 EDT'), ('jdt-ui-inbox', '2004-08-05 16:13:34 EDT', 'Olivier_Thomann'), ('UI', '2004-08-05 16:13:34 EDT', 'Olivier_Thomann'), ('markus_keller', '2004-08-05 18:54:46 EDT', 'dirk_baeumer'), ('JDK 5.0: Refactoring Tool to convert Collections to Parameterized types. [refactoring]', '2004-08-05 18:54:46 EDT', 'dirk_baeumer'), ('RESOLVED', '2006-08-03 10:45:20 EDT', 'martinae'), ('FIXED', '2006-08-03 10:45:20 EDT', 'martinae'), ('[infer type arguments] JDK 5.0: Refactoring Tool to convert Collections to Parameterized types. [refactoring]', '2006-08-03 10:45:20 EDT', 'martinae'), ('3.1', '2006-08-03 10:45:20 EDT', 'martinae')]</t>
  </si>
  <si>
    <t>2006-06-15 14:54:16 EDT</t>
  </si>
  <si>
    <t>2004-08-05 13:10 EDT</t>
  </si>
  <si>
    <t>2004-08-05 16:14:41 EDT</t>
  </si>
  <si>
    <t>[('CREATED', '2004-08-05 13:10 EDT'), ('jdt-ui-inbox', '2004-08-05 16:14:41 EDT', 'Olivier_Thomann'), ('UI', '2004-08-05 16:14:41 EDT', 'Olivier_Thomann'), ('martin_aeschlimann', '2004-09-14 13:13:29 EDT', 'dirk_baeumer'), ('ASSIGNED', '2005-04-28 13:11:05 EDT', 'dirk_baeumer'), ('[organize import] Organize Imports in current and sub-directories.', '2005-04-28 13:11:05 EDT', 'dirk_baeumer'), ('RESOLVED', '2006-06-15 14:54:16 EDT', 'martinae'), ('WONTFIX', '2006-06-15 14:54:16 EDT', 'martinae')]</t>
  </si>
  <si>
    <t>2004-08-05 16:38 EDT</t>
  </si>
  <si>
    <t>2004-08-05 17:13:15 EDT</t>
  </si>
  <si>
    <t>2007-06-14 10:45:31 EDT</t>
  </si>
  <si>
    <t>[('CREATED', '2004-08-05 16:38 EDT'), ('jdt-ui-inbox', '2004-08-05 17:13:15 EDT', 'dj.houghton'), ('UI', '2004-08-05 17:13:15 EDT', 'dj.houghton'), ('JDT', '2004-08-05 17:13:15 EDT', 'dj.houghton'), ('markus_keller', '2004-08-12 07:17:35 EDT', 'dirk_baeumer'), ('"Refactor &gt; Move", move final field to interface: convert private to public [refactoring]', '2004-08-12 07:17:35 EDT', 'dirk_baeumer'), ('ASSIGNED', '2004-08-12 08:23:11 EDT', 'markus.kell.r'), ('tobias_widmer', '2006-08-03 09:37:05 EDT', 'martinae'), ('NEW', '2006-08-03 09:37:05 EDT', 'martinae'), ('[move static members] move a private field to interface: change visibility to public', '2006-08-03 09:37:05 EDT', 'martinae'), ('jdt-ui-inbox', '2007-06-14 10:45:31 EDT', 'martinae')]</t>
  </si>
  <si>
    <t>CLOSED  DUPLICATE  of bug 418692</t>
  </si>
  <si>
    <t>2013-10-11 07:33:14 EDT</t>
  </si>
  <si>
    <t>2004-08-06 11:36 EDT</t>
  </si>
  <si>
    <t>2004-08-06 11:36:23 EDT</t>
  </si>
  <si>
    <t>manju656</t>
  </si>
  <si>
    <t>[('CREATED', '2004-08-06 11:36 EDT'), ('chris_king', '2004-08-06 11:36:23 EDT', 'channingwalton'), ('jdt-ui-inbox', '2004-08-06 11:41:54 EDT', 'daniel_megert'), ('UI', '2004-08-06 11:41:54 EDT', 'daniel_megert'), ('Extract method not finding duplicate [refactoring]', '2004-08-12 07:18:32 EDT', 'dirk_baeumer'), ('dirk_baeumer', '2004-08-12 07:18:32 EDT', 'dirk_baeumer'), ('[refactoring] [extract method] Extract method not finding duplicate', '2006-04-05 08:56:50 EDT', 'dirk_baeumer'), ('jdt-ui-inbox', '2006-06-02 06:08:39 EDT', 'martinae'), ('[extract method] Extract method not finding duplicate', '2006-06-02 06:08:39 EDT', 'martinae'), ('markus_keller', '2007-05-09 11:05:02 EDT', 'markus.kell.r'), ('markus_keller', '2007-05-09 11:05:02 EDT', 'markus.kell.r'), ('3.3 RC1', '2007-05-09 11:05:02 EDT', 'markus.kell.r'), ('3.3 RC2', '2007-05-16 09:46:58 EDT', 'martinae'), ('3.4', '2007-05-24 09:40:47 EDT', 'martinae'), ('3.5', '2008-05-10 12:26:01 EDT', 'markus.kell.r'), ('---', '2009-05-06 06:58:37 EDT', 'markus.kell.r'), ('Brian.Miller', '2010-01-06 17:34:46 EST', 'Brian.Miller'), ('CLOSED', '2013-10-11 07:33:14 EDT', 'manju656'), ('manju_mathew', '2013-10-11 07:33:14 EDT', 'manju656'), ('DUPLICATE', '2013-10-11 07:33:14 EDT', 'manju656')]</t>
  </si>
  <si>
    <t>2004-08-09 05:24:38 EDT</t>
  </si>
  <si>
    <t>2004-08-07 04:02 EDT</t>
  </si>
  <si>
    <t>[('CREATED', '2004-08-07 04:02 EDT'), ('RESOLVED', '2004-08-09 05:24:38 EDT', 'markus.kell.r'), ('DUPLICATE', '2004-08-09 05:24:38 EDT', 'markus.kell.r')]</t>
  </si>
  <si>
    <t>141874 390677 432971 (view as bug list)</t>
  </si>
  <si>
    <t>2014-07-21 07:38:19 EDT</t>
  </si>
  <si>
    <t>2004-11-02 11:12:23 EST</t>
  </si>
  <si>
    <t>2009-03-06 05:37:25 EST</t>
  </si>
  <si>
    <t>2004-08-09 05:15 EDT</t>
  </si>
  <si>
    <t>2004-08-12 07:06:50 EDT</t>
  </si>
  <si>
    <t>[('CREATED', '2004-08-09 05:15 EDT'), ('Should have Code Style preference for "public static final abstract" interface members [code manipulation]', '2004-08-12 07:06:50 EDT', 'dirk_baeumer'), ('martin_aeschlimann', '2004-09-14 13:17:06 EDT', 'dirk_baeumer'), ('RESOLVED', '2004-11-02 11:12:23 EST', 'dirk_baeumer'), ('WONTFIX', '2004-11-02 11:12:23 EST', 'dirk_baeumer'), ('max.gilead', '2009-03-06 05:36:10 EST', 'markus.kell.r'), ('REOPENED', '2009-03-06 05:37:25 EST', 'markus.kell.r'), ('---', '2009-03-06 05:37:25 EST', 'markus.kell.r'), ('ASSIGNED', '2009-03-06 05:37:34 EST', 'markus.kell.r'), ('267335', '2009-03-06 05:38:00 EST', 'markus.kell.r'), ('bugday', '2012-10-09 14:15:09 EDT', 'markus.kell.r'), (nan, '2012-10-09 14:15:09 EDT', 'markus.kell.r'), ('[code style] don\'t generate redundant modifiers "public static final abstract" for interface members', '2012-10-09 14:15:09 EDT', 'markus.kell.r'), ('charbelgereige', '2012-10-09 14:15:31 EDT', 'markus.kell.r'), ('jerome.cambon', '2014-04-09 04:44:14 EDT', 'jerome.cambon'), ('manju_mathew', '2014-04-17 04:56:55 EDT', 'daniel_megert'), ('daniel_megert, noopur_gupta', '2014-04-30 04:34:33 EDT', 'noopur_gupta'), ('All', '2014-04-30 04:34:33 EDT', 'noopur_gupta'), ('jerome.cambon', '2014-04-30 04:34:33 EDT', 'noopur_gupta'), ('All', '2014-04-30 04:34:33 EDT', 'noopur_gupta'), ('review?(manju_mathew)', '2014-05-27 22:29:14 EDT', 'manju656'), ('1', '2014-06-04 08:35:27 EDT', 'jerome.cambon'), ('review?', '2014-06-04 08:35:27 EDT', 'jerome.cambon'), ('review?', '2014-06-16 10:07:31 EDT', 'jerome.cambon'), ('1', '2014-06-23 06:23:20 EDT', 'jerome.cambon'), (nan, '2014-06-23 06:23:20 EDT', 'jerome.cambon'), ('1', '2014-06-23 06:23:20 EDT', 'jerome.cambon'), (nan, '2014-06-23 06:23:20 EDT', 'jerome.cambon'), ('review?', '2014-06-23 06:23:20 EDT', 'jerome.cambon'), ('1', '2014-06-23 06:33:09 EDT', 'jerome.cambon'), (nan, '2014-06-23 06:33:09 EDT', 'jerome.cambon'), ('1', '2014-06-26 03:57:23 EDT', 'jerome.cambon'), ('review?', '2014-06-26 03:57:23 EDT', 'jerome.cambon'), ('1', '2014-07-07 06:15:15 EDT', 'jerome.cambon'), (nan, '2014-07-07 06:15:15 EDT', 'jerome.cambon'), ('review?', '2014-07-07 06:15:15 EDT', 'jerome.cambon'), ('FIXED', '2014-07-21 07:38:19 EDT', 'manju656'), ('4.5 M1', '2014-07-21 07:38:19 EDT', 'manju656'), ('review+', '2014-07-21 07:38:19 EDT', 'manju656'), ('RESOLVED', '2014-07-21 07:38:19 EDT', 'manju656')]</t>
  </si>
  <si>
    <t>2004-11-25 15:44:22 EST</t>
  </si>
  <si>
    <t>2004-08-10 12:35:25 EDT</t>
  </si>
  <si>
    <t>2004-11-25 15:44:05 EST</t>
  </si>
  <si>
    <t>2004-08-09 12:22 EDT</t>
  </si>
  <si>
    <t>2004-08-10 03:45:12 EDT</t>
  </si>
  <si>
    <t>[('CREATED', '2004-08-09 12:22 EDT'), ('markus_keller', '2004-08-10 03:45:12 EDT', 'markus.kell.r'), ('RESOLVED', '2004-08-10 12:35:25 EDT', 'david'), ('WORKSFORME', '2004-08-10 12:35:25 EDT', 'david'), ('REOPENED', '2004-11-25 15:44:05 EST', 'markus.kell.r'), ('---', '2004-11-25 15:44:05 EST', 'markus.kell.r'), ('RESOLVED', '2004-11-25 15:44:22 EST', 'markus.kell.r'), ('DUPLICATE', '2004-11-25 15:44:22 EST', 'markus.kell.r')]</t>
  </si>
  <si>
    <t>2004-08-11 11:55:13 EDT</t>
  </si>
  <si>
    <t>2004-08-11 05:46 EDT</t>
  </si>
  <si>
    <t>2004-08-11 11:01:26 EDT</t>
  </si>
  <si>
    <t>[('CREATED', '2004-08-11 05:46 EDT'), ('jdt-ui-inbox', '2004-08-11 11:01:26 EDT', 'Olivier_Thomann'), ('UI', '2004-08-11 11:01:26 EDT', 'Olivier_Thomann'), ('RESOLVED', '2004-08-11 11:55:13 EDT', 'markus.kell.r'), ('DUPLICATE', '2004-08-11 11:55:13 EDT', 'markus.kell.r')]</t>
  </si>
  <si>
    <t>2004-09-14 13:22:15 EDT</t>
  </si>
  <si>
    <t>2009-08-30 02:20:43 EDT</t>
  </si>
  <si>
    <t>2004-08-11 07:42 EDT</t>
  </si>
  <si>
    <t>2004-08-11 11:01:55 EDT</t>
  </si>
  <si>
    <t>[('CREATED', '2004-08-11 07:42 EDT'), ('jdt-ui-inbox', '2004-08-11 11:01:55 EDT', 'Olivier_Thomann'), ('UI', '2004-08-11 11:01:55 EDT', 'Olivier_Thomann'), ('RESOLVED', '2004-09-14 13:22:15 EDT', 'dirk_baeumer'), ('helpwanted', '2004-09-14 13:22:15 EDT', 'dirk_baeumer'), ('LATER', '2004-09-14 13:22:15 EDT', 'dirk_baeumer'), ('Add "Introduce return value" refactoring [refactoring]', '2004-09-14 13:22:15 EDT', 'dirk_baeumer'), ('WONTFIX', '2009-08-30 02:20:43 EDT', 'denis.roy')]</t>
  </si>
  <si>
    <t>2004-08-12 13:05:45 EDT</t>
  </si>
  <si>
    <t>2004-08-12 11:36 EDT</t>
  </si>
  <si>
    <t>[('CREATED', '2004-08-12 11:36 EDT'), ('RESOLVED', '2004-08-12 13:05:45 EDT', 'markus.kell.r'), ('DUPLICATE', '2004-08-12 13:05:45 EDT', 'markus.kell.r')]</t>
  </si>
  <si>
    <t>58793 75008 (view as bug list)</t>
  </si>
  <si>
    <t>2005-05-01 12:17:33 EDT</t>
  </si>
  <si>
    <t>2004-08-16 05:59 EDT</t>
  </si>
  <si>
    <t>[('CREATED', '2004-08-16 05:59 EDT'), ('christof_marti', '2004-09-15 07:25:12 EDT', 'dirk_baeumer'), ('dirk_baeumer', '2004-09-15 12:01:06 EDT', 'dirk_baeumer'), ('3.1', '2004-09-15 12:01:06 EDT', 'dirk_baeumer'), ('ggregory', '2004-10-04 13:15:31 EDT', 'dirk_baeumer'), ('1', '2004-10-05 07:04:34 EDT', 'dirk_baeumer'), ('RESOLVED', '2005-05-01 12:17:33 EDT', 'dirk_baeumer'), ('FIXED', '2005-05-01 12:17:33 EDT', 'dirk_baeumer')]</t>
  </si>
  <si>
    <t>CLOSED  DUPLICATE  of bug 33737</t>
  </si>
  <si>
    <t>2004-09-15 12:05:03 EDT</t>
  </si>
  <si>
    <t>2004-09-16 07:24:39 EDT</t>
  </si>
  <si>
    <t>2004-08-16 09:12 EDT</t>
  </si>
  <si>
    <t>2004-09-16 07:25:12 EDT</t>
  </si>
  <si>
    <t>bsh666</t>
  </si>
  <si>
    <t>[('CREATED', '2004-08-16 09:12 EDT'), ('RESOLVED', '2004-09-15 12:05:03 EDT', 'dirk_baeumer'), ('DUPLICATE', '2004-09-15 12:05:03 EDT', 'dirk_baeumer'), ('VERIFIED', '2004-09-16 07:24:39 EDT', 'bsh666'), ('CLOSED', '2004-09-16 07:25:12 EDT', 'bsh666')]</t>
  </si>
  <si>
    <t>2004-08-23 08:21:00 EDT</t>
  </si>
  <si>
    <t>2004-09-02 10:02:48 EDT</t>
  </si>
  <si>
    <t>2004-08-16 11:25 EDT</t>
  </si>
  <si>
    <t>2004-08-16 11:25:36 EDT</t>
  </si>
  <si>
    <t>[('CREATED', '2004-08-16 11:25 EDT'), ('dirk_baeumer', '2004-08-16 11:25:36 EDT', 'dirk_baeumer'), ('UndoManager creates potential memory leak [refactoring]', '2004-08-16 11:25:36 EDT', 'dirk_baeumer'), ('3.0.1', '2004-08-16 11:25:46 EDT', 'dirk_baeumer'), ('1', '2004-08-23 08:20:08 EDT', 'dirk_baeumer'), ('1', '2004-08-23 08:20:25 EDT', 'dirk_baeumer'), ('FIXED', '2004-08-23 08:21:00 EDT', 'dirk_baeumer'), ('RESOLVED', '2004-08-23 08:21:00 EDT', 'dirk_baeumer'), ('VERIFIED', '2004-09-02 10:02:48 EDT', 'markus.kell.r')]</t>
  </si>
  <si>
    <t>RESOLVED  DUPLICATE  of bug 68584</t>
  </si>
  <si>
    <t>72113 (view as bug list)</t>
  </si>
  <si>
    <t>2004-11-01 13:17:23 EST</t>
  </si>
  <si>
    <t>2004-08-17 12:14 EDT</t>
  </si>
  <si>
    <t>2004-08-18 04:36:43 EDT</t>
  </si>
  <si>
    <t>[('CREATED', '2004-08-17 12:14 EDT'), ('dirk_baeumer', '2004-08-18 04:36:43 EDT', 'dirk_baeumer'), ('3.1', '2004-08-18 04:36:43 EDT', 'dirk_baeumer'), ('RESOLVED', '2004-11-01 13:17:23 EST', 'dirk_baeumer'), ('DUPLICATE', '2004-11-01 13:17:23 EST', 'dirk_baeumer')]</t>
  </si>
  <si>
    <t>RESOLVED  DUPLICATE  of bug 72112</t>
  </si>
  <si>
    <t>2004-08-17 12:18:48 EDT</t>
  </si>
  <si>
    <t>2004-08-17 12:17 EDT</t>
  </si>
  <si>
    <t>[('CREATED', '2004-08-17 12:17 EDT'), ('RESOLVED', '2004-08-17 12:18:48 EDT', 'tobias_widmer'), ('DUPLICATE', '2004-08-17 12:18:48 EDT', 'tobias_widmer')]</t>
  </si>
  <si>
    <t>RESOLVED  DUPLICATE  of bug 57464</t>
  </si>
  <si>
    <t>2004-08-30 06:03:59 EDT</t>
  </si>
  <si>
    <t>2004-08-18 00:44 EDT</t>
  </si>
  <si>
    <t>2004-08-18 04:18:13 EDT</t>
  </si>
  <si>
    <t>[('CREATED', '2004-08-18 00:44 EDT'), ('enhancement', '2004-08-18 04:18:13 EDT', 'dirk_baeumer'), ('ASSIGNED', '2004-08-18 04:18:13 EDT', 'dirk_baeumer'), ("Rename class doesn't work if cursor on constructor [refactoring]", '2004-08-18 04:18:13 EDT', 'dirk_baeumer'), ('RESOLVED', '2004-08-30 06:03:59 EDT', 'markus.kell.r'), ('DUPLICATE', '2004-08-30 06:03:59 EDT', 'markus.kell.r')]</t>
  </si>
  <si>
    <t>2005-04-04 03:40:39 EDT</t>
  </si>
  <si>
    <t>2004-08-18 11:55 EDT</t>
  </si>
  <si>
    <t>2004-11-17 04:17:49 EST</t>
  </si>
  <si>
    <t>[('CREATED', '2004-08-18 11:55 EDT'), ('tobias_widmer', '2004-11-17 04:17:49 EST', 'dirk_baeumer'), ('3.1 M5', '2004-11-17 04:17:49 EST', 'dirk_baeumer'), ('3.1 M6', '2005-02-10 09:36:13 EST', 'tobias_widmer'), ('3.1 M7', '2005-03-23 12:53:03 EST', 'tobias_widmer'), ('RESOLVED', '2005-04-04 03:40:39 EDT', 'tobias_widmer'), ('FIXED', '2005-04-04 03:40:39 EDT', 'tobias_widmer')]</t>
  </si>
  <si>
    <t>2005-05-03 03:22:30 EDT</t>
  </si>
  <si>
    <t>2004-08-18 12:25 EDT</t>
  </si>
  <si>
    <t>2004-08-20 06:49:20 EDT</t>
  </si>
  <si>
    <t>[('CREATED', '2004-08-18 12:25 EDT'), ('markus_keller', '2004-08-20 06:49:20 EDT', 'dirk_baeumer'), ("extract local variable doesn't resolve name conflicts [refactoring]", '2004-08-20 06:49:20 EDT', 'dirk_baeumer'), ('3.1', '2004-08-20 06:49:20 EDT', 'dirk_baeumer'), ('ASSIGNED', '2004-08-24 09:41:13 EDT', 'markus.kell.r'), ('RESOLVED', '2005-05-03 03:22:30 EDT', 'markus.kell.r'), ('FIXED', '2005-05-03 03:22:30 EDT', 'markus.kell.r'), ('3.1 M7', '2005-05-03 03:22:30 EDT', 'markus.kell.r')]</t>
  </si>
  <si>
    <t>2004-09-06 06:48:04 EDT</t>
  </si>
  <si>
    <t>2004-08-19 09:27 EDT</t>
  </si>
  <si>
    <t>2004-08-20 06:42:15 EDT</t>
  </si>
  <si>
    <t>[('CREATED', '2004-08-19 09:27 EDT'), ('tobias_widmer', '2004-08-20 06:42:15 EDT', 'dirk_baeumer'), ('[1.5][Pull Up Refactoring] Cannot handle generic super classes [refactoring]', '2004-08-20 06:42:15 EDT', 'dirk_baeumer'), ('3.1 M2', '2004-08-20 06:42:15 EDT', 'dirk_baeumer'), ('RESOLVED', '2004-09-06 06:48:04 EDT', 'tobias_widmer'), ('FIXED', '2004-09-06 06:48:04 EDT', 'tobias_widmer')]</t>
  </si>
  <si>
    <t>2005-02-07 08:42:00 EST</t>
  </si>
  <si>
    <t>2004-08-20 04:56 EDT</t>
  </si>
  <si>
    <t>2004-09-15 12:24:00 EDT</t>
  </si>
  <si>
    <t>[('CREATED', '2004-08-20 04:56 EDT'), ('tip', '2004-09-15 12:24:00 EDT', 'dirk_baeumer'), ('3.1', '2004-09-15 12:24:00 EDT', 'dirk_baeumer'), ('3.1 M4', '2004-09-15 12:37:19 EDT', 'dirk_baeumer'), ('3.1 M5', '2005-01-19 09:27:23 EST', 'dirk_baeumer'), ('dirk_baeumer', '2005-01-28 13:30:29 EST', 'tip'), ('markus_keller', '2005-01-31 06:31:44 EST', 'markus.kell.r'), ('RESOLVED', '2005-02-07 08:42:00 EST', 'dirk_baeumer'), ('FIXED', '2005-02-07 08:42:00 EST', 'dirk_baeumer')]</t>
  </si>
  <si>
    <t>2005-02-07 08:43:49 EST</t>
  </si>
  <si>
    <t>2004-08-20 05:05 EDT</t>
  </si>
  <si>
    <t>2004-09-15 12:36:13 EDT</t>
  </si>
  <si>
    <t>[('CREATED', '2004-08-20 05:05 EDT'), ('tip', '2004-09-15 12:36:13 EDT', 'dirk_baeumer'), ('3.1 M4', '2004-09-15 12:36:13 EDT', 'dirk_baeumer'), ('3.1 M5', '2005-01-19 09:28:35 EST', 'dirk_baeumer'), ('RESOLVED', '2005-02-07 08:43:49 EST', 'dirk_baeumer'), ('FIXED', '2005-02-07 08:43:49 EST', 'dirk_baeumer')]</t>
  </si>
  <si>
    <t>2020-08-17 10:53:34 EDT</t>
  </si>
  <si>
    <t>2020-08-19 14:26:24 EDT</t>
  </si>
  <si>
    <t>2004-08-21 01:50 EDT</t>
  </si>
  <si>
    <t>2004-08-23 04:36:37 EDT</t>
  </si>
  <si>
    <t>rgrunber</t>
  </si>
  <si>
    <t>[('CREATED', '2004-08-21 01:50 EDT'), ('dirk_baeumer', '2004-08-23 04:36:37 EDT', 'dirk_baeumer'), ('tip', '2004-08-23 04:36:37 EDT', 'dirk_baeumer'), ('3.1', '2004-08-23 04:36:37 EDT', 'dirk_baeumer'), ('akiezun, markus_keller', '2004-08-28 13:43:37 EDT', 'tip'), ('3.2', '2005-05-25 09:27:35 EDT', 'dirk_baeumer'), ('3.3', '2006-04-27 13:42:00 EDT', 'martinae'), ('jdt-ui-inbox', '2007-04-02 09:16:49 EDT', 'martinae'), ('[generalize type] introduces duplicate methods in presence of overloading [refactoring]', '2007-04-02 09:16:49 EDT', 'martinae'), ('---', '2007-04-02 09:17:00 EDT', 'martinae'), ('stalebug', '2020-06-15 14:56:07 EDT', 'genie'), ('https://git.eclipse.org/r/c/jdt/eclipse.jdt.ui/+/165862', '2020-07-06 02:53:57 EDT', 'genie'), ('4.17 M3', '2020-07-09 13:07:45 EDT', 'kenneth'), ('kenneth', '2020-07-09 13:07:45 EDT', 'kenneth'), ('kenneth', '2020-07-09 13:07:45 EDT', 'kenneth'), ('https://git.eclipse.org/c/jdt/eclipse.jdt.ui.git/commit/?id=0c492a7e053a1776db4485d5542f78d6179c552e', '2020-07-31 17:02:20 EDT', 'genie'), (nan, '2020-08-17 03:45:39 EDT', 'noopur_gupta'), ('rgrunber', '2020-08-17 03:45:39 EDT', 'noopur_gupta'), ('RESOLVED', '2020-08-17 10:53:34 EDT', 'rgrunber'), ('rgrunber', '2020-08-17 10:53:34 EDT', 'rgrunber'), ('FIXED', '2020-08-17 10:53:34 EDT', 'rgrunber'), ('VERIFIED', '2020-08-19 14:26:24 EDT', 'rgrunber')]</t>
  </si>
  <si>
    <t>2020-03-10 12:37:51 EDT</t>
  </si>
  <si>
    <t>2004-08-21 02:11 EDT</t>
  </si>
  <si>
    <t>2004-08-23 04:35:59 EDT</t>
  </si>
  <si>
    <t>[('CREATED', '2004-08-21 02:11 EDT'), ('dirk_baeumer', '2004-08-23 04:35:59 EDT', 'dirk_baeumer'), ('tip', '2004-08-23 04:35:59 EDT', 'dirk_baeumer'), ('3.1', '2004-08-23 04:35:59 EDT', 'dirk_baeumer'), ('akiezun, markus_keller', '2004-08-28 13:49:30 EDT', 'tip'), ('3.2', '2005-05-25 09:29:57 EDT', 'dirk_baeumer'), ('3.3', '2006-04-27 13:42:14 EDT', 'martinae'), ('jdt-ui-inbox', '2007-04-02 09:17:41 EDT', 'martinae'), ('[generalize type] does not consider inherited methods [refactoring]', '2007-04-02 09:17:41 EDT', 'martinae'), ('---', '2007-04-02 09:17:41 EDT', 'martinae'), ('CLOSED', '2020-03-10 12:37:51 EDT', 'genie'), ('WONTFIX', '2020-03-10 12:37:51 EDT', 'genie'), ('stalebug', '2020-03-10 12:37:51 EDT', 'genie')]</t>
  </si>
  <si>
    <t>2004-09-15 14:01:54 EDT</t>
  </si>
  <si>
    <t>2004-08-24 11:32 EDT</t>
  </si>
  <si>
    <t>2004-09-15 12:46:02 EDT</t>
  </si>
  <si>
    <t>[('CREATED', '2004-08-24 11:32 EDT'), ('markus_keller', '2004-09-15 12:46:02 EDT', 'dirk_baeumer'), ('3.1', '2004-09-15 12:46:02 EDT', 'dirk_baeumer'), ('3.1 M2', '2004-09-15 14:01:54 EDT', 'markus.kell.r'), ('RESOLVED', '2004-09-15 14:01:54 EDT', 'markus.kell.r'), ('FIXED', '2004-09-15 14:01:54 EDT', 'markus.kell.r')]</t>
  </si>
  <si>
    <t>2004-12-10 12:50:59 EST</t>
  </si>
  <si>
    <t>2004-08-24 21:04 EDT</t>
  </si>
  <si>
    <t>2004-11-22 04:59:45 EST</t>
  </si>
  <si>
    <t>[('CREATED', '2004-08-24 21:04 EDT'), ('dirk_baeumer', '2004-11-22 04:59:45 EST', 'martinae'), ('Core', '2004-11-22 04:59:45 EST', 'martinae'), ('UI', '2004-11-22 06:47:32 EST', 'philippe_mulet'), ('Debug', '2004-12-10 06:10:26 EST', 'dirk_baeumer'), ('jdt-debug-inbox', '2004-12-10 06:10:26 EST', 'dirk_baeumer'), ('jdt-ui-inbox', '2004-12-10 08:47:59 EST', 'darin.eclipse'), ('UI', '2004-12-10 08:47:59 EST', 'darin.eclipse'), ('RESOLVED', '2004-12-10 12:50:59 EST', 'dirk_baeumer'), ('FIXED', '2004-12-10 12:50:59 EST', 'dirk_baeumer')]</t>
  </si>
  <si>
    <t>RESOLVED  DUPLICATE  of bug 68592</t>
  </si>
  <si>
    <t>2004-08-26 03:41:36 EDT</t>
  </si>
  <si>
    <t>2004-08-25 11:33 EDT</t>
  </si>
  <si>
    <t>2004-08-25 11:44:08 EDT</t>
  </si>
  <si>
    <t>[('CREATED', '2004-08-25 11:33 EDT'), ('3.1', '2004-08-25 11:44:08 EDT', 'dirk_baeumer'), ('markus_keller', '2004-08-25 11:44:08 EDT', 'dirk_baeumer'), ('rafactor rename throws NPE [refactoring]', '2004-08-25 11:44:08 EDT', 'dirk_baeumer'), ('RESOLVED', '2004-08-26 03:41:36 EDT', 'markus.kell.r'), ('DUPLICATE', '2004-08-26 03:41:36 EDT', 'markus.kell.r')]</t>
  </si>
  <si>
    <t>2004-09-06 05:29:52 EDT</t>
  </si>
  <si>
    <t>2004-08-25 13:26 EDT</t>
  </si>
  <si>
    <t>2004-08-25 13:26:37 EDT</t>
  </si>
  <si>
    <t>[('CREATED', '2004-08-25 13:26 EDT'), ('3.1 M2', '2004-08-25 13:26:37 EDT', 'dirk_baeumer'), ('RESOLVED', '2004-09-06 05:29:52 EDT', 'tobias_widmer'), ('FIXED', '2004-09-06 05:29:52 EDT', 'tobias_widmer')]</t>
  </si>
  <si>
    <t>59899</t>
  </si>
  <si>
    <t>2004-08-26 11:54:24 EDT</t>
  </si>
  <si>
    <t>2004-09-02 11:02:14 EDT</t>
  </si>
  <si>
    <t>2004-08-26 10:38 EDT</t>
  </si>
  <si>
    <t>2004-08-26 10:41:02 EDT</t>
  </si>
  <si>
    <t>[('CREATED', '2004-08-26 10:38 EDT'), ('59899', '2004-08-26 10:41:02 EDT', 'eclipse'), ('wasleski', '2004-08-26 10:56:10 EDT', 'steven.wasleski'), ('3.0.1', '2004-08-26 11:53:04 EDT', 'dirk_baeumer'), ('FIXED', '2004-08-26 11:54:24 EDT', 'dirk_baeumer'), ('RESOLVED', '2004-08-26 11:54:24 EDT', 'dirk_baeumer'), ('VERIFIED', '2004-09-02 11:02:14 EDT', 'markus.kell.r')]</t>
  </si>
  <si>
    <t>2004-11-17 04:27:57 EST</t>
  </si>
  <si>
    <t>2004-08-26 11:23 EDT</t>
  </si>
  <si>
    <t>2004-08-26 11:25:07 EDT</t>
  </si>
  <si>
    <t>[('CREATED', '2004-08-26 11:23 EDT'), ('1', '2004-08-26 11:25:07 EDT', 'Olivier_Thomann'), ('1', '2004-08-26 11:59:51 EDT', 'Olivier_Thomann'), ('Remove some easy deprecations in jdt/ui and refactoring tests', '2004-08-26 12:00:29 EDT', 'Olivier_Thomann'), ('RESOLVED', '2004-11-17 04:27:57 EST', 'dirk_baeumer'), ('FIXED', '2004-11-17 04:27:57 EST', 'dirk_baeumer')]</t>
  </si>
  <si>
    <t>2005-05-23 07:16:56 EDT</t>
  </si>
  <si>
    <t>2005-05-27 06:19:32 EDT</t>
  </si>
  <si>
    <t>2004-08-27 22:38 EDT</t>
  </si>
  <si>
    <t>2004-08-30 05:28:13 EDT</t>
  </si>
  <si>
    <t>[('CREATED', '2004-08-27 22:38 EDT'), ('jdt-ui-inbox', '2004-08-30 05:28:13 EDT', 'jerome_lanneluc'), ('UI', '2004-08-30 05:28:13 EDT', 'jerome_lanneluc'), ('dirk_baeumer', '2004-08-30 06:34:50 EDT', 'dirk_baeumer'), ('3.1', '2005-03-08 18:10:02 EST', 'dirk_baeumer'), ('RESOLVED', '2005-05-23 07:16:56 EDT', 'dirk_baeumer'), ('FIXED', '2005-05-23 07:16:56 EDT', 'dirk_baeumer'), ('3.1 RC1', '2005-05-23 07:16:56 EDT', 'dirk_baeumer'), ('VERIFIED', '2005-05-27 06:19:32 EDT', 'dirk_baeumer')]</t>
  </si>
  <si>
    <t>37911 89512 314920 488981 490034 (view as bug list)</t>
  </si>
  <si>
    <t>496237</t>
  </si>
  <si>
    <t>2016-06-24 04:55:11 EDT</t>
  </si>
  <si>
    <t>2016-08-03 06:53:51 EDT</t>
  </si>
  <si>
    <t>2004-08-29 13:50 EDT</t>
  </si>
  <si>
    <t>2004-08-30 06:37:47 EDT</t>
  </si>
  <si>
    <t>[('CREATED', '2004-08-29 13:50 EDT'), ('erich_gamma', '2004-08-30 06:37:47 EDT', 'dirk_baeumer'), ('Use regular console for JUnit stack trace [JUnit]', '2004-08-30 06:37:47 EDT', 'dirk_baeumer'), ('eu', '2006-05-20 23:53:18 EDT', 'ekuleshov'), ('3.2', '2006-05-20 23:53:18 EDT', 'ekuleshov'), ('jdt-ui-inbox', '2006-05-22 05:39:15 EDT', 'erich_gamma'), ('martin_aeschlimann', '2006-05-22 17:40:28 EDT', 'martinae'), ('markus_keller', '2006-05-22 17:40:28 EDT', 'martinae'), ('[JUnit] Use regular console for JUnit stack trace', '2006-05-26 03:33:18 EDT', 'martinae'), ('dgreen', '2008-04-17 15:14:27 EDT', 'dgreen'), ('avner.at.bugzilla', '2010-02-01 06:14:33 EST', 'avner.at.bugzilla'), ('fix candidate', '2010-06-14 12:26:09 EDT', 'markus.kell.r'), ('philippe_mulet', '2010-06-14 12:28:09 EDT', 'markus.kell.r'), ('evan_hughes', '2010-06-14 12:28:40 EDT', 'markus.kell.r'), ('remysuen', '2010-06-14 12:33:08 EDT', 'remy.suen'), ('k.epost', '2012-04-18 08:11:37 EDT', 'k.epost'), ('d.tonhofer', '2013-01-03 09:18:53 EST', 'bughunt'), ('ASSIGNED', '2013-01-03 09:51:04 EST', 'markus.kell.r'), ('jdt-ui-inbox', '2013-01-03 09:51:04 EST', 'markus.kell.r'), ('markus_keller, noopur_gupta', '2013-07-23 09:56:04 EDT', 'markus.kell.r'), ('daniel_megert', '2013-07-23 10:13:00 EDT', 'daniel_megert'), ("[JUnit] Add 'Show Stack Trace in Console View' toolbar button (was: Use regular console for JUnit stack trace)", '2013-07-23 10:13:00 EDT', 'daniel_megert'), ('vegardh', '2013-09-26 04:32:47 EDT', 'vbhavdal'), ('eero.aaltonen', '2014-01-22 07:43:50 EST', 'eero.aaltonen'), ('fix candidate,bugday', '2014-04-23 06:26:56 EDT', 'daniel_megert'), ('dominik.stadler', '2015-02-05 03:06:44 EST', 'dominik.stadler'), ('eclipse-bugs', '2016-03-04 01:56:20 EST', 'noopur_gupta'), ('keinfarbton', '2016-03-21 02:29:57 EDT', 'noopur_gupta'), ('496237', '2016-06-16 02:27:46 EDT', 'noopur_gupta'), ('noopur_gupta', '2016-06-16 06:01:40 EDT', 'noopur_gupta'), ('4.7 M1', '2016-06-16 06:01:40 EDT', 'noopur_gupta'), ('https://git.eclipse.org/r/75609', '2016-06-21 06:03:25 EDT', 'genie'), ('gautier.desaintmartinlacaze', '2016-06-22 06:10:59 EDT', 'gautier.desaintmartinlacaze'), ('https://git.eclipse.org/c/jdt/eclipse.jdt.ui.git/commit/?id=612e88cd045ffb790ea850866aa72a2b2135ad67', '2016-06-24 04:50:16 EDT', 'genie'), ('RESOLVED', '2016-06-24 04:55:11 EDT', 'noopur_gupta'), ('FIXED', '2016-06-24 04:55:11 EDT', 'noopur_gupta'), (nan, '2016-06-24 04:55:11 EDT', 'noopur_gupta'), ('VERIFIED', '2016-08-03 06:53:51 EDT', 'daniel_megert')]</t>
  </si>
  <si>
    <t>2005-05-19 16:51:51 EDT</t>
  </si>
  <si>
    <t>2004-08-29 13:59 EDT</t>
  </si>
  <si>
    <t>2004-08-30 06:37:07 EDT</t>
  </si>
  <si>
    <t>[('CREATED', '2004-08-29 13:59 EDT'), ('dirk_baeumer', '2004-08-30 06:37:07 EDT', 'dirk_baeumer'), ('Inline method does not work [refactoring]', '2004-08-30 06:37:07 EDT', 'dirk_baeumer'), ('3.1', '2004-08-30 06:37:07 EDT', 'dirk_baeumer'), ('All', '2004-09-01 04:33:39 EDT', 'andre_weinand'), ('All', '2004-09-01 04:33:39 EDT', 'andre_weinand'), ('RESOLVED', '2005-05-19 16:51:51 EDT', 'dirk_baeumer'), ('WORKSFORME', '2005-05-19 16:51:51 EDT', 'dirk_baeumer'), ('3.1 RC1', '2005-05-19 16:51:51 EDT', 'dirk_baeumer')]</t>
  </si>
  <si>
    <t>2004-09-07 14:13:01 EDT</t>
  </si>
  <si>
    <t>2004-08-30 17:08 EDT</t>
  </si>
  <si>
    <t>2004-08-31 05:18:08 EDT</t>
  </si>
  <si>
    <t>[('CREATED', '2004-08-30 17:08 EDT'), ('jdt-ui-inbox', '2004-08-31 05:18:08 EDT', 'jerome_lanneluc'), ('UI', '2004-08-31 05:18:08 EDT', 'jerome_lanneluc'), ('dirk_baeumer', '2004-08-31 14:21:57 EDT', 'dirk_baeumer'), ('Cannot extract static [refactoring]', '2004-08-31 14:21:57 EDT', 'dirk_baeumer'), ('3.1 M2', '2004-08-31 14:21:57 EDT', 'dirk_baeumer'), ('RESOLVED', '2004-09-07 14:13:01 EDT', 'dirk_baeumer'), ('FIXED', '2004-09-07 14:13:01 EDT', 'dirk_baeumer')]</t>
  </si>
  <si>
    <t>2004-11-01 12:50:25 EST</t>
  </si>
  <si>
    <t>2004-08-30 18:39 EDT</t>
  </si>
  <si>
    <t>2004-08-31 05:17:38 EDT</t>
  </si>
  <si>
    <t>[('CREATED', '2004-08-30 18:39 EDT'), ('jdt-ui-inbox', '2004-08-31 05:17:38 EDT', 'jerome_lanneluc'), ('UI', '2004-08-31 05:17:38 EDT', 'jerome_lanneluc'), ('3.1', '2004-08-31 06:32:12 EDT', 'dirk_baeumer'), ('dirk_baeumer', '2004-08-31 06:32:12 EDT', 'dirk_baeumer'), ('InvocationTargetException when in-lining a method [refactoring] [inline method]', '2004-08-31 06:32:12 EDT', 'dirk_baeumer'), ('RESOLVED', '2004-11-01 12:50:25 EST', 'dirk_baeumer'), ('FIXED', '2004-11-01 12:50:25 EST', 'dirk_baeumer'), ('3.1 M3', '2004-11-01 12:50:25 EST', 'dirk_baeumer')]</t>
  </si>
  <si>
    <t>2004-08-31 06:29:53 EDT</t>
  </si>
  <si>
    <t>2004-08-30 20:57 EDT</t>
  </si>
  <si>
    <t>2004-08-31 05:14:43 EDT</t>
  </si>
  <si>
    <t>[('CREATED', '2004-08-30 20:57 EDT'), ('jdt-ui-inbox', '2004-08-31 05:14:43 EDT', 'jerome_lanneluc'), ('UI', '2004-08-31 05:14:43 EDT', 'jerome_lanneluc'), ('RESOLVED', '2004-08-31 06:29:53 EDT', 'dirk_baeumer'), ('DUPLICATE', '2004-08-31 06:29:53 EDT', 'dirk_baeumer')]</t>
  </si>
  <si>
    <t>2005-05-24 05:55:12 EDT</t>
  </si>
  <si>
    <t>2004-08-30 21:38 EDT</t>
  </si>
  <si>
    <t>2004-08-31 05:14:08 EDT</t>
  </si>
  <si>
    <t>[('CREATED', '2004-08-30 21:38 EDT'), ('jdt-ui-inbox', '2004-08-31 05:14:08 EDT', 'jerome_lanneluc'), ('UI', '2004-08-31 05:14:08 EDT', 'jerome_lanneluc'), ('dirk_baeumer', '2004-08-31 14:26:19 EDT', 'dirk_baeumer'), ('In-lining creates compile error and deletes comments. [refactoring]', '2004-08-31 14:26:35 EDT', 'dirk_baeumer'), ('RESOLVED', '2005-05-24 05:55:12 EDT', 'dirk_baeumer'), ('FIXED', '2005-05-24 05:55:12 EDT', 'dirk_baeumer'), ('3.1', '2005-05-24 05:55:12 EDT', 'dirk_baeumer')]</t>
  </si>
  <si>
    <t>2005-01-21 05:52:40 EST</t>
  </si>
  <si>
    <t>2004-08-31 07:04 EDT</t>
  </si>
  <si>
    <t>2004-08-31 14:21:04 EDT</t>
  </si>
  <si>
    <t>[('CREATED', '2004-08-31 07:04 EDT'), ('martin_aeschlimann', '2004-08-31 14:21:04 EDT', 'dirk_baeumer'), ('Surround with try catch quick fix works in a non-consistent way [quick fix]', '2004-08-31 14:21:04 EDT', 'dirk_baeumer'), ('3.1 M4', '2005-01-21 05:52:40 EST', 'martinae'), ('RESOLVED', '2005-01-21 05:52:40 EST', 'martinae'), ('FIXED', '2005-01-21 05:52:40 EST', 'martinae')]</t>
  </si>
  <si>
    <t>2006-01-05 05:50:07 EST</t>
  </si>
  <si>
    <t>2004-09-01 10:04 EDT</t>
  </si>
  <si>
    <t>2004-09-01 10:38:39 EDT</t>
  </si>
  <si>
    <t>[('CREATED', '2004-09-01 10:04 EDT'), ('jdt-ui-inbox', '2004-09-01 10:38:39 EDT', 'eclipse'), ('JDT', '2004-09-01 10:38:39 EDT', 'eclipse'), ('martin_aeschlimann', '2004-09-15 12:51:19 EDT', 'dirk_baeumer'), ('A headless analogue of the OrganizeImportsAction? [rewriter]', '2004-09-15 12:51:19 EDT', 'dirk_baeumer'), ('[rewriter] A headless analogue of the OrganizeImportsAction?', '2005-05-17 03:56:03 EDT', 'martinae'), ('[import rewrite] A headless analogue of the OrganizeImportsAction?', '2005-10-07 03:37:34 EDT', 'martinae'), ('3.2', '2005-10-07 03:37:34 EDT', 'martinae'), ('[import rewrite] Make Import Rewriter API', '2005-10-08 12:51:08 EDT', 'martinae'), ('1', '2005-11-28 12:22:29 EST', 'martinae'), ('1', '2006-01-05 05:33:03 EST', 'martinae'), ('RESOLVED', '2006-01-05 05:50:07 EST', 'martinae'), ('FIXED', '2006-01-05 05:50:07 EST', 'martinae'), ('3.2 M5', '2006-01-05 05:50:07 EST', 'martinae')]</t>
  </si>
  <si>
    <t>2004-09-20 06:11:56 EDT</t>
  </si>
  <si>
    <t>2004-09-02 15:02 EDT</t>
  </si>
  <si>
    <t>2004-09-02 15:02:33 EDT</t>
  </si>
  <si>
    <t>2004-10-28 09:19:40 EDT</t>
  </si>
  <si>
    <t>[('CREATED', '2004-09-02 15:02 EDT'), ('generics refactoring bug in 3.1.0 Build id: 200408122000', '2004-09-02 15:02:33 EDT', 'mikea'), ('jdt-ui-inbox', '2004-09-03 06:43:33 EDT', 'philippe_mulet'), ('UI', '2004-09-03 06:43:33 EDT', 'philippe_mulet'), ('tobias_widmer', '2004-09-03 06:47:34 EDT', 'dirk_baeumer'), ('generics refactoring bug in 3.1.0 Build id: 200408122000 [refactoring] [1.5]', '2004-09-03 06:47:34 EDT', 'dirk_baeumer'), ('RESOLVED', '2004-09-20 06:11:56 EDT', 'tobias_widmer'), ('FIXED', '2004-09-20 06:11:56 EDT', 'tobias_widmer'), ('3.1 M3', '2004-10-28 09:19:40 EDT', 'tobias_widmer')]</t>
  </si>
  <si>
    <t>2004-09-10 10:20:52 EDT</t>
  </si>
  <si>
    <t>2004-09-06 11:54 EDT</t>
  </si>
  <si>
    <t>2004-09-09 08:39:42 EDT</t>
  </si>
  <si>
    <t>[('CREATED', '2004-09-06 11:54 EDT'), ('tobias_widmer', '2004-09-09 08:39:42 EDT', 'tobias_widmer'), ('RESOLVED', '2004-09-10 10:20:52 EDT', 'tobias_widmer'), ('FIXED', '2004-09-10 10:20:52 EDT', 'tobias_widmer')]</t>
  </si>
  <si>
    <t>RESOLVED  DUPLICATE  of bug 70151</t>
  </si>
  <si>
    <t>2006-06-15 11:18:33 EDT</t>
  </si>
  <si>
    <t>2004-09-07 09:46 EDT</t>
  </si>
  <si>
    <t>2004-09-07 09:49:08 EDT</t>
  </si>
  <si>
    <t>[('CREATED', '2004-09-07 09:46 EDT'), ('jdt-ui-inbox', '2004-09-07 09:49:08 EDT', 'eclipse'), ('JDT', '2004-09-07 09:49:08 EDT', 'eclipse'), ('ASSIGNED', '2004-09-07 13:24:38 EDT', 'dirk_baeumer'), ('Unable to rename/refactor project libraries [refactoring] [rename]', '2004-09-07 13:24:38 EDT', 'dirk_baeumer'), ('3.1', '2004-09-07 13:24:38 EDT', 'dirk_baeumer'), ('---', '2005-03-16 17:56:23 EST', 'dirk_baeumer'), ('RESOLVED', '2006-06-15 11:18:33 EDT', 'martinae'), ('DUPLICATE', '2006-06-15 11:18:33 EDT', 'martinae')]</t>
  </si>
  <si>
    <t>2005-05-24 10:17:23 EDT</t>
  </si>
  <si>
    <t>2005-05-27 12:33:07 EDT</t>
  </si>
  <si>
    <t>2004-09-10 08:26 EDT</t>
  </si>
  <si>
    <t>2005-05-24 06:12:50 EDT</t>
  </si>
  <si>
    <t>[('CREATED', '2004-09-10 08:26 EDT'), ('3.1 RC1', '2005-05-24 06:12:50 EDT', 'dirk_baeumer'), ('RESOLVED', '2005-05-24 10:17:23 EDT', 'dirk_baeumer'), ('FIXED', '2005-05-24 10:17:23 EDT', 'dirk_baeumer'), ('VERIFIED', '2005-05-27 12:33:07 EDT', 'dirk_baeumer')]</t>
  </si>
  <si>
    <t>2004-09-11 22:59 EDT</t>
  </si>
  <si>
    <t>2004-09-13 05:50:17 EDT</t>
  </si>
  <si>
    <t>2007-06-14 10:47:40 EDT</t>
  </si>
  <si>
    <t>[('CREATED', '2004-09-11 22:59 EDT'), ('jdt-ui-inbox', '2004-09-13 05:50:17 EDT', 'frederic_fusier'), ('UI', '2004-09-13 05:50:17 EDT', 'frederic_fusier'), ('enhancement', '2004-09-14 05:50:57 EDT', 'dirk_baeumer'), ('ASSIGNED', '2004-09-14 05:50:57 EDT', 'dirk_baeumer'), ("Move package inside the same source folder doesn't work [refactoring] [move]", '2004-09-14 05:50:57 EDT', 'dirk_baeumer'), ('gilead', '2006-03-19 07:55:13 EST', 'max.gilead'), ('tobias_widmer', '2006-06-09 04:30:41 EDT', 'martinae'), ('NEW', '2006-06-09 04:30:41 EDT', 'martinae'), ("[reorg] Move package inside the same source folder doesn't work", '2006-06-09 04:30:41 EDT', 'martinae'), ('[reorg] move package inside the same source folder [refactoring]', '2006-06-09 05:15:28 EDT', 'tobias_widmer'), ('jdt-ui-inbox', '2007-06-14 10:47:40 EDT', 'martinae')]</t>
  </si>
  <si>
    <t>2004-09-14 05:47:57 EDT</t>
  </si>
  <si>
    <t>2004-09-11 23:09 EDT</t>
  </si>
  <si>
    <t>2004-09-13 06:19:08 EDT</t>
  </si>
  <si>
    <t>[('CREATED', '2004-09-11 23:09 EDT'), ('jdt-ui-inbox', '2004-09-13 06:19:08 EDT', 'frederic_fusier'), ('UI', '2004-09-13 06:19:08 EDT', 'frederic_fusier'), ("refactoring: rename doesn't work as expected", '2004-09-13 06:19:08 EDT', 'frederic_fusier'), ('RESOLVED', '2004-09-14 05:47:57 EDT', 'dirk_baeumer'), ('DUPLICATE', '2004-09-14 05:47:57 EDT', 'dirk_baeumer')]</t>
  </si>
  <si>
    <t>242228 (view as bug list)</t>
  </si>
  <si>
    <t>2004-11-17 04:29:22 EST</t>
  </si>
  <si>
    <t>2009-08-30 02:38:26 EDT</t>
  </si>
  <si>
    <t>2004-09-14 15:39:01 EDT</t>
  </si>
  <si>
    <t>2004-09-13 18:57 EDT</t>
  </si>
  <si>
    <t>2004-09-14 05:00:03 EDT</t>
  </si>
  <si>
    <t>[('CREATED', '2004-09-13 18:57 EDT'), ('RESOLVED', '2004-09-14 05:00:03 EDT', 'dirk_baeumer'), ('WONTFIX', '2004-09-14 05:00:03 EDT', 'dirk_baeumer'), ('REOPENED', '2004-09-14 15:39:01 EDT', 'cnelson'), ('---', '2004-09-14 15:39:01 EDT', 'cnelson'), ('enhancement', '2004-11-17 04:29:22 EST', 'dirk_baeumer'), ('RESOLVED', '2004-11-17 04:29:22 EST', 'dirk_baeumer'), ('LATER', '2004-11-17 04:29:22 EST', 'dirk_baeumer'), ('Rename field: optionally rename textual/JavaBean references [refactoring] [rename] [2]', '2004-11-17 04:29:22 EST', 'dirk_baeumer'), ('noelgrandin', '2008-08-11 09:09:57 EDT', 'daniel_megert'), ('WONTFIX', '2009-08-30 02:38:26 EDT', 'webmaster')]</t>
  </si>
  <si>
    <t>2004-10-07 05:25:37 EDT</t>
  </si>
  <si>
    <t>2004-09-14 15:20 EDT</t>
  </si>
  <si>
    <t>2004-09-15 06:09:08 EDT</t>
  </si>
  <si>
    <t>[('CREATED', '2004-09-14 15:20 EDT'), ('martin_aeschlimann', '2004-09-15 06:09:08 EDT', 'dirk_baeumer'), ('Adding unnecessary import statements [code manipulation]', '2004-09-15 06:09:08 EDT', 'dirk_baeumer'), ('RESOLVED', '2004-10-07 05:25:37 EDT', 'martinae'), ('WONTFIX', '2004-10-07 05:25:37 EDT', 'martinae')]</t>
  </si>
  <si>
    <t>2005-04-06 12:41:39 EDT</t>
  </si>
  <si>
    <t>2004-09-15 13:29 EDT</t>
  </si>
  <si>
    <t>2004-09-17 12:03:57 EDT</t>
  </si>
  <si>
    <t>[('CREATED', '2004-09-15 13:29 EDT'), ('markus_keller', '2004-09-17 12:03:57 EDT', 'dirk_baeumer'), ('3.1', '2004-09-17 12:03:57 EDT', 'dirk_baeumer'), ('ASSIGNED', '2004-09-17 12:24:07 EDT', 'markus.kell.r'), ('FIXED', '2005-04-06 12:41:39 EDT', 'markus.kell.r'), ('3.1 M6', '2005-04-06 12:41:39 EDT', 'markus.kell.r'), ('RESOLVED', '2005-04-06 12:41:39 EDT', 'markus.kell.r'), ('All', '2005-04-06 12:41:39 EDT', 'markus.kell.r'), ('All', '2005-04-06 12:41:39 EDT', 'markus.kell.r')]</t>
  </si>
  <si>
    <t>2004-09-29 07:01:37 EDT</t>
  </si>
  <si>
    <t>2004-09-15 13:55 EDT</t>
  </si>
  <si>
    <t>2004-09-15 13:56:09 EDT</t>
  </si>
  <si>
    <t>[('CREATED', '2004-09-15 13:55 EDT'), ('jdt-ui-inbox', '2004-09-15 13:56:09 EDT', 'Darin_Swanson'), ('UI', '2004-09-15 13:56:09 EDT', 'Darin_Swanson'), ('tobias_widmer', '2004-09-20 04:49:13 EDT', 'markus.kell.r'), ('markus_keller', '2004-09-22 09:05:05 EDT', 'tobias_widmer'), ('markus_keller', '2004-09-22 10:38:44 EDT', 'markus.kell.r'), ('3.1 M3', '2004-09-22 10:38:44 EDT', 'markus.kell.r'), ('tobias_widmer', '2004-09-27 13:54:30 EDT', 'markus.kell.r'), ('1', '2004-09-28 08:48:24 EDT', 'tobias_widmer'), ('1', '2004-09-29 05:14:00 EDT', 'tobias_widmer'), ('RESOLVED', '2004-09-29 07:01:37 EDT', 'markus.kell.r'), ('FIXED', '2004-09-29 07:01:37 EDT', 'markus.kell.r')]</t>
  </si>
  <si>
    <t>30703 47293 47418 71662 (view as bug list)</t>
  </si>
  <si>
    <t>77388</t>
  </si>
  <si>
    <t>2004-11-25 15:48:52 EST</t>
  </si>
  <si>
    <t>2004-09-15 22:03 EDT</t>
  </si>
  <si>
    <t>2004-09-16 12:57:01 EDT</t>
  </si>
  <si>
    <t>[('CREATED', '2004-09-15 22:03 EDT'), ('jdt-ui-inbox', '2004-09-16 12:57:01 EDT', 'jerome_lanneluc'), ('UI', '2004-09-16 12:57:01 EDT', 'jerome_lanneluc'), ('markus_keller', '2004-09-16 14:47:42 EDT', 'dirk_baeumer'), ('Constructor parameter reordering refactoring fails [refactoring] [cms]', '2004-09-16 14:47:42 EDT', 'dirk_baeumer'), ('ASSIGNED', '2004-09-20 09:53:03 EDT', 'markus.kell.r'), ('M.E.Foster', '2004-10-11 07:37:41 EDT', 'mefoster'), ('All', '2004-11-01 11:46:17 EST', 'markus.kell.r'), ('77388', '2004-11-01 11:46:17 EST', 'markus.kell.r'), ('All', '2004-11-01 11:46:17 EST', 'markus.kell.r'), ('hauser', '2004-11-25 15:43:37 EST', 'markus.kell.r'), ('saff', '2004-11-25 15:44:22 EST', 'markus.kell.r'), ('akiezun', '2004-11-25 15:47:58 EST', 'markus.kell.r'), ('RESOLVED', '2004-11-25 15:48:52 EST', 'markus.kell.r'), ('FIXED', '2004-11-25 15:48:52 EST', 'markus.kell.r'), ('3.1 M4', '2004-11-25 15:48:52 EST', 'markus.kell.r'), ('ludovic_claude', '2004-12-13 12:43:09 EST', 'markus.kell.r')]</t>
  </si>
  <si>
    <t>RESOLVED  DUPLICATE  of bug 81374</t>
  </si>
  <si>
    <t>2005-01-25 06:05:41 EST</t>
  </si>
  <si>
    <t>2004-09-16 12:32 EDT</t>
  </si>
  <si>
    <t>2004-09-17 04:08:00 EDT</t>
  </si>
  <si>
    <t>[('CREATED', '2004-09-16 12:32 EDT'), ('markus_keller', '2004-09-17 04:08:00 EDT', 'dirk_baeumer'), ('RippleMethodFinder should error when renaming binary method [refactoring]', '2004-09-17 04:08:00 EDT', 'dirk_baeumer'), ('3.1', '2004-09-17 04:08:00 EDT', 'dirk_baeumer'), ('RESOLVED', '2005-01-25 06:05:41 EST', 'markus.kell.r'), ('DUPLICATE', '2005-01-25 06:05:41 EST', 'markus.kell.r')]</t>
  </si>
  <si>
    <t>2005-05-26 07:09:12 EDT</t>
  </si>
  <si>
    <t>2005-05-27 06:03:18 EDT</t>
  </si>
  <si>
    <t>2004-09-17 09:14 EDT</t>
  </si>
  <si>
    <t>2004-09-17 09:31:31 EDT</t>
  </si>
  <si>
    <t>[('CREATED', '2004-09-17 09:14 EDT'), ('erich_gamma', '2004-09-17 09:31:31 EDT', 'dirk_baeumer'), ('Removed JUnit rename participant crashes during Undo [JUnit]', '2004-09-17 09:31:31 EDT', 'dirk_baeumer'), ('3.1 M3', '2004-09-17 09:31:31 EDT', 'dirk_baeumer'), ('darin_wright', '2004-09-20 10:20:41 EDT', 'erich_gamma'), ('dirk_baeumer', '2004-09-20 10:20:41 EDT', 'erich_gamma'), ('erich_gamma', '2004-10-05 05:47:21 EDT', 'dirk_baeumer'), ('saff', '2005-05-06 09:53:00 EDT', 'markus.kell.r'), ('P1', '2005-05-06 09:53:00 EDT', 'markus.kell.r'), ('P2', '2005-05-06 10:47:51 EDT', 'markus.kell.r'), ('krbarnes', '2005-05-24 09:04:39 EDT', 'darin.eclipse'), ('markus_keller', '2005-05-24 09:41:06 EDT', 'david'), ('markus_keller', '2005-05-25 05:52:36 EDT', 'markus.kell.r'), ('saff', '2005-05-25 05:52:36 EDT', 'markus.kell.r'), ('3.1', '2005-05-25 05:52:36 EDT', 'markus.kell.r'), ('1', '2005-05-26 05:01:05 EDT', 'david'), ('tobias_widmer', '2005-05-26 05:01:25 EDT', 'david'), ('dirk_baeumer', '2005-05-26 07:09:12 EDT', 'tobias_widmer'), ('RESOLVED', '2005-05-26 07:09:12 EDT', 'tobias_widmer'), ('FIXED', '2005-05-26 07:09:12 EDT', 'tobias_widmer'), ('3.1 RC1', '2005-05-26 07:09:12 EDT', 'tobias_widmer'), ('VERIFIED', '2005-05-27 06:03:18 EDT', 'markus.kell.r')]</t>
  </si>
  <si>
    <t>2004-09-20 11:56 EDT</t>
  </si>
  <si>
    <t>2004-09-20 13:06:57 EDT</t>
  </si>
  <si>
    <t>2010-11-04 06:44:06 EDT</t>
  </si>
  <si>
    <t>[('CREATED', '2004-09-20 11:56 EDT'), ('ASSIGNED', '2004-09-20 13:06:57 EDT', 'markus.kell.r'), ('[refactoring] [dcr] "Loosen" quick assist / refactoring', '2006-06-15 02:58:59 EDT', 'martinae'), ('daniel_megert', '2010-11-04 06:44:06 EDT', 'daniel_megert'), ('[refactoring] "Loosen" quick assist / refactoring', '2010-11-04 06:44:06 EDT', 'daniel_megert')]</t>
  </si>
  <si>
    <t>RESOLVED  DUPLICATE  of bug 66480</t>
  </si>
  <si>
    <t>2004-11-17 04:30:30 EST</t>
  </si>
  <si>
    <t>2004-09-21 06:49 EDT</t>
  </si>
  <si>
    <t>2004-09-21 09:45:25 EDT</t>
  </si>
  <si>
    <t>[('CREATED', '2004-09-21 06:49 EDT'), ('jdt-core-inbox', '2004-09-21 09:45:25 EDT', 'markus.kell.r'), ('Core', '2004-09-21 09:45:25 EDT', 'markus.kell.r'), ('jdt-ui-inbox', '2004-09-21 09:48:52 EDT', 'markus.kell.r'), ('UI', '2004-09-21 09:48:52 EDT', 'markus.kell.r'), ('RESOLVED', '2004-11-17 04:30:30 EST', 'dirk_baeumer'), ('DUPLICATE', '2004-11-17 04:30:30 EST', 'dirk_baeumer')]</t>
  </si>
  <si>
    <t>2004-09-22 06:08:00 EDT</t>
  </si>
  <si>
    <t>2004-09-21 21:01 EDT</t>
  </si>
  <si>
    <t>[('CREATED', '2004-09-21 21:01 EDT'), ('RESOLVED', '2004-09-22 06:08:00 EDT', 'markus.kell.r'), ('WONTFIX', '2004-09-22 06:08:00 EDT', 'markus.kell.r')]</t>
  </si>
  <si>
    <t>2004-09-22 11:04:22 EDT</t>
  </si>
  <si>
    <t>2004-09-22 10:53 EDT</t>
  </si>
  <si>
    <t>[('CREATED', '2004-09-22 10:53 EDT'), ('RESOLVED', '2004-09-22 11:04:22 EDT', 'markus.kell.r'), ('DUPLICATE', '2004-09-22 11:04:22 EDT', 'markus.kell.r')]</t>
  </si>
  <si>
    <t>2004-09-22 11:16:36 EDT</t>
  </si>
  <si>
    <t>2004-09-22 11:06 EDT</t>
  </si>
  <si>
    <t>[('CREATED', '2004-09-22 11:06 EDT'), ('RESOLVED', '2004-09-22 11:16:36 EDT', 'tobias_widmer'), ('DUPLICATE', '2004-09-22 11:16:36 EDT', 'tobias_widmer')]</t>
  </si>
  <si>
    <t>96663</t>
  </si>
  <si>
    <t>2008-10-14 08:27:59 EDT</t>
  </si>
  <si>
    <t>2008-10-28 06:24:28 EDT</t>
  </si>
  <si>
    <t>2004-09-23 07:29 EDT</t>
  </si>
  <si>
    <t>2004-09-23 09:04:32 EDT</t>
  </si>
  <si>
    <t>[('CREATED', '2004-09-23 07:29 EDT'), ('markus_keller', '2004-09-23 09:04:32 EDT', 'markus.kell.r'), ('rfuhrer', '2004-09-23 09:04:32 EDT', 'markus.kell.r'), ('96663', '2005-05-25 13:49:59 EDT', 'dirk_baeumer'), ("[introduce factory] refactoring doesn't work with nested constructors", '2006-06-09 12:05:21 EDT', 'markus.kell.r'), ('markus_keller', '2008-10-14 08:26:56 EDT', 'markus.kell.r'), ('3.5 M3', '2008-10-14 08:26:56 EDT', 'markus.kell.r'), (nan, '2008-10-14 08:27:59 EDT', 'markus.kell.r'), ('RESOLVED', '2008-10-14 08:27:59 EDT', 'markus.kell.r'), ('FIXED', '2008-10-14 08:27:59 EDT', 'markus.kell.r'), ('daniel_megert', '2008-10-28 06:24:28 EDT', 'daniel_megert'), ('VERIFIED', '2008-10-28 06:24:28 EDT', 'daniel_megert')]</t>
  </si>
  <si>
    <t>2005-03-29 16:56:23 EST</t>
  </si>
  <si>
    <t>2009-08-30 02:15:39 EDT</t>
  </si>
  <si>
    <t>2004-09-24 20:29 EDT</t>
  </si>
  <si>
    <t>2004-11-17 04:32:27 EST</t>
  </si>
  <si>
    <t>[('CREATED', '2004-09-24 20:29 EDT'), ('michael_valenta', '2004-11-17 04:32:27 EST', 'dirk_baeumer'), ('erich_gamma', '2004-11-17 12:52:13 EST', 'dirk_baeumer'), ('RESOLVED', '2005-03-29 16:56:23 EST', 'dirk_baeumer'), ('LATER', '2005-03-29 16:56:23 EST', 'dirk_baeumer'), ('[code manipulation] [general issue] Add Source menu subset to Synchronize view context menu.', '2005-03-29 16:56:23 EST', 'dirk_baeumer'), ('WONTFIX', '2009-08-30 02:15:39 EDT', 'denis.roy')]</t>
  </si>
  <si>
    <t>2004-10-04 13:15:31 EDT</t>
  </si>
  <si>
    <t>2004-09-24 22:09 EDT</t>
  </si>
  <si>
    <t>2004-09-27 03:53:59 EDT</t>
  </si>
  <si>
    <t>[('CREATED', '2004-09-24 22:09 EDT'), ('jdt-ui-inbox', '2004-09-27 03:53:59 EDT', 'daniel_megert'), ('UI', '2004-09-27 03:53:59 EDT', 'daniel_megert'), ('markus_keller', '2004-09-27 10:41:21 EDT', 'markus.kell.r'), ('dirk_baeumer', '2004-09-27 10:41:21 EDT', 'markus.kell.r'), ('RESOLVED', '2004-10-04 13:15:31 EDT', 'dirk_baeumer'), ('DUPLICATE', '2004-10-04 13:15:31 EDT', 'dirk_baeumer')]</t>
  </si>
  <si>
    <t>2004-10-04 07:10:46 EDT</t>
  </si>
  <si>
    <t>2004-09-25 13:11 EDT</t>
  </si>
  <si>
    <t>2004-09-27 08:56:15 EDT</t>
  </si>
  <si>
    <t>[('CREATED', '2004-09-25 13:11 EDT'), ('jdt-ui-inbox', '2004-09-27 08:56:15 EDT', 'eclipse'), ('JDT', '2004-09-27 08:56:15 EDT', 'eclipse'), ('RESOLVED', '2004-10-04 07:10:46 EDT', 'dirk_baeumer'), ('WORKSFORME', '2004-10-04 07:10:46 EDT', 'dirk_baeumer')]</t>
  </si>
  <si>
    <t>2004-10-04 09:00:13 EDT</t>
  </si>
  <si>
    <t>2009-08-30 02:15:10 EDT</t>
  </si>
  <si>
    <t>2004-09-29 06:06 EDT</t>
  </si>
  <si>
    <t>[('CREATED', '2004-09-29 06:06 EDT'), ('RESOLVED', '2004-10-04 09:00:13 EDT', 'dirk_baeumer'), ('P5', '2004-10-04 09:00:13 EDT', 'dirk_baeumer'), ('LATER', '2004-10-04 09:00:13 EDT', 'dirk_baeumer'), ('ExternalizeStrings option for pattern substitution without quotes [nls] [refactoring]', '2004-10-04 09:00:13 EDT', 'dirk_baeumer'), ('WONTFIX', '2009-08-30 02:15:10 EDT', 'denis.roy')]</t>
  </si>
  <si>
    <t>2006-06-15 04:09:45 EDT</t>
  </si>
  <si>
    <t>2004-09-29 10:42 EDT</t>
  </si>
  <si>
    <t>2004-10-04 09:04:19 EDT</t>
  </si>
  <si>
    <t>[('CREATED', '2004-09-29 10:42 EDT'), ('ASSIGNED', '2004-10-04 09:04:19 EDT', 'dirk_baeumer'), ('P4', '2004-10-04 09:04:19 EDT', 'dirk_baeumer'), ('Making renaming easier to do [refactoring] [general issue]', '2004-10-04 09:04:19 EDT', 'dirk_baeumer'), ('RESOLVED', '2006-06-15 04:09:45 EDT', 'martinae'), ('WORKSFORME', '2006-06-15 04:09:45 EDT', 'martinae')]</t>
  </si>
  <si>
    <t>2004-10-05 09:02:24 EDT</t>
  </si>
  <si>
    <t>2004-11-03 06:46:28 EST</t>
  </si>
  <si>
    <t>2004-09-30 17:59 EDT</t>
  </si>
  <si>
    <t>2004-10-01 14:00:07 EDT</t>
  </si>
  <si>
    <t>[('CREATED', '2004-09-30 17:59 EDT'), ('jdt-ui-inbox', '2004-10-01 14:00:07 EDT', 'Olivier_Thomann'), ('UI', '2004-10-01 14:00:07 EDT', 'Olivier_Thomann'), ('dirk_baeumer', '2004-10-04 09:13:41 EDT', 'dirk_baeumer'), ('3.1 M3', '2004-10-04 09:13:41 EDT', 'dirk_baeumer'), ('RESOLVED', '2004-10-05 09:02:24 EDT', 'dirk_baeumer'), ('FIXED', '2004-10-05 09:02:24 EDT', 'dirk_baeumer'), ('VERIFIED', '2004-11-03 06:46:28 EST', 'daniel_megert')]</t>
  </si>
  <si>
    <t>2004-10-20 11:56:09 EDT</t>
  </si>
  <si>
    <t>2004-10-01 03:43 EDT</t>
  </si>
  <si>
    <t>2004-10-01 14:00:21 EDT</t>
  </si>
  <si>
    <t>2004-11-08 12:41:32 EST</t>
  </si>
  <si>
    <t>[('CREATED', '2004-10-01 03:43 EDT'), ('jdt-ui-inbox', '2004-10-01 14:00:21 EDT', 'Olivier_Thomann'), ('UI', '2004-10-01 14:00:21 EDT', 'Olivier_Thomann'), ('tobias_widmer', '2004-10-04 05:04:37 EDT', 'markus.kell.r'), ('RESOLVED', '2004-10-20 11:56:09 EDT', 'tobias_widmer'), ('FIXED', '2004-10-20 11:56:09 EDT', 'tobias_widmer'), ('3.1 M3', '2004-10-28 09:21:13 EDT', 'tobias_widmer'), ('CLOSED', '2004-11-08 12:41:32 EST', 'eclipse')]</t>
  </si>
  <si>
    <t>2004-10-20 11:56:35 EDT</t>
  </si>
  <si>
    <t>2004-10-01 03:46 EDT</t>
  </si>
  <si>
    <t>2004-10-01 05:33:13 EDT</t>
  </si>
  <si>
    <t>2004-11-08 12:43:57 EST</t>
  </si>
  <si>
    <t>[('CREATED', '2004-10-01 03:46 EDT'), ('tobias_widmer', '2004-10-01 05:33:13 EDT', 'markus.kell.r'), ('RESOLVED', '2004-10-20 11:56:35 EDT', 'tobias_widmer'), ('FIXED', '2004-10-20 11:56:35 EDT', 'tobias_widmer'), ('3.1 M3', '2004-10-28 09:21:32 EDT', 'tobias_widmer'), ('CLOSED', '2004-11-08 12:43:57 EST', 'eclipse')]</t>
  </si>
  <si>
    <t>2004-10-04 09:46:31 EDT</t>
  </si>
  <si>
    <t>2009-08-30 02:35:37 EDT</t>
  </si>
  <si>
    <t>2004-10-01 17:41 EDT</t>
  </si>
  <si>
    <t>[('CREATED', '2004-10-01 17:41 EDT'), ('RESOLVED', '2004-10-04 09:46:31 EDT', 'dirk_baeumer'), ('LATER', '2004-10-04 09:46:31 EDT', 'dirk_baeumer'), ('WONTFIX', '2009-08-30 02:35:37 EDT', 'webmaster')]</t>
  </si>
  <si>
    <t>2005-07-25 04:26:02 EDT</t>
  </si>
  <si>
    <t>2009-08-30 02:05:15 EDT</t>
  </si>
  <si>
    <t>2005-05-10 09:09:31 EDT</t>
  </si>
  <si>
    <t>2004-10-04 13:23 EDT</t>
  </si>
  <si>
    <t>2004-11-03 16:36:39 EST</t>
  </si>
  <si>
    <t>[('CREATED', '2004-10-04 13:23 EDT'), ('martin_aeschlimann', '2004-11-03 16:36:39 EST', 'dirk_baeumer'), ('"Quick fix" sometimes cannot find imports [quick fix]', '2004-11-03 16:36:39 EST', 'dirk_baeumer'), ('RESOLVED', '2005-02-11 11:02:46 EST', 'dirk_baeumer'), ('REMIND', '2005-02-11 11:02:46 EST', 'dirk_baeumer'), ('REOPENED', '2005-05-10 09:09:31 EDT', 'amb26bugzilla'), ('---', '2005-05-10 09:09:31 EDT', 'amb26bugzilla'), ('martin_aeschlimann', '2005-07-14 12:42:11 EDT', 'dirk_baeumer'), ('NEW', '2005-07-14 12:42:11 EDT', 'dirk_baeumer'), ('[quick fix] "Quick fix" sometimes cannot find imports', '2005-07-14 12:42:11 EDT', 'dirk_baeumer'), ('REMIND', '2005-07-25 04:26:02 EDT', 'martinae'), ('RESOLVED', '2005-07-25 04:26:02 EDT', 'martinae'), ('needinfo', '2009-08-30 02:05:15 EDT', 'denis.roy'), ('INVALID', '2009-08-30 02:05:15 EDT', 'denis.roy'), ('jdt-ui-inbox', '2009-08-30 02:05:15 EDT', 'denis.roy')]</t>
  </si>
  <si>
    <t>2004-10-04 16:45 EDT</t>
  </si>
  <si>
    <t>2004-11-03 16:40:39 EST</t>
  </si>
  <si>
    <t>2014-02-25 05:30:17 EST</t>
  </si>
  <si>
    <t>[('CREATED', '2004-10-04 16:45 EDT'), ('andre_weinand', '2004-11-03 16:40:39 EST', 'dirk_baeumer'), ('Please show Structured Compare for Compare With -&gt; Each Other [compare]', '2004-11-03 16:40:39 EST', 'dirk_baeumer'), ('ASSIGNED', '2004-11-04 03:43:27 EST', 'andre_weinand'), ('daniel_megert', '2009-03-10 06:59:16 EDT', 'daniel_megert'), ('jdt-ui-inbox', '2009-03-10 06:59:16 EDT', 'daniel_megert'), ('normal', '2009-03-10 06:59:16 EDT', 'daniel_megert'), ('NEW', '2009-03-10 06:59:16 EDT', 'daniel_megert'), ('polish', '2009-03-10 06:59:16 EDT', 'daniel_megert'), ('ASSIGNED', '2009-03-10 09:04:15 EDT', 'daniel_megert'), ('P2', '2009-03-10 09:04:15 EDT', 'daniel_megert'), ('3.5', '2009-03-10 09:04:15 EDT', 'daniel_megert'), ('P3', '2009-04-15 06:59:23 EDT', 'daniel_megert'), ('[compare] Please show Structured Compare for Compare With -&gt; Each Other [compare]', '2009-04-15 06:59:23 EDT', 'daniel_megert'), ('---', '2009-04-15 06:59:23 EDT', 'daniel_megert'), (nan, '2009-04-15 06:59:23 EDT', 'daniel_megert'), ('markus_keller', '2012-05-03 09:22:24 EDT', 'markus.kell.r'), ('Joerg.Thoennes', '2013-04-12 04:54:04 EDT', 'jtk499'), ('4.4', '2013-04-16 09:30:33 EDT', 'daniel_megert'), ('[compare] Please show Structured Compare for Compare With -&gt; Each Other by Member', '2013-04-16 09:30:33 EDT', 'daniel_megert'), ('enhancement', '2013-04-16 09:30:33 EDT', 'daniel_megert'), ('---', '2014-02-25 05:30:17 EST', 'daniel_megert')]</t>
  </si>
  <si>
    <t>RESOLVED  DUPLICATE  of bug 111809</t>
  </si>
  <si>
    <t>29903 80290 (view as bug list)</t>
  </si>
  <si>
    <t>2005-10-31 05:25:06 EST</t>
  </si>
  <si>
    <t>2004-10-04 17:04 EDT</t>
  </si>
  <si>
    <t>2004-11-17 00:02:44 EST</t>
  </si>
  <si>
    <t>[('CREATED', '2004-10-04 17:04 EDT'), ('akiezun', '2004-11-17 00:02:44 EST', 'akiezun'), ('tobias_widmer', '2004-11-17 04:52:17 EST', 'dirk_baeumer'), ('Feature request: Extract Supertype [refactoring]', '2004-11-17 04:52:17 EST', 'dirk_baeumer'), ('andy.w.freeman', '2004-12-07 06:29:12 EST', 'dirk_baeumer'), ('graham_perks', '2004-12-07 06:29:49 EST', 'dirk_baeumer'), ('scheglov_ke', '2005-09-05 05:18:12 EDT', 'Konstantin.Scheglov'), ('goerge', '2005-09-16 14:21:03 EDT', 'goerge'), ('DUPLICATE', '2005-10-31 05:25:06 EST', 'tobias_widmer'), ('RESOLVED', '2005-10-31 05:25:06 EST', 'tobias_widmer')]</t>
  </si>
  <si>
    <t>RESOLVED  DUPLICATE  of bug 68279</t>
  </si>
  <si>
    <t>2004-10-08 04:48:12 EDT</t>
  </si>
  <si>
    <t>2004-10-05 12:02 EDT</t>
  </si>
  <si>
    <t>2004-10-06 06:26:52 EDT</t>
  </si>
  <si>
    <t>[('CREATED', '2004-10-05 12:02 EDT'), ('jdt-ui-inbox', '2004-10-06 06:26:52 EDT', 'jerome_lanneluc'), ('UI', '2004-10-06 06:26:52 EDT', 'jerome_lanneluc'), ('markus_keller', '2004-10-08 04:48:00 EDT', 'dirk_baeumer'), ('RESOLVED', '2004-10-08 04:48:12 EDT', 'dirk_baeumer'), ('DUPLICATE', '2004-10-08 04:48:12 EDT', 'dirk_baeumer')]</t>
  </si>
  <si>
    <t>RESOLVED  DUPLICATE  of bug 28218</t>
  </si>
  <si>
    <t>75872</t>
  </si>
  <si>
    <t>2004-10-08 10:41:36 EDT</t>
  </si>
  <si>
    <t>2004-10-07 17:05 EDT</t>
  </si>
  <si>
    <t>2004-10-08 04:40:27 EDT</t>
  </si>
  <si>
    <t>[('CREATED', '2004-10-07 17:05 EDT'), ('75872', '2004-10-08 04:40:27 EDT', 'dirk_baeumer'), ('RESOLVED', '2004-10-08 10:41:36 EDT', 'dirk_baeumer'), ('DUPLICATE', '2004-10-08 10:41:36 EDT', 'dirk_baeumer')]</t>
  </si>
  <si>
    <t>2004-11-18 13:04:37 EST</t>
  </si>
  <si>
    <t>2004-10-11 13:19 EDT</t>
  </si>
  <si>
    <t>2004-10-13 06:50:52 EDT</t>
  </si>
  <si>
    <t>[('CREATED', '2004-10-11 13:19 EDT'), ('markus_keller', '2004-10-13 06:50:52 EDT', 'dirk_baeumer'), ('P2', '2004-10-13 06:50:52 EDT', 'dirk_baeumer'), ('Unexpected behavior while refactoring member class [refactoring]', '2004-10-13 06:50:52 EDT', 'dirk_baeumer'), ('3.1 M3', '2004-10-13 06:50:52 EDT', 'dirk_baeumer'), ('---', '2004-10-29 10:22:39 EDT', 'markus.kell.r'), ('markus_keller', '2004-10-29 10:22:39 EDT', 'markus.kell.r'), ('jdt-core-inbox', '2004-10-29 10:22:39 EDT', 'markus.kell.r'), ('Core', '2004-10-29 10:22:39 EDT', 'markus.kell.r'), ('P3', '2004-10-29 10:22:39 EDT', 'markus.kell.r'), ('frederic_fusier', '2004-10-29 11:04:14 EDT', 'frederic_fusier'), ('[search] Unexpected behavior while refactoring member class', '2004-10-29 11:04:14 EDT', 'frederic_fusier'), ('markus_keller', '2004-11-18 11:13:42 EST', 'frederic_fusier'), ('UI', '2004-11-18 11:13:42 EST', 'frederic_fusier'), (nan, '2004-11-18 13:04:37 EST', 'markus.kell.r'), ('RESOLVED', '2004-11-18 13:04:37 EST', 'markus.kell.r'), ('WONTFIX', '2004-11-18 13:04:37 EST', 'markus.kell.r')]</t>
  </si>
  <si>
    <t>CLOSED  DUPLICATE  of bug 44178</t>
  </si>
  <si>
    <t>2005-05-31 13:34:26 EDT</t>
  </si>
  <si>
    <t>2009-08-30 02:40:58 EDT</t>
  </si>
  <si>
    <t>2010-07-28 06:55:27 EDT</t>
  </si>
  <si>
    <t>2004-10-12 10:46 EDT</t>
  </si>
  <si>
    <t>2004-10-12 10:53:52 EDT</t>
  </si>
  <si>
    <t>[('CREATED', '2004-10-12 10:46 EDT'), ('jdt-ui-inbox', '2004-10-12 10:53:52 EDT', 'frederic_fusier'), ('UI', '2004-10-12 10:53:52 EDT', 'frederic_fusier'), ('ASSIGNED', '2004-10-13 06:42:33 EDT', 'dirk_baeumer'), ('Refactoring: rename method/class also renames matching testcase [refactoring] [JUnit]', '2004-10-13 06:42:33 EDT', 'dirk_baeumer'), ('tlroche', '2004-11-18 13:43:59 EST', 'tlroche'), ('RESOLVED', '2005-05-31 13:34:26 EDT', 'dirk_baeumer'), ('LATER', '2005-05-31 13:34:26 EDT', 'dirk_baeumer'), ('[JUnit][refactoring] Refactoring: rename method/class also renames matching testcase [refactoring] [JUnit]', '2005-05-31 13:34:26 EDT', 'dirk_baeumer'), ('WONTFIX', '2009-08-30 02:40:58 EDT', 'webmaster'), ('CLOSED', '2010-07-28 06:55:27 EDT', 'daniel_megert'), ('daniel_megert', '2010-07-28 06:55:27 EDT', 'daniel_megert'), ('DUPLICATE', '2010-07-28 06:55:27 EDT', 'daniel_megert')]</t>
  </si>
  <si>
    <t>2004-10-13 06:40:28 EDT</t>
  </si>
  <si>
    <t>2004-10-12 11:48 EDT</t>
  </si>
  <si>
    <t>[('CREATED', '2004-10-12 11:48 EDT'), ('RESOLVED', '2004-10-13 06:40:28 EDT', 'dirk_baeumer'), ('DUPLICATE', '2004-10-13 06:40:28 EDT', 'dirk_baeumer')]</t>
  </si>
  <si>
    <t>2005-02-07 12:16:53 EST</t>
  </si>
  <si>
    <t>2004-10-13 09:12 EDT</t>
  </si>
  <si>
    <t>2004-11-17 05:09:43 EST</t>
  </si>
  <si>
    <t>[('CREATED', '2004-10-13 09:12 EDT'), ('dirk_baeumer', '2004-11-17 05:09:43 EST', 'dirk_baeumer'), ('3.1', '2004-11-17 05:09:43 EST', 'dirk_baeumer'), ('3.1 M5', '2004-12-13 18:20:03 EST', 'dirk_baeumer'), ('RESOLVED', '2005-02-07 12:16:53 EST', 'dirk_baeumer'), ('FIXED', '2005-02-07 12:16:53 EST', 'dirk_baeumer')]</t>
  </si>
  <si>
    <t>2005-05-02 09:07:34 EDT</t>
  </si>
  <si>
    <t>2005-02-18 04:45:04 EST</t>
  </si>
  <si>
    <t>2004-10-14 06:17 EDT</t>
  </si>
  <si>
    <t>2004-11-03 16:55:10 EST</t>
  </si>
  <si>
    <t>[('CREATED', '2004-10-14 06:17 EDT'), ('dirk_baeumer', '2004-11-03 16:55:10 EST', 'dirk_baeumer'), ('Inline method should refuse to work when calls to the method are ambiguous [refactoring] [inline method]', '2004-11-03 16:55:10 EST', 'dirk_baeumer'), ('3.1 M5', '2004-12-13 18:51:17 EST', 'dirk_baeumer'), ('RESOLVED', '2005-02-11 04:52:24 EST', 'dirk_baeumer'), ('FIXED', '2005-02-11 04:52:24 EST', 'dirk_baeumer'), ('---', '2005-02-18 04:45:04 EST', 'markus.kell.r'), ('markus_keller', '2005-02-18 04:45:04 EST', 'markus.kell.r'), ('REOPENED', '2005-02-18 04:45:04 EST', 'markus.kell.r'), ('---', '2005-02-18 04:45:04 EST', 'markus.kell.r'), ('3.1 M6', '2005-02-21 10:51:56 EST', 'dirk_baeumer'), ('3.1 M7', '2005-03-30 09:43:18 EST', 'dirk_baeumer'), ('RESOLVED', '2005-05-02 09:07:34 EDT', 'dirk_baeumer'), ('FIXED', '2005-05-02 09:07:34 EDT', 'dirk_baeumer')]</t>
  </si>
  <si>
    <t>2005-02-07 12:25:00 EST</t>
  </si>
  <si>
    <t>2004-10-15 12:15 EDT</t>
  </si>
  <si>
    <t>2004-11-02 04:33:59 EST</t>
  </si>
  <si>
    <t>[('CREATED', '2004-10-15 12:15 EDT'), ('jdt-ui-inbox', '2004-11-02 04:33:59 EST', 'daniel_megert'), ('UI', '2004-11-02 04:33:59 EST', 'daniel_megert'), ('JDT', '2004-11-02 04:33:59 EST', 'daniel_megert'), ('dirk_baeumer', '2004-11-02 10:19:58 EST', 'dirk_baeumer'), ('3.1 M4', '2004-11-02 10:19:58 EST', 'dirk_baeumer'), ('3.1 M5', '2004-12-12 17:39:37 EST', 'dirk_baeumer'), ('RESOLVED', '2005-02-07 12:25:00 EST', 'dirk_baeumer'), ('WORKSFORME', '2005-02-07 12:25:00 EST', 'dirk_baeumer')]</t>
  </si>
  <si>
    <t>2004-11-03 16:58:51 EST</t>
  </si>
  <si>
    <t>2004-10-15 13:47 EDT</t>
  </si>
  <si>
    <t>2004-10-18 08:33:45 EDT</t>
  </si>
  <si>
    <t>[('CREATED', '2004-10-15 13:47 EDT'), ('daniel_megert', '2004-10-18 08:33:45 EDT', 'dirk_baeumer'), ('RESOLVED', '2004-11-03 16:58:51 EST', 'dirk_baeumer'), ('WORKSFORME', '2004-11-03 16:58:51 EST', 'dirk_baeumer')]</t>
  </si>
  <si>
    <t>2005-02-07 12:36:03 EST</t>
  </si>
  <si>
    <t>2004-10-15 15:30 EDT</t>
  </si>
  <si>
    <t>2004-10-18 05:09:27 EDT</t>
  </si>
  <si>
    <t>[('CREATED', '2004-10-15 15:30 EDT'), ('jdt-ui-inbox', '2004-10-18 05:09:27 EDT', 'daniel_megert'), ('UI', '2004-10-18 05:09:27 EDT', 'daniel_megert'), ('JDT', '2004-10-18 05:09:27 EDT', 'daniel_megert'), ('dirk_baeumer', '2004-10-19 06:06:37 EDT', 'dirk_baeumer'), ('RESOLVED', '2005-02-07 12:36:03 EST', 'dirk_baeumer'), ('WORKSFORME', '2005-02-07 12:36:03 EST', 'dirk_baeumer')]</t>
  </si>
  <si>
    <t>2004-10-17 18:08:18 EDT</t>
  </si>
  <si>
    <t>2004-10-17 13:52 EDT</t>
  </si>
  <si>
    <t>2004-10-17 13:57:34 EDT</t>
  </si>
  <si>
    <t>dennis.handt</t>
  </si>
  <si>
    <t>[('CREATED', '2004-10-17 13:52 EDT'), ('3.0.1', '2004-10-17 13:57:34 EDT', 'dennis.handt'), ('RESOLVED', '2004-10-17 18:08:18 EDT', 'dennis.handt'), ('INVALID', '2004-10-17 18:08:18 EDT', 'dennis.handt')]</t>
  </si>
  <si>
    <t>RESOLVED  DUPLICATE  of bug 76511</t>
  </si>
  <si>
    <t>2004-10-19 05:32:34 EDT</t>
  </si>
  <si>
    <t>2004-10-18 13:52 EDT</t>
  </si>
  <si>
    <t>[('CREATED', '2004-10-18 13:52 EDT'), ('RESOLVED', '2004-10-19 05:32:34 EDT', 'dirk_baeumer'), ('DUPLICATE', '2004-10-19 05:32:34 EDT', 'dirk_baeumer')]</t>
  </si>
  <si>
    <t>RESOLVED  DUPLICATE  of bug 106207</t>
  </si>
  <si>
    <t>87871 (view as bug list)</t>
  </si>
  <si>
    <t>2005-08-15 11:38:30 EDT</t>
  </si>
  <si>
    <t>2005-08-15 11:38:18 EDT</t>
  </si>
  <si>
    <t>2004-10-18 16:44 EDT</t>
  </si>
  <si>
    <t>2004-10-27 09:17:03 EDT</t>
  </si>
  <si>
    <t>[('CREATED', '2004-10-18 16:44 EDT'), ('jdt-ui-inbox', '2004-10-27 09:17:03 EDT', 'frederic_fusier'), ('UI', '2004-10-27 09:17:03 EDT', 'frederic_fusier'), ('RESOLVED', '2004-10-28 06:06:32 EDT', 'dirk_baeumer'), ('LATER', '2004-10-28 06:06:32 EDT', 'dirk_baeumer'), ('Refactoring replay feature [refactoring] [general issue]', '2004-10-28 06:06:32 EDT', 'dirk_baeumer'), ('mike_wilson', '2004-11-02 10:39:57 EST', 'Mike_Wilson'), ('jonl', '2005-03-14 06:17:54 EST', 'dirk_baeumer'), ('REOPENED', '2005-08-15 11:38:18 EDT', 'dirk_baeumer'), ('---', '2005-08-15 11:38:18 EDT', 'dirk_baeumer'), ('tobias_widmer', '2005-08-15 11:38:18 EDT', 'dirk_baeumer'), ('RESOLVED', '2005-08-15 11:38:30 EDT', 'dirk_baeumer'), ('DUPLICATE', '2005-08-15 11:38:30 EDT', 'dirk_baeumer')]</t>
  </si>
  <si>
    <t>2020-01-23 15:44:37 EST</t>
  </si>
  <si>
    <t>2004-10-19 11:23 EDT</t>
  </si>
  <si>
    <t>2004-10-19 13:08:53 EDT</t>
  </si>
  <si>
    <t>[('CREATED', '2004-10-19 11:23 EDT'), ('dirk_baeumer', '2004-10-19 13:08:53 EDT', 'dirk_baeumer'), ('Refactor in one project blocked by CVS update in another [refactoring] [ltk]', '2004-10-19 13:08:53 EDT', 'dirk_baeumer'), ('tobias_widmer', '2006-04-05 09:00:41 EDT', 'dirk_baeumer'), ('P4', '2006-04-05 09:00:41 EDT', 'dirk_baeumer'), ('[refactoring] [ltk] Refactor in one project blocked by CVS update in another', '2006-04-05 09:00:41 EDT', 'dirk_baeumer'), ('[ltk] refactoring in one project blocked by CVS update in another [refactoring]', '2006-05-29 05:57:46 EDT', 'tobias_widmer'), ('jdt-ui-inbox', '2007-06-14 10:44:27 EDT', 'martinae'), ('WONTFIX', '2020-01-23 15:44:37 EST', 'genie'), ('stalebug', '2020-01-23 15:44:37 EST', 'genie'), ('CLOSED', '2020-01-23 15:44:37 EST', 'genie')]</t>
  </si>
  <si>
    <t>2004-11-01 10:52:04 EST</t>
  </si>
  <si>
    <t>2004-10-19 12:13 EDT</t>
  </si>
  <si>
    <t>2004-10-19 13:17:23 EDT</t>
  </si>
  <si>
    <t>valentam</t>
  </si>
  <si>
    <t>[('CREATED', '2004-10-19 12:13 EDT'), ('markus_keller', '2004-10-19 13:17:23 EDT', 'dirk_baeumer'), ('No progress during refactoring [refactoring] [change method signature]', '2004-10-19 13:17:23 EDT', 'dirk_baeumer'), ('RESOLVED', '2004-11-01 10:52:04 EST', 'valentam'), ('WORKSFORME', '2004-11-01 10:52:04 EST', 'valentam')]</t>
  </si>
  <si>
    <t>2004-10-26 11:52:25 EDT</t>
  </si>
  <si>
    <t>2004-10-19 12:31 EDT</t>
  </si>
  <si>
    <t>2004-10-19 13:16:43 EDT</t>
  </si>
  <si>
    <t>2004-10-28 09:15:36 EDT</t>
  </si>
  <si>
    <t>[('CREATED', '2004-10-19 12:31 EDT'), ('tobias_widmer', '2004-10-19 13:16:43 EDT', 'dirk_baeumer'), ('Refactor inner class of an interface [refactoring]', '2004-10-19 13:16:43 EDT', 'dirk_baeumer'), ('RESOLVED', '2004-10-26 11:52:25 EDT', 'tobias_widmer'), ('FIXED', '2004-10-26 11:52:25 EDT', 'tobias_widmer'), ('3.1 M3', '2004-10-28 09:15:36 EDT', 'tobias_widmer')]</t>
  </si>
  <si>
    <t>2005-02-07 13:03:46 EST</t>
  </si>
  <si>
    <t>2004-10-19 13:22 EDT</t>
  </si>
  <si>
    <t>2004-11-01 09:27:34 EST</t>
  </si>
  <si>
    <t>[('CREATED', '2004-10-19 13:22 EDT'), ('tobias_widmer', '2004-11-01 09:27:34 EST', 'dirk_baeumer'), ('dirk_baeumer', '2004-11-02 04:54:11 EST', 'tobias_widmer'), ('3.1 M5', '2004-12-13 18:17:16 EST', 'dirk_baeumer'), ('FIXED', '2005-02-07 13:03:46 EST', 'dirk_baeumer'), ('RESOLVED', '2005-02-07 13:03:46 EST', 'dirk_baeumer')]</t>
  </si>
  <si>
    <t>2004-10-29 11:24:14 EDT</t>
  </si>
  <si>
    <t>2004-10-21 13:52 EDT</t>
  </si>
  <si>
    <t>2004-10-25 05:51:26 EDT</t>
  </si>
  <si>
    <t>[('CREATED', '2004-10-21 13:52 EDT'), ('markus_keller', '2004-10-25 05:51:26 EDT', 'dirk_baeumer'), ('Unqualified class name from content assist in Move refactoring dialog [refactoring] [move]', '2004-10-25 05:51:26 EDT', 'dirk_baeumer'), ('3.1 M3', '2004-10-25 05:51:26 EDT', 'dirk_baeumer'), ('RESOLVED', '2004-10-29 11:24:14 EDT', 'markus.kell.r'), ('FIXED', '2004-10-29 11:24:14 EDT', 'markus.kell.r')]</t>
  </si>
  <si>
    <t>2004-10-25 05:39:26 EDT</t>
  </si>
  <si>
    <t>2004-10-22 10:57 EDT</t>
  </si>
  <si>
    <t>[('CREATED', '2004-10-22 10:57 EDT'), ('RESOLVED', '2004-10-25 05:39:26 EDT', 'dirk_baeumer'), ('DUPLICATE', '2004-10-25 05:39:26 EDT', 'dirk_baeumer')]</t>
  </si>
  <si>
    <t>2004-10-26 05:26:32 EDT</t>
  </si>
  <si>
    <t>2009-08-30 02:18:18 EDT</t>
  </si>
  <si>
    <t>2004-10-25 08:08 EDT</t>
  </si>
  <si>
    <t>2004-10-25 09:56:41 EDT</t>
  </si>
  <si>
    <t>[('CREATED', '2004-10-25 08:08 EDT'), ('jdt-ui-inbox', '2004-10-25 09:56:41 EDT', 'jerome_lanneluc'), ('UI', '2004-10-25 09:56:41 EDT', 'jerome_lanneluc'), ('RESOLVED', '2004-10-26 05:26:32 EDT', 'dirk_baeumer'), ('LATER', '2004-10-26 05:26:32 EDT', 'dirk_baeumer'), ('Add new CDI parameter to consructor from field. [refactoring]', '2004-10-26 05:26:32 EDT', 'dirk_baeumer'), ('helpwanted', '2004-10-26 05:27:06 EDT', 'dirk_baeumer'), ('WONTFIX', '2009-08-30 02:18:18 EDT', 'denis.roy')]</t>
  </si>
  <si>
    <t>2004-10-26 05:28:10 EDT</t>
  </si>
  <si>
    <t>2009-08-30 02:42:28 EDT</t>
  </si>
  <si>
    <t>2004-10-25 08:11 EDT</t>
  </si>
  <si>
    <t>2004-10-25 09:56:23 EDT</t>
  </si>
  <si>
    <t>[('CREATED', '2004-10-25 08:11 EDT'), ('jdt-ui-inbox', '2004-10-25 09:56:23 EDT', 'jerome_lanneluc'), ('UI', '2004-10-25 09:56:23 EDT', 'jerome_lanneluc'), ('Replace Setter with CDI Parameter', '2004-10-25 09:56:23 EDT', 'jerome_lanneluc'), ('RESOLVED', '2004-10-26 05:28:10 EDT', 'dirk_baeumer'), ('helpwanted', '2004-10-26 05:28:10 EDT', 'dirk_baeumer'), ('LATER', '2004-10-26 05:28:10 EDT', 'dirk_baeumer'), ('Replace Setter with CDI Parameter [refactoring]', '2004-10-26 05:28:10 EDT', 'dirk_baeumer'), ('WONTFIX', '2009-08-30 02:42:28 EDT', 'webmaster')]</t>
  </si>
  <si>
    <t>2004-10-28 10:41:46 EDT</t>
  </si>
  <si>
    <t>2004-11-04 11:48:47 EST</t>
  </si>
  <si>
    <t>2004-10-26 08:39 EDT</t>
  </si>
  <si>
    <t>2004-10-26 08:39:44 EDT</t>
  </si>
  <si>
    <t>[('CREATED', '2004-10-26 08:39 EDT'), ('P2', '2004-10-26 08:39:44 EDT', 'dirk_baeumer'), ('3.1 M4', '2004-10-26 08:39:44 EDT', 'dirk_baeumer'), ('RESOLVED', '2004-10-28 10:41:46 EDT', 'tobias_widmer'), ('FIXED', '2004-10-28 10:41:46 EDT', 'tobias_widmer'), ('3.1 M3', '2004-10-28 10:41:46 EDT', 'tobias_widmer'), ('VERIFIED', '2004-11-04 11:48:47 EST', 'tobias_widmer')]</t>
  </si>
  <si>
    <t>2004-10-28 11:11:56 EDT</t>
  </si>
  <si>
    <t>2004-10-27 04:41 EDT</t>
  </si>
  <si>
    <t>2004-10-27 04:53:47 EDT</t>
  </si>
  <si>
    <t>[('CREATED', '2004-10-27 04:41 EDT'), ('jdt-ui-inbox', '2004-10-27 04:53:47 EDT', 'philippe_mulet'), ('UI', '2004-10-27 04:53:47 EDT', 'philippe_mulet'), ('tobias_widmer', '2004-10-28 06:11:32 EDT', 'dirk_baeumer'), ('"Move member type to new file" produces extraneous import of even more inner classes [refactoring]', '2004-10-28 06:11:32 EDT', 'dirk_baeumer'), ('3.1', '2004-10-28 06:11:32 EDT', 'dirk_baeumer'), ('RESOLVED', '2004-10-28 11:11:56 EDT', 'tobias_widmer'), ('FIXED', '2004-10-28 11:11:56 EDT', 'tobias_widmer'), ('3.1 M3', '2004-10-28 11:11:56 EDT', 'tobias_widmer')]</t>
  </si>
  <si>
    <t>2004-12-02 11:53:35 EST</t>
  </si>
  <si>
    <t>2004-10-27 08:07 EDT</t>
  </si>
  <si>
    <t>2004-10-27 08:13:01 EDT</t>
  </si>
  <si>
    <t>camle</t>
  </si>
  <si>
    <t>[('CREATED', '2004-10-27 08:07 EDT'), ('JDT', '2004-10-27 08:13:01 EDT', 'thomas'), ('camle', '2004-12-01 02:46:11 EST', 'thomas'), ('jjsimpso, dwhare', '2004-12-01 11:47:43 EST', 'camle'), ('RESOLVED', '2004-12-02 11:53:35 EST', 'camle'), ('INVALID', '2004-12-02 11:53:35 EST', 'camle')]</t>
  </si>
  <si>
    <t>2004-11-17 05:13:12 EST</t>
  </si>
  <si>
    <t>2004-10-27 12:23 EDT</t>
  </si>
  <si>
    <t>2004-10-27 12:29:43 EDT</t>
  </si>
  <si>
    <t>[('CREATED', '2004-10-27 12:23 EDT'), ('jdt-ui-inbox', '2004-10-27 12:29:43 EDT', 'frederic_fusier'), ('UI', '2004-10-27 12:29:43 EDT', 'frederic_fusier'), ('Problem on refactoring [refactoring]', '2004-10-28 05:33:26 EDT', 'dirk_baeumer'), ('WORKSFORME', '2004-11-17 05:13:12 EST', 'dirk_baeumer'), ('RESOLVED', '2004-11-17 05:13:12 EST', 'dirk_baeumer')]</t>
  </si>
  <si>
    <t>2004-11-02 10:45:53 EST</t>
  </si>
  <si>
    <t>2004-10-28 11:23 EDT</t>
  </si>
  <si>
    <t>2004-10-28 11:38:22 EDT</t>
  </si>
  <si>
    <t>[('CREATED', '2004-10-28 11:23 EDT'), ('jdt-ui-inbox', '2004-10-28 11:38:22 EDT', 'frederic_fusier'), ('UI', '2004-10-28 11:38:22 EDT', 'frederic_fusier'), ('martin_aeschlimann', '2004-10-29 07:04:36 EDT', 'dirk_baeumer'), ("'Remove declaration' quick fix for variable has side effects [quick fix]", '2004-10-29 07:04:36 EDT', 'dirk_baeumer'), ('RESOLVED', '2004-11-02 10:45:53 EST', 'martinae'), ('WORKSFORME', '2004-11-02 10:45:53 EST', 'martinae')]</t>
  </si>
  <si>
    <t>2004-10-29 06:58:06 EDT</t>
  </si>
  <si>
    <t>2009-08-30 02:22:11 EDT</t>
  </si>
  <si>
    <t>2004-10-28 12:33 EDT</t>
  </si>
  <si>
    <t>[('CREATED', '2004-10-28 12:33 EDT'), ('RESOLVED', '2004-10-29 06:58:06 EDT', 'dirk_baeumer'), ('P4', '2004-10-29 06:58:06 EDT', 'dirk_baeumer'), ('LATER', '2004-10-29 06:58:06 EDT', 'dirk_baeumer'), ('if doing a global search replace, have an option to do an "organize import" for each file that had a replace [search]', '2004-10-29 06:58:06 EDT', 'dirk_baeumer'), ('WONTFIX', '2009-08-30 02:22:11 EDT', 'denis.roy')]</t>
  </si>
  <si>
    <t>2005-04-28 19:06:05 EDT</t>
  </si>
  <si>
    <t>2005-05-10 12:46:27 EDT</t>
  </si>
  <si>
    <t>2004-10-29 10:43 EDT</t>
  </si>
  <si>
    <t>2004-10-29 10:43:46 EDT</t>
  </si>
  <si>
    <t>[('CREATED', '2004-10-29 10:43 EDT'), ('P2', '2004-10-29 10:43:46 EDT', 'dirk_baeumer'), ('3.1', '2004-10-29 10:43:46 EDT', 'dirk_baeumer'), ('RESOLVED', '2005-04-28 19:06:05 EDT', 'dirk_baeumer'), ('FIXED', '2005-04-28 19:06:05 EDT', 'dirk_baeumer'), ('3.1 M7', '2005-04-28 19:06:05 EDT', 'dirk_baeumer'), ('VERIFIED', '2005-05-10 12:46:27 EDT', 'eclipse')]</t>
  </si>
  <si>
    <t>2006-04-20 04:50:18 EDT</t>
  </si>
  <si>
    <t>2004-11-01 19:06 EST</t>
  </si>
  <si>
    <t>2004-11-01 19:15:56 EST</t>
  </si>
  <si>
    <t>[('CREATED', '2004-11-01 19:06 EST'), ('3.1', '2004-11-01 19:15:56 EST', 'dirk_baeumer'), ('3.2', '2005-05-27 10:14:11 EDT', 'tobias_widmer'), ('RESOLVED', '2006-04-20 04:50:18 EDT', 'tobias_widmer'), ('FIXED', '2006-04-20 04:50:18 EDT', 'tobias_widmer'), ('3.2 RC2', '2006-04-20 04:50:18 EDT', 'tobias_widmer')]</t>
  </si>
  <si>
    <t>2004-11-08 04:53:14 EST</t>
  </si>
  <si>
    <t>2004-11-01 19:11 EST</t>
  </si>
  <si>
    <t>2004-11-01 19:15:22 EST</t>
  </si>
  <si>
    <t>[('CREATED', '2004-11-01 19:11 EST'), ('Pull up: strange change tree [refactoring] [pull up]', '2004-11-01 19:15:22 EST', 'dirk_baeumer'), ('3.1 M4', '2004-11-01 19:15:22 EST', 'dirk_baeumer'), ('RESOLVED', '2004-11-08 04:53:14 EST', 'tobias_widmer'), ('FIXED', '2004-11-08 04:53:14 EST', 'tobias_widmer')]</t>
  </si>
  <si>
    <t>2004-11-17 08:10:36 EST</t>
  </si>
  <si>
    <t>2004-11-01 19:14 EST</t>
  </si>
  <si>
    <t>2004-11-01 19:14:45 EST</t>
  </si>
  <si>
    <t>[('CREATED', '2004-11-01 19:14 EST'), ('3.1 M4', '2004-11-01 19:14:45 EST', 'dirk_baeumer'), ('RESOLVED', '2004-11-17 08:10:36 EST', 'tobias_widmer'), ('FIXED', '2004-11-17 08:10:36 EST', 'tobias_widmer')]</t>
  </si>
  <si>
    <t>2004-11-02 05:12:12 EST</t>
  </si>
  <si>
    <t>2004-11-01 19:20 EST</t>
  </si>
  <si>
    <t>2004-11-01 19:20:17 EST</t>
  </si>
  <si>
    <t>[('CREATED', '2004-11-01 19:20 EST'), ('3.1 M3', '2004-11-01 19:20:17 EST', 'dirk_baeumer'), ('RESOLVED', '2004-11-02 05:12:12 EST', 'tobias_widmer'), ('FIXED', '2004-11-02 05:12:12 EST', 'tobias_widmer')]</t>
  </si>
  <si>
    <t>2004-11-08 06:16:24 EST</t>
  </si>
  <si>
    <t>2004-11-02 06:12 EST</t>
  </si>
  <si>
    <t>2004-11-02 07:38:52 EST</t>
  </si>
  <si>
    <t>[('CREATED', '2004-11-02 06:12 EST'), ('3.1 M3', '2004-11-02 07:38:52 EST', 'tobias_widmer'), ('3.1 M4', '2004-11-05 07:11:49 EST', 'markus.kell.r'), ('RESOLVED', '2004-11-08 06:16:24 EST', 'tobias_widmer'), ('FIXED', '2004-11-08 06:16:24 EST', 'tobias_widmer')]</t>
  </si>
  <si>
    <t>2005-02-01 10:11:51 EST</t>
  </si>
  <si>
    <t>2004-11-02 13:15 EST</t>
  </si>
  <si>
    <t>2004-11-03 13:18:58 EST</t>
  </si>
  <si>
    <t>[('CREATED', '2004-11-02 13:15 EST'), ('markus_keller', '2004-11-03 13:18:58 EST', 'dirk_baeumer'), ('Change method signature dialog displays error status on unchanged settings [refactoring]', '2004-11-03 14:14:20 EST', 'markus.kell.r'), ('RESOLVED', '2005-02-01 10:11:51 EST', 'markus.kell.r'), ('FIXED', '2005-02-01 10:11:51 EST', 'markus.kell.r'), ('3.1 M5', '2005-02-01 10:11:51 EST', 'markus.kell.r')]</t>
  </si>
  <si>
    <t>2004-11-08 11:01:32 EST</t>
  </si>
  <si>
    <t>2004-11-03 05:30 EST</t>
  </si>
  <si>
    <t>2004-11-03 09:36:52 EST</t>
  </si>
  <si>
    <t>[('CREATED', '2004-11-03 05:30 EST'), ('markus_keller', '2004-11-03 09:36:52 EST', 'martinae'), ('3.1 M4', '2004-11-03 12:49:32 EST', 'dirk_baeumer'), ('RESOLVED', '2004-11-08 11:01:32 EST', 'markus.kell.r'), ('All', '2004-11-08 11:01:32 EST', 'markus.kell.r'), ('All', '2004-11-08 11:01:32 EST', 'markus.kell.r'), ('FIXED', '2004-11-08 11:01:32 EST', 'markus.kell.r')]</t>
  </si>
  <si>
    <t>2005-02-08 12:26:09 EST</t>
  </si>
  <si>
    <t>2004-11-03 05:48 EST</t>
  </si>
  <si>
    <t>2004-11-03 09:46:10 EST</t>
  </si>
  <si>
    <t>[('CREATED', '2004-11-03 05:48 EST'), ('markus_keller', '2004-11-03 09:46:10 EST', 'martinae'), ('ASSIGNED', '2004-11-03 10:09:38 EST', 'markus.kell.r'), ('Move CompilationUnit/Type refactoring does not update static imports', '2004-11-03 10:09:38 EST', 'markus.kell.r'), ('3.1 M4', '2004-11-03 10:09:38 EST', 'markus.kell.r'), ('tobias_widmer', '2004-11-03 12:47:55 EST', 'dirk_baeumer'), ('NEW', '2004-11-03 12:47:55 EST', 'dirk_baeumer'), ('3.1 M5', '2004-12-10 13:09:51 EST', 'tobias_widmer'), ('RESOLVED', '2005-02-08 12:26:09 EST', 'tobias_widmer'), ('FIXED', '2005-02-08 12:26:09 EST', 'tobias_widmer')]</t>
  </si>
  <si>
    <t>81110 (view as bug list)</t>
  </si>
  <si>
    <t>79698</t>
  </si>
  <si>
    <t>2005-01-05 09:33:20 EST</t>
  </si>
  <si>
    <t>2004-11-03 06:21 EST</t>
  </si>
  <si>
    <t>2004-11-23 16:41:14 EST</t>
  </si>
  <si>
    <t>[('CREATED', '2004-11-03 06:21 EST'), ('john_arthorne', '2004-11-23 16:41:14 EST', 'john.arthorne'), ('platform-text-inbox', '2004-11-24 10:00:37 EST', 'john.arthorne'), ('Text', '2004-11-24 10:00:37 EST', 'john.arthorne'), ('eclipse', '2004-11-24 10:42:18 EST', 'daniel_megert'), ('ASSIGNED', '2004-11-24 10:54:32 EST', 'eclipse'), ('3.1 M4', '2004-11-24 10:54:32 EST', 'eclipse'), ('dirk_baeumer', '2004-11-24 12:12:44 EST', 'john.arthorne'), ('79698', '2004-11-29 14:22:58 EST', 'john.arthorne'), ('eclipse', '2004-12-07 07:10:50 EST', 'eclipse'), ('jdt-ui-inbox', '2004-12-07 07:10:50 EST', 'eclipse'), ('NEW', '2004-12-07 07:10:50 EST', 'eclipse'), ('UI', '2004-12-07 07:10:50 EST', 'eclipse'), ('JDT', '2004-12-07 07:10:50 EST', 'eclipse'), ('dirk_baeumer', '2004-12-07 13:56:32 EST', 'dirk_baeumer'), ('3.1 M5', '2004-12-12 17:41:13 EST', 'dirk_baeumer'), ('kai-uwe_maetzel', '2004-12-17 09:49:17 EST', 'dirk_baeumer'), ('RESOLVED', '2005-01-05 09:33:20 EST', 'dirk_baeumer'), ('FIXED', '2005-01-05 09:33:20 EST', 'dirk_baeumer')]</t>
  </si>
  <si>
    <t>2005-01-05 08:57:42 EST</t>
  </si>
  <si>
    <t>2004-11-03 07:06 EST</t>
  </si>
  <si>
    <t>2004-11-04 11:17:45 EST</t>
  </si>
  <si>
    <t>[('CREATED', '2004-11-03 07:06 EST'), ('tobias_widmer', '2004-11-04 11:17:45 EST', 'dirk_baeumer'), ('RESOLVED', '2005-01-05 08:57:42 EST', 'tobias_widmer'), ('FIXED', '2005-01-05 08:57:42 EST', 'tobias_widmer'), ('3.1 M5', '2005-01-05 08:57:42 EST', 'tobias_widmer')]</t>
  </si>
  <si>
    <t>2004-12-06 06:58:14 EST</t>
  </si>
  <si>
    <t>2004-11-03 07:23 EST</t>
  </si>
  <si>
    <t>2004-12-06 06:58:34 EST</t>
  </si>
  <si>
    <t>[('CREATED', '2004-11-03 07:23 EST'), ('RESOLVED', '2004-12-06 06:58:14 EST', 'tobias_widmer'), ('FIXED', '2004-12-06 06:58:14 EST', 'tobias_widmer'), ('3.1 M4', '2004-12-06 06:58:34 EST', 'tobias_widmer')]</t>
  </si>
  <si>
    <t>2004-11-09 06:40:26 EST</t>
  </si>
  <si>
    <t>2004-11-03 08:53 EST</t>
  </si>
  <si>
    <t>2004-11-03 10:21:34 EST</t>
  </si>
  <si>
    <t>[('CREATED', '2004-11-03 08:53 EST'), ('christof_marti', '2004-11-03 10:21:34 EST', 'christof_marti'), ('RESOLVED', '2004-11-09 06:40:26 EST', 'tobias_widmer'), ('FIXED', '2004-11-09 06:40:26 EST', 'tobias_widmer'), ('3.1 M4', '2004-11-09 06:40:26 EST', 'tobias_widmer')]</t>
  </si>
  <si>
    <t>2004-11-08 04:54:28 EST</t>
  </si>
  <si>
    <t>2004-11-03 08:58 EST</t>
  </si>
  <si>
    <t>2004-11-04 11:19:12 EST</t>
  </si>
  <si>
    <t>[('CREATED', '2004-11-03 08:58 EST'), ('tobias_widmer', '2004-11-04 11:19:12 EST', 'dirk_baeumer'), ('Unused imports after Push Down [refactoring] [push down]', '2004-11-04 11:19:12 EST', 'dirk_baeumer'), ('3.1 M4', '2004-11-04 11:19:12 EST', 'dirk_baeumer'), ('FIXED', '2004-11-08 04:54:28 EST', 'tobias_widmer'), ('RESOLVED', '2004-11-08 04:54:28 EST', 'tobias_widmer')]</t>
  </si>
  <si>
    <t>2004-11-09 06:49:14 EST</t>
  </si>
  <si>
    <t>2004-11-03 09:05 EST</t>
  </si>
  <si>
    <t>2004-11-04 11:19:49 EST</t>
  </si>
  <si>
    <t>[('CREATED', '2004-11-03 09:05 EST'), ('tobias_widmer', '2004-11-04 11:19:49 EST', 'dirk_baeumer'), ('Rename Enum Constant: wrong new name validation message [refactoring] [rename]', '2004-11-04 11:19:49 EST', 'dirk_baeumer'), ('3.1 M4', '2004-11-04 11:19:49 EST', 'dirk_baeumer'), ('RESOLVED', '2004-11-09 06:49:14 EST', 'tobias_widmer'), ('FIXED', '2004-11-09 06:49:14 EST', 'tobias_widmer')]</t>
  </si>
  <si>
    <t>2004-12-10 12:46:30 EST</t>
  </si>
  <si>
    <t>2004-11-03 09:10 EST</t>
  </si>
  <si>
    <t>2004-11-03 09:10:52 EST</t>
  </si>
  <si>
    <t>[('CREATED', '2004-11-03 09:10 EST'), ('3.1 M4', '2004-11-03 09:10:52 EST', 'dirk_baeumer'), ('RESOLVED', '2004-12-10 12:46:30 EST', 'tobias_widmer'), ('FIXED', '2004-12-10 12:46:30 EST', 'tobias_widmer')]</t>
  </si>
  <si>
    <t>2004-11-09 05:01:43 EST</t>
  </si>
  <si>
    <t>2004-11-03 09:20 EST</t>
  </si>
  <si>
    <t>2004-11-03 09:21:06 EST</t>
  </si>
  <si>
    <t>[('CREATED', '2004-11-03 09:20 EST'), ('3.1 M4', '2004-11-03 09:21:06 EST', 'dirk_baeumer'), ('RESOLVED', '2004-11-09 05:01:43 EST', 'tobias_widmer'), ('FIXED', '2004-11-09 05:01:43 EST', 'tobias_widmer')]</t>
  </si>
  <si>
    <t>RESOLVED  DUPLICATE  of bug 77622</t>
  </si>
  <si>
    <t>2004-11-03 18:31:08 EST</t>
  </si>
  <si>
    <t>2004-11-03 09:21 EST</t>
  </si>
  <si>
    <t>2004-11-03 12:54:17 EST</t>
  </si>
  <si>
    <t>[('CREATED', '2004-11-03 09:21 EST'), ('tobias_widmer', '2004-11-03 12:54:17 EST', 'dirk_baeumer'), ('Rename Enum Constant shows invalid error message for static import [refactoring] [rename]', '2004-11-03 12:54:17 EST', 'dirk_baeumer'), ('RESOLVED', '2004-11-03 18:31:08 EST', 'tobias_widmer'), ('DUPLICATE', '2004-11-03 18:31:08 EST', 'tobias_widmer')]</t>
  </si>
  <si>
    <t>2004-11-08 10:53:31 EST</t>
  </si>
  <si>
    <t>2004-11-03 09:23 EST</t>
  </si>
  <si>
    <t>2004-11-03 09:23:55 EST</t>
  </si>
  <si>
    <t>[('CREATED', '2004-11-03 09:23 EST'), ('3.1 M4', '2004-11-03 09:23:55 EST', 'dirk_baeumer'), ('RESOLVED', '2004-11-08 10:53:31 EST', 'tobias_widmer'), ('FIXED', '2004-11-08 10:53:31 EST', 'tobias_widmer')]</t>
  </si>
  <si>
    <t>77619 (view as bug list)</t>
  </si>
  <si>
    <t>78082</t>
  </si>
  <si>
    <t>2004-11-18 11:33:13 EST</t>
  </si>
  <si>
    <t>2004-11-03 09:24 EST</t>
  </si>
  <si>
    <t>2004-11-03 12:53:34 EST</t>
  </si>
  <si>
    <t>[('CREATED', '2004-11-03 09:24 EST'), ('markus_keller', '2004-11-03 12:53:34 EST', 'dirk_baeumer'), ('Invalid problem report when renaming statically imported field [refactoring] [rename]', '2004-11-03 12:53:34 EST', 'dirk_baeumer'), ('3.1 M4', '2004-11-03 12:53:34 EST', 'dirk_baeumer'), ('markus_keller', '2004-11-03 18:31:08 EST', 'tobias_widmer'), ('78082', '2004-11-08 11:55:55 EST', 'markus.kell.r'), (nan, '2004-11-08 11:55:55 EST', 'markus.kell.r'), ('RESOLVED', '2004-11-18 11:33:13 EST', 'markus.kell.r'), ('FIXED', '2004-11-18 11:33:13 EST', 'markus.kell.r')]</t>
  </si>
  <si>
    <t>2004-11-03 10:47:46 EST</t>
  </si>
  <si>
    <t>2004-11-03 09:25 EST</t>
  </si>
  <si>
    <t>2004-11-03 09:33:22 EST</t>
  </si>
  <si>
    <t>[('CREATED', '2004-11-03 09:25 EST'), ('Move inner: misses reference to type parameter [refactoring] [move inner]', '2004-11-03 09:33:22 EST', 'dirk_baeumer'), ('tobias_widmer', '2004-11-03 09:35:44 EST', 'dirk_baeumer'), ('3.1 M4', '2004-11-03 09:41:51 EST', 'dirk_baeumer'), ('RESOLVED', '2004-11-03 10:47:46 EST', 'tobias_widmer'), ('FIXED', '2004-11-03 10:47:46 EST', 'tobias_widmer')]</t>
  </si>
  <si>
    <t>2004-11-03 09:56:16 EST</t>
  </si>
  <si>
    <t>2004-11-03 09:28 EST</t>
  </si>
  <si>
    <t>2004-11-03 09:28:40 EST</t>
  </si>
  <si>
    <t>[('CREATED', '2004-11-03 09:28 EST'), ('jdt-ui-inbox', '2004-11-03 09:28:40 EST', 'dirk_baeumer'), ('3.1 M4', '2004-11-03 09:28:40 EST', 'dirk_baeumer'), ('tobias_widmer', '2004-11-03 09:29:00 EST', 'dirk_baeumer'), ('RESOLVED', '2004-11-03 09:56:16 EST', 'tobias_widmer'), ('FIXED', '2004-11-03 09:56:16 EST', 'tobias_widmer')]</t>
  </si>
  <si>
    <t>2005-05-25 08:47:37 EDT</t>
  </si>
  <si>
    <t>2005-05-27 09:48:22 EDT</t>
  </si>
  <si>
    <t>2004-11-03 09:32 EST</t>
  </si>
  <si>
    <t>2004-11-03 09:32:44 EST</t>
  </si>
  <si>
    <t>[('CREATED', '2004-11-03 09:32 EST'), ('3.1 M4', '2004-11-03 09:32:44 EST', 'dirk_baeumer'), ('3.1 RC1', '2005-05-17 04:32:52 EDT', 'tobias_widmer'), ('RESOLVED', '2005-05-25 08:47:37 EDT', 'tobias_widmer'), ('FIXED', '2005-05-25 08:47:37 EDT', 'tobias_widmer'), ('VERIFIED', '2005-05-27 09:48:22 EDT', 'dirk_baeumer')]</t>
  </si>
  <si>
    <t>2004-12-12 18:08:28 EST</t>
  </si>
  <si>
    <t>2004-11-03 10:33 EST</t>
  </si>
  <si>
    <t>2004-11-04 07:31:34 EST</t>
  </si>
  <si>
    <t>[('CREATED', '2004-11-03 10:33 EST'), ('3.1 M4', '2004-11-04 07:31:34 EST', 'dirk_baeumer'), ('dirk_baeumer', '2004-11-04 11:20:40 EST', 'dirk_baeumer'), ('RESOLVED', '2004-12-12 18:08:28 EST', 'dirk_baeumer'), ('FIXED', '2004-12-12 18:08:28 EST', 'dirk_baeumer')]</t>
  </si>
  <si>
    <t>2004-11-08 06:13:45 EST</t>
  </si>
  <si>
    <t>2004-11-03 10:44 EST</t>
  </si>
  <si>
    <t>2004-11-03 16:29:12 EST</t>
  </si>
  <si>
    <t>[('CREATED', '2004-11-03 10:44 EST'), ('tobias_widmer', '2004-11-03 16:29:12 EST', 'dirk_baeumer'), ('Move method does not work with List&lt;Integer&gt; in method body [refactoring] [move]', '2004-11-03 16:29:12 EST', 'dirk_baeumer'), ('3.1 M4', '2004-11-03 16:29:12 EST', 'dirk_baeumer'), ('RESOLVED', '2004-11-08 06:13:45 EST', 'tobias_widmer'), ('FIXED', '2004-11-08 06:13:45 EST', 'tobias_widmer')]</t>
  </si>
  <si>
    <t>2004-11-04 07:12:16 EST</t>
  </si>
  <si>
    <t>2004-11-04 15:06:52 EST</t>
  </si>
  <si>
    <t>2004-11-03 11:22 EST</t>
  </si>
  <si>
    <t>2004-11-03 11:22:51 EST</t>
  </si>
  <si>
    <t>2004-11-05 06:27:48 EST</t>
  </si>
  <si>
    <t>t.p.ellison</t>
  </si>
  <si>
    <t>[('CREATED', '2004-11-03 11:22 EST'), ('3.1 M4', '2004-11-03 11:22:51 EST', 'dirk_baeumer'), ('martin_aeschlimann', '2004-11-03 11:29:27 EST', 'dirk_baeumer'), ('3.1 M3', '2004-11-04 07:12:16 EST', 'markus.kell.r'), ('RESOLVED', '2004-11-04 07:12:16 EST', 'markus.kell.r'), ('FIXED', '2004-11-04 07:12:16 EST', 'markus.kell.r'), ('VERIFIED', '2004-11-04 15:06:52 EST', 'markus.kell.r'), ('Tim_Ellison', '2004-11-05 06:22:26 EST', 'dirk_baeumer'), (nan, '2004-11-05 06:27:48 EST', 't.p.ellison')]</t>
  </si>
  <si>
    <t>2004-12-14 09:07:23 EST</t>
  </si>
  <si>
    <t>2004-11-03 11:50 EST</t>
  </si>
  <si>
    <t>2004-11-03 16:32:50 EST</t>
  </si>
  <si>
    <t>[('CREATED', '2004-11-03 11:50 EST'), ('tobias_widmer', '2004-11-03 16:32:50 EST', 'dirk_baeumer'), ('Move Member Type to New File does not increase visibility of member [refactoring] [move inner]', '2004-11-03 16:32:50 EST', 'dirk_baeumer'), ('3.1 M4', '2004-11-03 16:32:50 EST', 'dirk_baeumer'), ('3.1 M5', '2004-12-10 13:08:05 EST', 'tobias_widmer'), ('RESOLVED', '2004-12-14 09:07:23 EST', 'tobias_widmer'), ('FIXED', '2004-12-14 09:07:23 EST', 'tobias_widmer'), ('3.1 M4', '2004-12-14 09:07:23 EST', 'tobias_widmer')]</t>
  </si>
  <si>
    <t>2004-11-03 12:00 EST</t>
  </si>
  <si>
    <t>2004-11-03 16:33:55 EST</t>
  </si>
  <si>
    <t>2019-04-30 05:25:40 EDT</t>
  </si>
  <si>
    <t>[('CREATED', '2004-11-03 12:00 EST'), ('tobias_widmer', '2004-11-03 16:33:55 EST', 'dirk_baeumer'), ('minor', '2004-11-03 16:33:55 EST', 'dirk_baeumer'), ('Move Member Type to New File does not supply type parameter in field of enclosing instance [refactoring] [move inner]', '2004-11-03 16:33:55 EST', 'dirk_baeumer'), ('N.Metchev', '2005-11-03 05:45:44 EST', 'nikolaymetchev'), ('[move member type] does not supply type parameter in field of enclosing instance [refactoring]', '2006-05-29 05:58:49 EDT', 'tobias_widmer'), ('jdt-ui-inbox', '2007-06-14 10:44:42 EDT', 'martinae'), ('stalebug', '2019-04-29 11:53:17 EDT', 'genie'), (nan, '2019-04-30 05:25:40 EDT', 'daniel_megert'), ('daniel_megert', '2019-04-30 05:25:40 EDT', 'daniel_megert'), ('ASSIGNED', '2019-04-30 05:25:40 EDT', 'daniel_megert')]</t>
  </si>
  <si>
    <t>2020-01-20 15:56:06 EST</t>
  </si>
  <si>
    <t>2004-11-03 12:01 EST</t>
  </si>
  <si>
    <t>2004-11-03 15:39:20 EST</t>
  </si>
  <si>
    <t>[('CREATED', '2004-11-03 12:01 EST'), ('markus_keller', '2004-11-03 15:39:20 EST', 'dirk_baeumer'), ('3.1', '2004-11-03 15:39:20 EST', 'dirk_baeumer'), ('ASSIGNED', '2004-11-04 05:21:42 EST', 'markus.kell.r'), ('---', '2005-05-19 13:25:44 EDT', 'dirk_baeumer'), ('[infer type arguments] unclear what happens if only one CU is generified', '2006-08-03 10:33:38 EDT', 'martinae'), ('CLOSED', '2020-01-20 15:56:06 EST', 'genie'), ('stalebug', '2020-01-20 15:56:06 EST', 'genie'), ('WONTFIX', '2020-01-20 15:56:06 EST', 'genie')]</t>
  </si>
  <si>
    <t>RESOLVED  DUPLICATE  of bug 77765</t>
  </si>
  <si>
    <t>2004-11-03 18:33:11 EST</t>
  </si>
  <si>
    <t>2004-11-03 15:45 EST</t>
  </si>
  <si>
    <t>[('CREATED', '2004-11-03 15:45 EST'), ('RESOLVED', '2004-11-03 18:33:11 EST', 'tobias_widmer'), ('DUPLICATE', '2004-11-03 18:33:11 EST', 'tobias_widmer')]</t>
  </si>
  <si>
    <t>77762 (view as bug list)</t>
  </si>
  <si>
    <t>2004-11-19 06:44:22 EST</t>
  </si>
  <si>
    <t>2004-11-03 16:13 EST</t>
  </si>
  <si>
    <t>2004-11-03 16:14:16 EST</t>
  </si>
  <si>
    <t>[('CREATED', '2004-11-03 16:13 EST'), ('3.1 M4', '2004-11-03 16:14:16 EST', 'dirk_baeumer'), ('RESOLVED', '2004-11-19 06:44:22 EST', 'tobias_widmer'), ('FIXED', '2004-11-19 06:44:22 EST', 'tobias_widmer')]</t>
  </si>
  <si>
    <t>2006-06-15 04:17:12 EDT</t>
  </si>
  <si>
    <t>2004-11-04 03:52 EST</t>
  </si>
  <si>
    <t>2004-11-04 04:42:42 EST</t>
  </si>
  <si>
    <t>[('CREATED', '2004-11-04 03:52 EST'), ('ASSIGNED', '2004-11-04 04:42:42 EST', 'dirk_baeumer'), ('Add "Introduce return value" refactoring [refactoring] [introduce return value]', '2004-11-04 04:42:42 EST', 'dirk_baeumer'), ('martin_aeschlimann', '2006-06-15 04:17:12 EDT', 'martinae'), ('RESOLVED', '2006-06-15 04:17:12 EDT', 'martinae'), ('WORKSFORME', '2006-06-15 04:17:12 EDT', 'martinae')]</t>
  </si>
  <si>
    <t>91506</t>
  </si>
  <si>
    <t>2006-08-03 10:32:19 EDT</t>
  </si>
  <si>
    <t>2004-11-04 11:27 EST</t>
  </si>
  <si>
    <t>2004-11-04 11:28:01 EST</t>
  </si>
  <si>
    <t>[('CREATED', '2004-11-04 11:27 EST'), ('markus_keller', '2004-11-04 11:28:01 EST', 'markus.kell.r'), ('3.1 M4', '2004-11-04 11:28:01 EST', 'markus.kell.r'), ('78087', '2004-11-08 14:47:56 EST', 'markus.kell.r'), ('ASSIGNED', '2004-11-08 14:47:56 EST', 'markus.kell.r'), ('3.1 M5', '2004-12-14 02:58:00 EST', 'markus.kell.r'), ('3.1 M6', '2005-02-14 15:14:03 EST', 'markus.kell.r'), ('3.1 M7', '2005-03-29 03:10:59 EST', 'markus.kell.r'), ('---', '2005-04-15 06:17:28 EDT', 'markus.kell.r'), ('91506', '2005-04-15 06:17:28 EDT', 'markus.kell.r'), ('3.3', '2006-08-03 10:10:48 EDT', 'martinae'), ("[refactoring] Don't show Bindings.asString(..) in UI", '2006-08-03 10:11:41 EDT', 'martinae'), ('RESOLVED', '2006-08-03 10:32:19 EDT', 'markus.kell.r'), ('WORKSFORME', '2006-08-03 10:32:19 EDT', 'markus.kell.r'), ('---', '2006-08-03 10:32:19 EDT', 'markus.kell.r')]</t>
  </si>
  <si>
    <t>77856 (view as bug list)</t>
  </si>
  <si>
    <t>2005-05-04 06:19:04 EDT</t>
  </si>
  <si>
    <t>2004-11-04 11:51 EST</t>
  </si>
  <si>
    <t>2004-11-04 12:03:27 EST</t>
  </si>
  <si>
    <t>[('CREATED', '2004-11-04 11:51 EST'), ('markus_keller', '2004-11-04 12:03:27 EST', 'martinae'), ('3.1 M4', '2004-11-04 12:49:10 EST', 'dirk_baeumer'), ('3.1 M5', '2004-12-14 03:05:13 EST', 'markus.kell.r'), ('ASSIGNED', '2005-02-15 04:49:20 EST', 'markus.kell.r'), ('3.1 M6', '2005-02-15 04:49:20 EST', 'markus.kell.r'), ('3.1 M7', '2005-03-29 08:49:47 EST', 'markus.kell.r'), ('RESOLVED', '2005-05-04 06:19:04 EDT', 'markus.kell.r'), ('INVALID', '2005-05-04 06:19:04 EDT', 'markus.kell.r')]</t>
  </si>
  <si>
    <t>RESOLVED  DUPLICATE  of bug 77855</t>
  </si>
  <si>
    <t>2004-11-04 11:53:57 EST</t>
  </si>
  <si>
    <t>2004-11-04 11:52 EST</t>
  </si>
  <si>
    <t>[('CREATED', '2004-11-04 11:52 EST'), ('RESOLVED', '2004-11-04 11:53:57 EST', 'tobias_widmer'), ('DUPLICATE', '2004-11-04 11:53:57 EST', 'tobias_widmer')]</t>
  </si>
  <si>
    <t>2004-11-08 05:10:23 EST</t>
  </si>
  <si>
    <t>2004-11-04 16:27 EST</t>
  </si>
  <si>
    <t>2004-11-04 21:02:24 EST</t>
  </si>
  <si>
    <t>[('CREATED', '2004-11-04 16:27 EST'), ('jdt-ui-inbox', '2004-11-04 21:02:24 EST', 'Olivier_Thomann'), ('UI', '2004-11-04 21:02:24 EST', 'Olivier_Thomann'), ('markus_keller', '2004-11-05 06:14:53 EST', 'dirk_baeumer'), ('Java refactor (renaming a class name) missed something [refactoring] [rename]', '2004-11-05 06:14:53 EST', 'dirk_baeumer'), ('3.1 M4', '2004-11-05 06:14:53 EST', 'dirk_baeumer'), ('ASSIGNED', '2004-11-05 06:55:28 EST', 'markus.kell.r'), ('RESOLVED', '2004-11-08 05:10:23 EST', 'markus.kell.r'), ('FIXED', '2004-11-08 05:10:23 EST', 'markus.kell.r')]</t>
  </si>
  <si>
    <t>2005-05-19 10:54:55 EDT</t>
  </si>
  <si>
    <t>2005-05-27 06:39:25 EDT</t>
  </si>
  <si>
    <t>2004-11-05 04:54 EST</t>
  </si>
  <si>
    <t>2004-11-05 04:55:01 EST</t>
  </si>
  <si>
    <t>[('CREATED', '2004-11-05 04:54 EST'), ('P2', '2004-11-05 04:55:01 EST', 'markus.kell.r'), ('3.1 M4', '2004-11-05 04:55:01 EST', 'markus.kell.r'), ('ASSIGNED', '2004-11-09 18:46:28 EST', 'markus.kell.r'), ('3.1 M5', '2004-12-14 03:05:30 EST', 'markus.kell.r'), ('3.1 M6', '2005-02-15 04:49:21 EST', 'markus.kell.r'), ('3.1 M7', '2005-03-29 08:49:47 EST', 'markus.kell.r'), ('3.1 RC1', '2005-05-12 09:46:23 EDT', 'markus.kell.r'), ('RESOLVED', '2005-05-19 10:54:55 EDT', 'markus.kell.r'), ('P3', '2005-05-19 10:54:55 EDT', 'markus.kell.r'), ('FIXED', '2005-05-19 10:54:55 EDT', 'markus.kell.r'), ('VERIFIED', '2005-05-27 06:39:25 EDT', 'dirk_baeumer')]</t>
  </si>
  <si>
    <t>2004-11-08 06:13:01 EST</t>
  </si>
  <si>
    <t>2004-11-05 07:14 EST</t>
  </si>
  <si>
    <t>2004-11-05 08:40:37 EST</t>
  </si>
  <si>
    <t>[('CREATED', '2004-11-05 07:14 EST'), ('tobias_widmer', '2004-11-05 08:40:37 EST', 'dirk_baeumer'), ('Move Instance Method shows referenced field twice in list [refactoring] [move]', '2004-11-05 08:40:37 EST', 'dirk_baeumer'), ('3.1 M4', '2004-11-05 08:40:37 EST', 'dirk_baeumer'), ('RESOLVED', '2004-11-08 06:13:01 EST', 'tobias_widmer'), ('FIXED', '2004-11-08 06:13:01 EST', 'tobias_widmer')]</t>
  </si>
  <si>
    <t>2004-11-19 06:43:47 EST</t>
  </si>
  <si>
    <t>2004-11-05 09:59 EST</t>
  </si>
  <si>
    <t>2004-11-05 11:08:33 EST</t>
  </si>
  <si>
    <t>[('CREATED', '2004-11-05 09:59 EST'), ('tobias_widmer', '2004-11-05 11:08:33 EST', 'dirk_baeumer'), ('Move Instance Method: should adapt Javadocs [refactoring] [move method]', '2004-11-05 11:08:33 EST', 'dirk_baeumer'), ('3.1 M4', '2004-11-05 11:09:07 EST', 'dirk_baeumer'), ('RESOLVED', '2004-11-19 06:43:47 EST', 'tobias_widmer'), ('FIXED', '2004-11-19 06:43:47 EST', 'tobias_widmer')]</t>
  </si>
  <si>
    <t>RESOLVED  DUPLICATE  of bug 77631</t>
  </si>
  <si>
    <t>2004-11-05 11:33:53 EST</t>
  </si>
  <si>
    <t>2004-11-05 10:40 EST</t>
  </si>
  <si>
    <t>2004-11-05 11:09:39 EST</t>
  </si>
  <si>
    <t>[('CREATED', '2004-11-05 10:40 EST'), ('tobias_widmer', '2004-11-05 11:09:39 EST', 'dirk_baeumer'), ('Move Instance Method without delegate: null used as receiver [refactoring] [move]', '2004-11-05 11:09:39 EST', 'dirk_baeumer'), ('3.1 M4', '2004-11-05 11:09:39 EST', 'dirk_baeumer'), ('DUPLICATE', '2004-11-05 11:33:53 EST', 'tobias_widmer'), ('RESOLVED', '2004-11-05 11:33:53 EST', 'tobias_widmer')]</t>
  </si>
  <si>
    <t>2004-11-05 11:47 EST</t>
  </si>
  <si>
    <t>2004-11-05 12:39:11 EST</t>
  </si>
  <si>
    <t>2010-11-04 06:43:42 EDT</t>
  </si>
  <si>
    <t>[('CREATED', '2004-11-05 11:47 EST'), ('Should warn user if refactoring changes API [refactoring]', '2004-11-05 12:39:11 EST', 'dirk_baeumer'), ('ASSIGNED', '2004-12-23 12:49:01 EST', 'dirk_baeumer'), ('Should warn user if refactoring changes API [refactoring] [2]', '2004-12-23 12:49:01 EST', 'dirk_baeumer'), ('[refactoring] [dcr] Should warn user if refactoring changes API', '2006-06-15 12:21:09 EDT', 'martinae'), ('daniel_megert', '2010-11-04 06:43:42 EDT', 'daniel_megert'), ('[refactoring] Should warn user if refactoring changes API', '2010-11-04 06:43:42 EDT', 'daniel_megert')]</t>
  </si>
  <si>
    <t>152977 (view as bug list)</t>
  </si>
  <si>
    <t>2007-04-19 12:08:57 EDT</t>
  </si>
  <si>
    <t>2007-05-04 02:39:00 EDT</t>
  </si>
  <si>
    <t>2004-11-08 06:18 EST</t>
  </si>
  <si>
    <t>2005-08-18 07:22:25 EDT</t>
  </si>
  <si>
    <t>[('CREATED', '2004-11-08 06:18 EST'), ('Full Javadoc line selected even though only a character has been added to a word', '2005-08-18 07:22:25 EDT', 'daniel_megert'), ('polish', '2006-04-05 16:39:56 EDT', 'michaelvanmeekeren'), ('mvm', '2006-04-05 16:41:53 EDT', 'michaelvanmeekeren'), ('ASSIGNED', '2006-07-11 11:14:28 EDT', 'valentam'), ('3.3', '2006-07-11 11:14:28 EDT', 'valentam'), ('markus_keller', '2006-08-07 11:13:16 EDT', 'markus.kell.r'), ('Michael_Valenta', '2007-04-18 20:58:59 EDT', 'valentam'), ('NEW', '2007-04-18 20:58:59 EDT', 'valentam'), ('3.3 M7', '2007-04-18 20:58:59 EDT', 'valentam'), ('UI', '2007-04-19 09:45:23 EDT', 'valentam'), ('JDT', '2007-04-19 09:45:23 EDT', 'valentam'), ('[Compare] Full Javadoc line selected even though only a character has been added to a word', '2007-04-19 09:45:23 EDT', 'valentam'), ('Michael_Valenta', '2007-04-19 09:45:23 EDT', 'valentam'), ('jdt-ui-inbox', '2007-04-19 09:45:23 EDT', 'valentam'), ('daniel_megert', '2007-04-19 10:40:00 EDT', 'daniel_megert'), ('RESOLVED', '2007-04-19 12:08:57 EDT', 'daniel_megert'), ('FIXED', '2007-04-19 12:08:57 EDT', 'daniel_megert'), ('VERIFIED', '2007-05-04 02:39:00 EDT', 'daniel_megert')]</t>
  </si>
  <si>
    <t>2004-11-09 08:36:20 EST</t>
  </si>
  <si>
    <t>2004-11-08 17:57 EST</t>
  </si>
  <si>
    <t>2004-11-08 18:36:05 EST</t>
  </si>
  <si>
    <t>[('CREATED', '2004-11-08 17:57 EST'), ('jdt-ui-inbox', '2004-11-08 18:36:05 EST', 'Olivier_Thomann'), ('UI', '2004-11-08 18:36:05 EST', 'Olivier_Thomann'), ('RESOLVED', '2004-11-09 08:36:20 EST', 'dirk_baeumer'), ('WORKSFORME', '2004-11-09 08:36:20 EST', 'dirk_baeumer')]</t>
  </si>
  <si>
    <t>85676 87227 (view as bug list)</t>
  </si>
  <si>
    <t>2005-01-31 05:47:46 EST</t>
  </si>
  <si>
    <t>2004-11-09 17:51 EST</t>
  </si>
  <si>
    <t>2004-11-10 06:33:42 EST</t>
  </si>
  <si>
    <t>2005-03-07 04:20:53 EST</t>
  </si>
  <si>
    <t>[('CREATED', '2004-11-09 17:51 EST'), ('markus_keller', '2004-11-10 06:33:42 EST', 'dirk_baeumer'), ('[1.5] Varargs not supported in change method signature [refactoring] [change method signature]', '2004-11-10 06:33:42 EST', 'dirk_baeumer'), ('3.1 M4', '2004-11-10 06:33:42 EST', 'dirk_baeumer'), ('3.1 M5', '2004-12-14 02:58:41 EST', 'markus.kell.r'), ('RESOLVED', '2005-01-31 05:47:46 EST', 'markus.kell.r'), ('FIXED', '2005-01-31 05:47:46 EST', 'markus.kell.r'), ('immanuel.scholz', '2005-02-23 11:21:52 EST', 'markus.kell.r'), ('neimad915', '2005-03-07 04:20:53 EST', 'markus.kell.r')]</t>
  </si>
  <si>
    <t>2004-11-10 08:28 EST</t>
  </si>
  <si>
    <t>2004-11-10 09:42:07 EST</t>
  </si>
  <si>
    <t>[('CREATED', '2004-11-10 08:28 EST'), ('frederic_fusier', '2004-11-10 09:42:07 EST', 'frederic_fusier'), ('[search] Refactoring Rename Method of abstract method to "execute" fails with unexpected exception', '2004-11-10 09:42:07 EST', 'frederic_fusier'), ('frederic_fusier', '2004-11-22 05:42:01 EST', 'frederic_fusier'), ('jdt-ui-inbox', '2004-11-22 05:42:01 EST', 'frederic_fusier'), ('UI', '2004-11-22 05:42:01 EST', 'frederic_fusier'), ('markus_keller', '2004-11-22 07:10:50 EST', 'markus.kell.r'), ('RESOLVED', '2004-11-22 07:10:50 EST', 'markus.kell.r'), ('DUPLICATE', '2004-11-22 07:10:50 EST', 'markus.kell.r')]</t>
  </si>
  <si>
    <t>2004-12-06 06:02:00 EST</t>
  </si>
  <si>
    <t>2004-11-16 05:40 EST</t>
  </si>
  <si>
    <t>2004-11-16 05:41:32 EST</t>
  </si>
  <si>
    <t>[('CREATED', '2004-11-16 05:40 EST'), ('tobias_widmer', '2004-11-16 05:41:32 EST', 'markus.kell.r'), ('3.1 M5', '2004-11-16 05:41:32 EST', 'markus.kell.r'), ('RESOLVED', '2004-12-06 06:02:00 EST', 'tobias_widmer'), ('FIXED', '2004-12-06 06:02:00 EST', 'tobias_widmer')]</t>
  </si>
  <si>
    <t>2004-11-22 09:33:40 EST</t>
  </si>
  <si>
    <t>2004-11-16 05:46 EST</t>
  </si>
  <si>
    <t>[('CREATED', '2004-11-16 05:46 EST'), ('RESOLVED', '2004-11-22 09:33:40 EST', 'markus.kell.r'), ('WORKSFORME', '2004-11-22 09:33:40 EST', 'markus.kell.r')]</t>
  </si>
  <si>
    <t>2004-11-16 08:51:11 EST</t>
  </si>
  <si>
    <t>2009-08-30 02:06:37 EDT</t>
  </si>
  <si>
    <t>2004-11-16 06:25 EST</t>
  </si>
  <si>
    <t>[('CREATED', '2004-11-16 06:25 EST'), ('RESOLVED', '2004-11-16 08:51:11 EST', 'dirk_baeumer'), ('REMIND', '2004-11-16 08:51:11 EST', 'dirk_baeumer'), ('needinfo', '2009-08-30 02:06:37 EDT', 'denis.roy'), ('INVALID', '2009-08-30 02:06:37 EDT', 'denis.roy')]</t>
  </si>
  <si>
    <t>2004-12-12 18:24:46 EST</t>
  </si>
  <si>
    <t>2004-11-17 14:54 EST</t>
  </si>
  <si>
    <t>2004-11-18 08:53:48 EST</t>
  </si>
  <si>
    <t>[('CREATED', '2004-11-17 14:54 EST'), ('dirk_baeumer', '2004-11-18 08:53:48 EST', 'dirk_baeumer'), ('3.1 M4', '2004-11-18 08:53:48 EST', 'dirk_baeumer'), ('RESOLVED', '2004-12-12 18:24:46 EST', 'dirk_baeumer'), ('FIXED', '2004-12-12 18:24:46 EST', 'dirk_baeumer')]</t>
  </si>
  <si>
    <t>2004-11-18 13:18:48 EST</t>
  </si>
  <si>
    <t>2009-05-04 06:36:55 EDT</t>
  </si>
  <si>
    <t>2004-11-18 13:08 EST</t>
  </si>
  <si>
    <t>2009-05-04 06:37:10 EDT</t>
  </si>
  <si>
    <t>[('CREATED', '2004-11-18 13:08 EST'), ('RESOLVED', '2004-11-18 13:18:48 EST', 'dirk_baeumer'), ('LATER', '2004-11-18 13:18:48 EST', 'dirk_baeumer'), ('Extract method should allow static method modifier [refactoring] [extract method] [3]', '2004-11-18 13:18:48 EST', 'dirk_baeumer'), ('---', '2009-05-04 06:36:55 EDT', 'markus.kell.r'), ('[extract method] Extract method should allow static method modifier', '2009-05-04 06:36:55 EDT', 'markus.kell.r'), ('markus_keller', '2009-05-04 06:36:55 EDT', 'markus.kell.r'), ('REOPENED', '2009-05-04 06:36:55 EDT', 'markus.kell.r'), ('ASSIGNED', '2009-05-04 06:37:10 EDT', 'markus.kell.r'), ('P5', '2009-05-04 06:37:10 EDT', 'markus.kell.r')]</t>
  </si>
  <si>
    <t>2004-12-13 03:56:50 EST</t>
  </si>
  <si>
    <t>2004-11-18 16:23 EST</t>
  </si>
  <si>
    <t>2004-11-19 14:28:33 EST</t>
  </si>
  <si>
    <t>[('CREATED', '2004-11-18 16:23 EST'), ('markus_keller', '2004-11-19 14:28:33 EST', 'markus.kell.r'), ('martin_aeschlimann', '2004-11-19 14:28:33 EST', 'markus.kell.r'), ('enhancement', '2004-11-19 14:28:33 EST', 'markus.kell.r'), ('dirk_baeumer', '2004-12-12 17:20:56 EST', 'martinae'), ('martin_aeschlimann', '2004-12-12 17:21:24 EST', 'martinae'), ('RESOLVED', '2004-12-13 03:56:50 EST', 'dirk_baeumer'), ('DUPLICATE', '2004-12-13 03:56:50 EST', 'dirk_baeumer')]</t>
  </si>
  <si>
    <t>75642</t>
  </si>
  <si>
    <t>2005-01-21 12:19:10 EST</t>
  </si>
  <si>
    <t>2004-11-18 17:12 EST</t>
  </si>
  <si>
    <t>2004-11-18 18:28:01 EST</t>
  </si>
  <si>
    <t>[('CREATED', '2004-11-18 17:12 EST'), ('jdt-ui-inbox', '2004-11-18 18:28:01 EST', 'Olivier_Thomann'), ('UI', '2004-11-18 18:28:01 EST', 'Olivier_Thomann'), ('markus_keller', '2004-11-23 05:12:14 EST', 'martinae'), ('75642', '2004-11-25 06:09:57 EST', 'markus.kell.r'), ('3.1 M5', '2005-01-21 12:19:10 EST', 'markus.kell.r'), ('RESOLVED', '2005-01-21 12:19:10 EST', 'markus.kell.r'), ('FIXED', '2005-01-21 12:19:10 EST', 'markus.kell.r')]</t>
  </si>
  <si>
    <t>2004-11-22 06:58:05 EST</t>
  </si>
  <si>
    <t>2004-11-20 12:06 EST</t>
  </si>
  <si>
    <t>2004-11-22 04:56:06 EST</t>
  </si>
  <si>
    <t>[('CREATED', '2004-11-20 12:06 EST'), ('markus_keller', '2004-11-22 04:56:06 EST', 'markus.kell.r'), ('3.1 M4', '2004-11-22 04:56:06 EST', 'markus.kell.r'), ('RESOLVED', '2004-11-22 06:58:05 EST', 'markus.kell.r'), ('FIXED', '2004-11-22 06:58:05 EST', 'markus.kell.r')]</t>
  </si>
  <si>
    <t>2004-11-22 05:36:54 EST</t>
  </si>
  <si>
    <t>2009-08-30 02:05:35 EDT</t>
  </si>
  <si>
    <t>2004-11-20 14:42 EST</t>
  </si>
  <si>
    <t>[('CREATED', '2004-11-20 14:42 EST'), ('RESOLVED', '2004-11-22 05:36:54 EST', 'martinae'), ('REMIND', '2004-11-22 05:36:54 EST', 'martinae'), ('needinfo', '2009-08-30 02:05:35 EDT', 'denis.roy'), ('INVALID', '2009-08-30 02:05:35 EDT', 'denis.roy')]</t>
  </si>
  <si>
    <t>RESOLVED  DUPLICATE  of bug 79272</t>
  </si>
  <si>
    <t>2004-12-06 12:45:59 EST</t>
  </si>
  <si>
    <t>2004-11-22 07:14 EST</t>
  </si>
  <si>
    <t>2004-11-22 07:20:01 EST</t>
  </si>
  <si>
    <t>[('CREATED', '2004-11-22 07:14 EST'), ('jdt-ui-inbox', '2004-11-22 07:20:01 EST', 'philippe_mulet'), ('UI', '2004-11-22 07:20:01 EST', 'philippe_mulet'), ('markus_keller', '2004-11-23 05:14:05 EST', 'martinae'), ('DUPLICATE', '2004-12-06 12:45:59 EST', 'markus.kell.r'), ('RESOLVED', '2004-12-06 12:45:59 EST', 'markus.kell.r')]</t>
  </si>
  <si>
    <t>2006-08-03 10:41:55 EDT</t>
  </si>
  <si>
    <t>2009-08-30 02:05:36 EDT</t>
  </si>
  <si>
    <t>2004-11-22 07:17 EST</t>
  </si>
  <si>
    <t>2004-11-22 07:19:41 EST</t>
  </si>
  <si>
    <t>[('CREATED', '2004-11-22 07:17 EST'), ('jdt-ui-inbox', '2004-11-22 07:19:41 EST', 'philippe_mulet'), ('UI', '2004-11-22 07:19:41 EST', 'philippe_mulet'), ('markus_keller', '2004-11-23 05:13:28 EST', 'martinae'), ('[move static members] instance field refactoring bug in 3.1m2', '2006-08-03 10:41:55 EDT', 'martinae'), ('RESOLVED', '2006-08-03 10:41:55 EDT', 'martinae'), ('REMIND', '2006-08-03 10:41:55 EDT', 'martinae'), ('needinfo', '2009-08-30 02:05:36 EDT', 'denis.roy'), ('INVALID', '2009-08-30 02:05:36 EDT', 'denis.roy'), ('jdt-ui-inbox', '2009-08-30 02:05:36 EDT', 'denis.roy')]</t>
  </si>
  <si>
    <t>2004-11-23 10:36:38 EST</t>
  </si>
  <si>
    <t>2004-11-22 15:23 EST</t>
  </si>
  <si>
    <t>[('CREATED', '2004-11-22 15:23 EST'), ('RESOLVED', '2004-11-23 10:36:38 EST', 'tobias_widmer'), ('FIXED', '2004-11-23 10:36:38 EST', 'tobias_widmer'), ('3.1 M4', '2004-11-23 10:36:38 EST', 'tobias_widmer')]</t>
  </si>
  <si>
    <t>2004-11-29 12:14:56 EST</t>
  </si>
  <si>
    <t>2004-11-22 22:57 EST</t>
  </si>
  <si>
    <t>2004-11-23 10:09:49 EST</t>
  </si>
  <si>
    <t>[('CREATED', '2004-11-22 22:57 EST'), ('jdt-ui-inbox', '2004-11-23 10:09:49 EST', 'Olivier_Thomann'), ('UI', '2004-11-23 10:09:49 EST', 'Olivier_Thomann'), ('tobias_widmer', '2004-11-24 05:28:10 EST', 'martinae'), ('FIXED', '2004-11-29 12:14:56 EST', 'tobias_widmer'), ('3.1 M4', '2004-11-29 12:14:56 EST', 'tobias_widmer'), ('RESOLVED', '2004-11-29 12:14:56 EST', 'tobias_widmer')]</t>
  </si>
  <si>
    <t>79171 (view as bug list)</t>
  </si>
  <si>
    <t>2005-02-08 14:22:13 EST</t>
  </si>
  <si>
    <t>2004-11-23 07:36 EST</t>
  </si>
  <si>
    <t>2004-11-23 07:37:40 EST</t>
  </si>
  <si>
    <t>[('CREATED', '2004-11-23 07:36 EST'), ('exception thrown during refactoring: 3.1M3', '2004-11-23 07:37:40 EST', 'mikea'), ('jdt-ui-inbox', '2004-11-25 11:48:28 EST', 'jerome_lanneluc'), ('UI', '2004-11-25 11:48:28 EST', 'jerome_lanneluc'), ('markus_keller', '2004-11-26 05:10:56 EST', 'martinae'), ('75642', '2004-12-06 12:43:16 EST', 'markus.kell.r'), ('RESOLVED', '2005-02-08 14:22:13 EST', 'markus.kell.r'), ('FIXED', '2005-02-08 14:22:13 EST', 'markus.kell.r'), ('3.1 M5', '2005-02-08 14:22:13 EST', 'markus.kell.r')]</t>
  </si>
  <si>
    <t>2004-12-06 08:47:54 EST</t>
  </si>
  <si>
    <t>2004-11-23 09:11 EST</t>
  </si>
  <si>
    <t>2004-11-24 05:09:38 EST</t>
  </si>
  <si>
    <t>[('CREATED', '2004-11-23 09:11 EST'), ('tobias_widmer', '2004-11-24 05:09:38 EST', 'martinae'), ('RESOLVED', '2004-12-06 08:47:54 EST', 'tobias_widmer'), ('FIXED', '2004-12-06 08:47:54 EST', 'tobias_widmer'), ('3.1 M4', '2004-12-06 08:47:54 EST', 'tobias_widmer')]</t>
  </si>
  <si>
    <t>2004-12-12 18:48:51 EST</t>
  </si>
  <si>
    <t>2004-11-23 09:16 EST</t>
  </si>
  <si>
    <t>2004-11-24 05:13:00 EST</t>
  </si>
  <si>
    <t>[('CREATED', '2004-11-23 09:16 EST'), ('dirk_baeumer', '2004-11-24 05:13:00 EST', 'martinae'), ('3.1 M4', '2004-11-29 12:06:28 EST', 'dirk_baeumer'), ('RESOLVED', '2004-12-12 18:48:51 EST', 'dirk_baeumer'), ('FIXED', '2004-12-12 18:48:51 EST', 'dirk_baeumer')]</t>
  </si>
  <si>
    <t>2004-12-06 07:03:52 EST</t>
  </si>
  <si>
    <t>2004-11-23 09:19 EST</t>
  </si>
  <si>
    <t>2004-11-24 05:13:27 EST</t>
  </si>
  <si>
    <t>[('CREATED', '2004-11-23 09:19 EST'), ('tobias_widmer', '2004-11-24 05:13:27 EST', 'martinae'), ('RESOLVED', '2004-12-06 07:03:52 EST', 'tobias_widmer'), ('FIXED', '2004-12-06 07:03:52 EST', 'tobias_widmer'), ('3.1 M4', '2004-12-06 07:03:52 EST', 'tobias_widmer')]</t>
  </si>
  <si>
    <t>2007-07-12 11:20:45 EDT</t>
  </si>
  <si>
    <t>2004-11-23 12:49 EST</t>
  </si>
  <si>
    <t>2004-11-24 05:44:41 EST</t>
  </si>
  <si>
    <t>[('CREATED', '2004-11-23 12:49 EST'), ('tobias_widmer', '2004-11-24 05:44:41 EST', 'martinae'), ('[ccp] replacing directory with a file of the same name containing this very file will delete file and directory', '2006-05-29 05:59:30 EDT', 'tobias_widmer'), ('benno_baumgartner', '2007-06-14 10:28:50 EDT', 'martinae'), ('3.4', '2007-06-14 10:28:50 EDT', 'martinae'), ('ASSIGNED', '2007-07-12 04:31:29 EDT', 'benno.baumgartner'), ('RESOLVED', '2007-07-12 11:20:45 EDT', 'benno.baumgartner'), ('FIXED', '2007-07-12 11:20:45 EDT', 'benno.baumgartner'), ('3.4 M1', '2007-07-12 11:20:45 EDT', 'benno.baumgartner')]</t>
  </si>
  <si>
    <t>2004-11-29 12:05:20 EST</t>
  </si>
  <si>
    <t>2009-08-30 02:19:45 EDT</t>
  </si>
  <si>
    <t>2004-11-23 17:36 EST</t>
  </si>
  <si>
    <t>2004-11-24 06:19:48 EST</t>
  </si>
  <si>
    <t>[('CREATED', '2004-11-23 17:36 EST'), ('dirk_baeumer', '2004-11-24 06:19:48 EST', 'martinae'), ('RESOLVED', '2004-11-29 12:05:20 EST', 'dirk_baeumer'), ('LATER', '2004-11-29 12:05:20 EST', 'dirk_baeumer'), ('Add ability to apply the same refactoring over and over. [refactoring] [3]', '2004-11-29 12:05:20 EST', 'dirk_baeumer'), ('WONTFIX', '2009-08-30 02:19:45 EDT', 'denis.roy'), ('jdt-ui-inbox', '2009-08-30 02:19:45 EDT', 'denis.roy')]</t>
  </si>
  <si>
    <t>2004-11-24 06:58:02 EST</t>
  </si>
  <si>
    <t>2004-11-23 17:38 EST</t>
  </si>
  <si>
    <t>2004-11-23 17:38:38 EST</t>
  </si>
  <si>
    <t>[('CREATED', '2004-11-23 17:38 EST'), ('No "Back" button in Preview dialog for Change Signature refactoring', '2004-11-23 17:38:38 EST', 'ggregory'), ('markus_keller', '2004-11-24 06:20:24 EST', 'martinae'), ('RESOLVED', '2004-11-24 06:58:02 EST', 'markus.kell.r'), ('DUPLICATE', '2004-11-24 06:58:02 EST', 'markus.kell.r')]</t>
  </si>
  <si>
    <t>2004-11-24 11:11:36 EST</t>
  </si>
  <si>
    <t>2004-11-24 11:32:36 EST</t>
  </si>
  <si>
    <t>2004-11-24 06:23 EST</t>
  </si>
  <si>
    <t>2004-11-24 06:23:35 EST</t>
  </si>
  <si>
    <t>[('CREATED', '2004-11-24 06:23 EST'), ('P1', '2004-11-24 06:23:35 EST', 'daniel_megert'), ('Move to new file refactoring does not detect', '2004-11-24 06:23:35 EST', 'daniel_megert'), ('RESOLVED', '2004-11-24 11:11:36 EST', 'tobias_widmer'), ('FIXED', '2004-11-24 11:11:36 EST', 'tobias_widmer'), ('3.1 M4', '2004-11-24 11:11:36 EST', 'tobias_widmer'), ('VERIFIED', '2004-11-24 11:32:36 EST', 'daniel_megert')]</t>
  </si>
  <si>
    <t>2005-09-21 06:53:08 EDT</t>
  </si>
  <si>
    <t>2005-09-22 11:06:58 EDT</t>
  </si>
  <si>
    <t>2004-11-24 11:21 EST</t>
  </si>
  <si>
    <t>2004-11-25 05:13:40 EST</t>
  </si>
  <si>
    <t>[('CREATED', '2004-11-24 11:21 EST'), ('tobias_widmer', '2004-11-25 05:13:40 EST', 'martinae'), ('dirk_baeumer', '2004-12-06 07:00:21 EST', 'tobias_widmer'), ('markus_keller', '2005-01-03 09:15:06 EST', 'markus.kell.r'), ('3.2 M3', '2005-09-21 06:53:08 EDT', 'tobias_widmer'), ('RESOLVED', '2005-09-21 06:53:08 EDT', 'tobias_widmer'), ('FIXED', '2005-09-21 06:53:08 EDT', 'tobias_widmer'), ('3.2 M2', '2005-09-21 07:09:25 EDT', 'daniel_megert'), ('VERIFIED', '2005-09-22 11:06:58 EDT', 'martinae')]</t>
  </si>
  <si>
    <t>2004-11-29 07:05:34 EST</t>
  </si>
  <si>
    <t>2004-11-24 12:03 EST</t>
  </si>
  <si>
    <t>2004-11-25 05:21:57 EST</t>
  </si>
  <si>
    <t>[('CREATED', '2004-11-24 12:03 EST'), ('tobias_widmer', '2004-11-25 05:21:57 EST', 'martinae'), ('RESOLVED', '2004-11-29 07:05:34 EST', 'tobias_widmer'), ('FIXED', '2004-11-29 07:05:34 EST', 'tobias_widmer'), ('3.1 M4', '2004-11-29 07:05:34 EST', 'tobias_widmer')]</t>
  </si>
  <si>
    <t>2004-11-25 05:41:31 EST</t>
  </si>
  <si>
    <t>2004-11-24 12:31 EST</t>
  </si>
  <si>
    <t>[('CREATED', '2004-11-24 12:31 EST'), ('RESOLVED', '2004-11-25 05:41:31 EST', 'markus.kell.r'), ('FIXED', '2004-11-25 05:41:31 EST', 'markus.kell.r'), ('3.1 M4', '2004-11-25 05:41:31 EST', 'markus.kell.r')]</t>
  </si>
  <si>
    <t>RESOLVED  DUPLICATE  of bug 79566</t>
  </si>
  <si>
    <t>2004-11-29 03:58:49 EST</t>
  </si>
  <si>
    <t>2004-11-26 06:29 EST</t>
  </si>
  <si>
    <t>[('CREATED', '2004-11-26 06:29 EST'), ('RESOLVED', '2004-11-29 03:58:49 EST', 'martinae'), ('DUPLICATE', '2004-11-29 03:58:49 EST', 'martinae')]</t>
  </si>
  <si>
    <t>2004-12-03 18:40:56 EST</t>
  </si>
  <si>
    <t>2009-08-30 02:12:24 EDT</t>
  </si>
  <si>
    <t>2004-11-27 03:11 EST</t>
  </si>
  <si>
    <t>[('CREATED', '2004-11-27 03:11 EST'), ('RESOLVED', '2004-12-03 18:40:56 EST', 'dirk_baeumer'), ('P4', '2004-12-03 18:40:56 EST', 'dirk_baeumer'), ('LATER', '2004-12-03 18:40:56 EST', 'dirk_baeumer'), ('Refactoring "Introduce field as parameter" [refactoring]', '2004-12-03 18:40:56 EST', 'dirk_baeumer'), ('WONTFIX', '2009-08-30 02:12:24 EDT', 'denis.roy')]</t>
  </si>
  <si>
    <t>80479 (view as bug list)</t>
  </si>
  <si>
    <t>2004-12-08 13:44:46 EST</t>
  </si>
  <si>
    <t>2004-11-30 10:18 EST</t>
  </si>
  <si>
    <t>2004-11-30 10:36:35 EST</t>
  </si>
  <si>
    <t>[('CREATED', '2004-11-30 10:18 EST'), ('wassimm', '2004-11-30 10:36:35 EST', 'n.a.edgar'), ('christof_marti', '2004-12-08 13:44:00 EST', 'dirk_baeumer'), ('RESOLVED', '2004-12-08 13:44:46 EST', 'dirk_baeumer'), ('FIXED', '2004-12-08 13:44:46 EST', 'dirk_baeumer')]</t>
  </si>
  <si>
    <t>2005-05-01 18:37:59 EDT</t>
  </si>
  <si>
    <t>2004-11-30 15:04 EST</t>
  </si>
  <si>
    <t>2004-12-23 13:15:49 EST</t>
  </si>
  <si>
    <t>[('CREATED', '2004-11-30 15:04 EST'), ('ASSIGNED', '2004-12-23 13:15:49 EST', 'dirk_baeumer'), ('P4', '2004-12-23 13:15:49 EST', 'dirk_baeumer'), ('MultiTypeSelectionDialog contains duplicate indistinguishable types [dialogs]', '2004-12-23 13:15:49 EST', 'dirk_baeumer'), ('RESOLVED', '2005-05-01 18:37:59 EDT', 'dirk_baeumer'), ('FIXED', '2005-05-01 18:37:59 EDT', 'dirk_baeumer'), ('3.1 M7', '2005-05-01 18:37:59 EDT', 'dirk_baeumer')]</t>
  </si>
  <si>
    <t>2004-12-06 11:58:50 EST</t>
  </si>
  <si>
    <t>2004-12-01 13:20 EST</t>
  </si>
  <si>
    <t>2004-12-01 13:20:29 EST</t>
  </si>
  <si>
    <t>[('CREATED', '2004-12-01 13:20 EST'), ('3.1 M4', '2004-12-01 13:20:29 EST', 'dirk_baeumer'), ('RESOLVED', '2004-12-06 11:58:50 EST', 'tobias_widmer'), ('FIXED', '2004-12-06 11:58:50 EST', 'tobias_widmer')]</t>
  </si>
  <si>
    <t>43724 84029 88437 (view as bug list)</t>
  </si>
  <si>
    <t>2005-05-25 06:43:08 EDT</t>
  </si>
  <si>
    <t>2005-05-27 07:13:29 EDT</t>
  </si>
  <si>
    <t>2004-12-01 13:25 EST</t>
  </si>
  <si>
    <t>2004-12-02 06:49:02 EST</t>
  </si>
  <si>
    <t>[('CREATED', '2004-12-01 13:25 EST'), ('tobias_widmer', '2004-12-02 06:49:02 EST', 'dirk_baeumer'), ('3.1', '2004-12-02 06:49:02 EST', 'dirk_baeumer'), ('dirk_baeumer', '2005-01-31 06:31:40 EST', 'tobias_widmer'), ('N.Metchev', '2005-02-14 04:26:10 EST', 'tobias_widmer'), ('christof_marti', '2005-03-18 07:03:20 EST', 'tobias_widmer'), ('3.1 M7', '2005-05-03 04:52:26 EDT', 'tobias_widmer'), ('3.1 RC1', '2005-05-11 14:05:50 EDT', 'tobias_widmer'), ('RESOLVED', '2005-05-25 06:43:08 EDT', 'tobias_widmer'), ('FIXED', '2005-05-25 06:43:08 EDT', 'tobias_widmer'), ('VERIFIED', '2005-05-27 07:13:29 EDT', 'tobias_widmer')]</t>
  </si>
  <si>
    <t>2004-12-02 06:14:28 EST</t>
  </si>
  <si>
    <t>2004-12-01 17:36 EST</t>
  </si>
  <si>
    <t>2004-12-01 19:12:52 EST</t>
  </si>
  <si>
    <t>[('CREATED', '2004-12-01 17:36 EST'), ('jdt-ui-inbox', '2004-12-01 19:12:52 EST', 'Olivier_Thomann'), ('UI', '2004-12-01 19:12:52 EST', 'Olivier_Thomann'), ('RESOLVED', '2004-12-02 06:14:28 EST', 'dirk_baeumer'), ('DUPLICATE', '2004-12-02 06:14:28 EST', 'dirk_baeumer'), ('Allow "Pull up" refactor into an interface definition [refactoring] [pull up]', '2004-12-02 06:14:28 EST', 'dirk_baeumer')]</t>
  </si>
  <si>
    <t>2004-12-02 07:03 EST</t>
  </si>
  <si>
    <t>2004-12-02 07:07:29 EST</t>
  </si>
  <si>
    <t>2019-09-05 14:53:55 EDT</t>
  </si>
  <si>
    <t>[('CREATED', '2004-12-02 07:03 EST'), ('jdt-ui-inbox', '2004-12-02 07:07:29 EST', 'frederic_fusier'), ('UI', '2004-12-02 07:07:29 EST', 'frederic_fusier'), ('dirk_baeumer', '2004-12-03 10:12:51 EST', 'dirk_baeumer'), ('Refactoring does not add parameter if method is extracted out of an inner class [refactoring]', '2004-12-03 10:12:51 EST', 'dirk_baeumer'), ('[refactoring] [extract method] Refactoring does not add parameter if method is extracted out of an inner class', '2006-04-05 13:28:59 EDT', 'dirk_baeumer'), ('[extract method] add parameter if extracted out of inner class', '2006-06-02 06:12:37 EDT', 'martinae'), ('jdt-ui-inbox', '2006-06-02 06:12:37 EDT', 'martinae'), ('BrianMiller', '2008-04-08 17:21:24 EDT', 'Brian.Miller'), ('deepak.azad', '2010-06-27 17:35:17 EDT', 'deepakazad'), ('ASSIGNED', '2010-07-28 09:53:27 EDT', 'daniel_megert'), ('daniel_megert', '2010-07-28 09:53:27 EDT', 'daniel_megert'), ('stalebug', '2019-09-05 14:53:55 EDT', 'genie')]</t>
  </si>
  <si>
    <t>2004-12-03 10:09:26 EST</t>
  </si>
  <si>
    <t>2004-12-02 10:45 EST</t>
  </si>
  <si>
    <t>2004-12-02 11:48:59 EST</t>
  </si>
  <si>
    <t>[('CREATED', '2004-12-02 10:45 EST'), ('jdt-ui-inbox', '2004-12-02 11:48:59 EST', 'daniel_megert'), ('UI', '2004-12-02 11:48:59 EST', 'daniel_megert'), ('RESOLVED', '2004-12-03 10:09:26 EST', 'dirk_baeumer'), ('WONTFIX', '2004-12-03 10:09:26 EST', 'dirk_baeumer')]</t>
  </si>
  <si>
    <t>2004-12-06 04:13:00 EST</t>
  </si>
  <si>
    <t>2004-12-03 18:42 EST</t>
  </si>
  <si>
    <t>2004-12-05 12:44:23 EST</t>
  </si>
  <si>
    <t>[('CREATED', '2004-12-03 18:42 EST'), ('jdt-ui-inbox', '2004-12-05 12:44:23 EST', 'martinae'), ('UI', '2004-12-05 12:44:23 EST', 'martinae'), ('JDT', '2004-12-05 12:44:23 EST', 'martinae'), ('RESOLVED', '2004-12-06 04:13:00 EST', 'daniel_megert'), ('WONTFIX', '2004-12-06 04:13:00 EST', 'daniel_megert')]</t>
  </si>
  <si>
    <t>2004-12-06 04:42:15 EST</t>
  </si>
  <si>
    <t>2009-08-30 02:34:08 EDT</t>
  </si>
  <si>
    <t>2004-12-05 19:50 EST</t>
  </si>
  <si>
    <t>[('CREATED', '2004-12-05 19:50 EST'), ('RESOLVED', '2004-12-06 04:42:15 EST', 'dirk_baeumer'), ('P4', '2004-12-06 04:42:15 EST', 'dirk_baeumer'), ('LATER', '2004-12-06 04:42:15 EST', 'dirk_baeumer'), ('Apply/set a standard file header to a tree of files [refactoring] [4]', '2004-12-06 04:42:15 EST', 'dirk_baeumer'), ('WONTFIX', '2009-08-30 02:34:08 EDT', 'webmaster')]</t>
  </si>
  <si>
    <t>2004-12-06 10:30:15 EST</t>
  </si>
  <si>
    <t>2004-12-06 05:55 EST</t>
  </si>
  <si>
    <t>2004-12-06 08:22:35 EST</t>
  </si>
  <si>
    <t>[('CREATED', '2004-12-06 05:55 EST'), ('tobias_widmer', '2004-12-06 08:22:35 EST', 'christof_marti'), ('RESOLVED', '2004-12-06 10:30:15 EST', 'tobias_widmer'), ('FIXED', '2004-12-06 10:30:15 EST', 'tobias_widmer'), ('3.1 M4', '2004-12-06 10:30:15 EST', 'tobias_widmer')]</t>
  </si>
  <si>
    <t>2004-12-07 06:29:12 EST</t>
  </si>
  <si>
    <t>2004-12-06 13:58 EST</t>
  </si>
  <si>
    <t>[('CREATED', '2004-12-06 13:58 EST'), ('RESOLVED', '2004-12-07 06:29:12 EST', 'dirk_baeumer'), ('DUPLICATE', '2004-12-07 06:29:12 EST', 'dirk_baeumer')]</t>
  </si>
  <si>
    <t>2004-12-07 10:19:38 EST</t>
  </si>
  <si>
    <t>2004-12-07 04:55 EST</t>
  </si>
  <si>
    <t>2004-12-07 05:00:09 EST</t>
  </si>
  <si>
    <t>[('CREATED', '2004-12-07 04:55 EST'), ('jdt-ui-inbox', '2004-12-07 05:00:09 EST', 'daniel_megert'), ('UI', '2004-12-07 05:00:09 EST', 'daniel_megert'), ('3.1 M5', '2004-12-07 06:24:38 EST', 'dirk_baeumer'), ('tobias_widmer', '2004-12-07 06:24:38 EST', 'dirk_baeumer'), ('Extract Local Variable refactoring does not remember final state [refactoring]', '2004-12-07 06:24:38 EST', 'dirk_baeumer'), ('RESOLVED', '2004-12-07 10:19:38 EST', 'tobias_widmer'), ('FIXED', '2004-12-07 10:19:38 EST', 'tobias_widmer'), ('3.1 M4', '2004-12-07 10:19:38 EST', 'tobias_widmer')]</t>
  </si>
  <si>
    <t>RESOLVED  DUPLICATE  of bug 37823</t>
  </si>
  <si>
    <t>2004-12-07 11:37:04 EST</t>
  </si>
  <si>
    <t>2004-12-07 10:06:34 EST</t>
  </si>
  <si>
    <t>2004-12-07 05:18 EST</t>
  </si>
  <si>
    <t>2004-12-07 09:58:34 EST</t>
  </si>
  <si>
    <t>[('CREATED', '2004-12-07 05:18 EST'), ('RESOLVED', '2004-12-07 09:58:34 EST', 'daniel_megert'), ('REMIND', '2004-12-07 09:58:34 EST', 'daniel_megert'), ('[misc] Allow to copy classes', '2004-12-07 09:58:34 EST', 'daniel_megert'), ('REOPENED', '2004-12-07 10:06:34 EST', 'eclipse'), ('---', '2004-12-07 10:06:34 EST', 'eclipse'), ('RESOLVED', '2004-12-07 11:37:04 EST', 'daniel_megert'), ('UI', '2004-12-07 11:37:04 EST', 'daniel_megert'), ('DUPLICATE', '2004-12-07 11:37:04 EST', 'daniel_megert')]</t>
  </si>
  <si>
    <t>2005-05-20 04:32:38 EDT</t>
  </si>
  <si>
    <t>2005-05-27 10:30:36 EDT</t>
  </si>
  <si>
    <t>2004-12-07 06:43 EST</t>
  </si>
  <si>
    <t>2004-12-07 13:57:13 EST</t>
  </si>
  <si>
    <t>[('CREATED', '2004-12-07 06:43 EST'), ('dirk_baeumer', '2004-12-07 13:57:13 EST', 'dirk_baeumer'), ('3.1', '2004-12-07 13:57:13 EST', 'dirk_baeumer'), ('RESOLVED', '2005-05-20 04:32:38 EDT', 'dirk_baeumer'), ('FIXED', '2005-05-20 04:32:38 EDT', 'dirk_baeumer'), ('3.1 RC1', '2005-05-20 04:32:38 EDT', 'dirk_baeumer'), ('VERIFIED', '2005-05-27 10:30:36 EDT', 'tobias_widmer')]</t>
  </si>
  <si>
    <t>RESOLVED  DUPLICATE  of bug 79774</t>
  </si>
  <si>
    <t>2004-12-08 13:44:00 EST</t>
  </si>
  <si>
    <t>2004-12-08 13:42:21 EST</t>
  </si>
  <si>
    <t>2004-12-08 11:15 EST</t>
  </si>
  <si>
    <t>2004-12-08 11:22:43 EST</t>
  </si>
  <si>
    <t>[('CREATED', '2004-12-08 11:15 EST'), ('jdt-ui-inbox', '2004-12-08 11:22:43 EST', 'martinae'), ('UI', '2004-12-08 11:22:43 EST', 'martinae'), ('JDT', '2004-12-08 11:22:43 EST', 'martinae'), ('RESOLVED', '2004-12-08 13:40:28 EST', 'dirk_baeumer'), ('DUPLICATE', '2004-12-08 13:40:28 EST', 'dirk_baeumer'), ('REOPENED', '2004-12-08 13:42:21 EST', 'dirk_baeumer'), ('---', '2004-12-08 13:42:21 EST', 'dirk_baeumer'), ('RESOLVED', '2004-12-08 13:44:00 EST', 'dirk_baeumer'), ('DUPLICATE', '2004-12-08 13:44:00 EST', 'dirk_baeumer')]</t>
  </si>
  <si>
    <t>2005-05-02 11:20:55 EDT</t>
  </si>
  <si>
    <t>2004-12-08 11:44 EST</t>
  </si>
  <si>
    <t>2004-12-08 11:49:57 EST</t>
  </si>
  <si>
    <t>[('CREATED', '2004-12-08 11:44 EST'), ('jdt-ui-inbox', '2004-12-08 11:49:57 EST', 'eclipse'), ('JDT', '2004-12-08 11:49:57 EST', 'eclipse'), ('markus_keller', '2004-12-08 13:38:49 EST', 'dirk_baeumer'), ('3.1', '2004-12-08 13:38:49 EST', 'dirk_baeumer'), ('RESOLVED', '2005-05-02 11:20:55 EDT', 'markus.kell.r'), ('WORKSFORME', '2005-05-02 11:20:55 EDT', 'markus.kell.r'), ('3.1 M7', '2005-05-02 11:20:55 EDT', 'markus.kell.r')]</t>
  </si>
  <si>
    <t>2004-12-17 13:02:41 EST</t>
  </si>
  <si>
    <t>2004-12-09 09:51 EST</t>
  </si>
  <si>
    <t>[('CREATED', '2004-12-09 09:51 EST'), ('RESOLVED', '2004-12-17 13:02:41 EST', 'markus.kell.r'), ('WORKSFORME', '2004-12-17 13:02:41 EST', 'markus.kell.r'), ('3.1 M5', '2004-12-17 13:02:41 EST', 'markus.kell.r')]</t>
  </si>
  <si>
    <t>2005-04-06 12:48:59 EDT</t>
  </si>
  <si>
    <t>2004-12-09 23:09 EST</t>
  </si>
  <si>
    <t>2004-12-10 06:05:41 EST</t>
  </si>
  <si>
    <t>[('CREATED', '2004-12-09 23:09 EST'), ('dirk_baeumer', '2004-12-10 06:05:41 EST', 'dirk_baeumer'), ('markus_keller', '2004-12-10 06:05:41 EST', 'dirk_baeumer'), ('3.1', '2004-12-10 06:05:41 EST', 'dirk_baeumer'), ('RESOLVED', '2005-04-06 12:48:59 EDT', 'markus.kell.r'), ('FIXED', '2005-04-06 12:48:59 EDT', 'markus.kell.r'), ('3.1 M6', '2005-04-06 12:48:59 EDT', 'markus.kell.r')]</t>
  </si>
  <si>
    <t>2005-01-03 06:47:09 EST</t>
  </si>
  <si>
    <t>2004-12-10 08:22 EST</t>
  </si>
  <si>
    <t>2004-12-13 12:48:33 EST</t>
  </si>
  <si>
    <t>[('CREATED', '2004-12-10 08:22 EST'), ('markus_keller', '2004-12-13 12:48:33 EST', 'dirk_baeumer'), ('3.1 M5', '2004-12-13 12:48:33 EST', 'dirk_baeumer'), ('RESOLVED', '2005-01-03 06:47:09 EST', 'markus.kell.r'), ('INVALID', '2005-01-03 06:47:09 EST', 'markus.kell.r')]</t>
  </si>
  <si>
    <t>RESOLVED  DUPLICATE  of bug 35921</t>
  </si>
  <si>
    <t>2004-12-13 03:54:42 EST</t>
  </si>
  <si>
    <t>2004-12-12 18:12 EST</t>
  </si>
  <si>
    <t>2004-12-12 20:59:34 EST</t>
  </si>
  <si>
    <t>[('CREATED', '2004-12-12 18:12 EST'), ('jdt-ui-inbox', '2004-12-12 20:59:34 EST', 'Olivier_Thomann'), ('UI', '2004-12-12 20:59:34 EST', 'Olivier_Thomann'), ('RESOLVED', '2004-12-13 03:54:42 EST', 'dirk_baeumer'), ('DUPLICATE', '2004-12-13 03:54:42 EST', 'dirk_baeumer'), ('New convert interface to class. [refactoring]', '2004-12-13 03:54:42 EST', 'dirk_baeumer')]</t>
  </si>
  <si>
    <t>2005-02-11 10:27:55 EST</t>
  </si>
  <si>
    <t>2009-08-30 02:23:05 EDT</t>
  </si>
  <si>
    <t>2004-12-13 12:38:32 EST</t>
  </si>
  <si>
    <t>2004-12-13 13:17:50 EST</t>
  </si>
  <si>
    <t>2004-12-13 05:44 EST</t>
  </si>
  <si>
    <t>[('CREATED', '2004-12-13 05:44 EST'), ('RESOLVED', '2004-12-13 12:38:32 EST', 'dirk_baeumer'), ('WORKSFORME', '2004-12-13 12:38:32 EST', 'dirk_baeumer'), ('REOPENED', '2004-12-13 13:17:50 EST', 'victor.toni'), ('---', '2004-12-13 13:17:50 EST', 'victor.toni'), ('RESOLVED', '2005-02-11 10:27:55 EST', 'dirk_baeumer'), ('LATER', '2005-02-11 10:27:55 EST', 'dirk_baeumer'), ('Moving files from one source folder to another with the same hierarchy is ambiguous [2]', '2005-02-11 10:27:55 EST', 'dirk_baeumer'), ('WONTFIX', '2009-08-30 02:23:05 EDT', 'denis.roy')]</t>
  </si>
  <si>
    <t>2004-12-14 09:06:26 EST</t>
  </si>
  <si>
    <t>2004-12-13 19:06 EST</t>
  </si>
  <si>
    <t>2004-12-13 19:25:45 EST</t>
  </si>
  <si>
    <t>[('CREATED', '2004-12-13 19:06 EST'), ('jdt-ui-inbox', '2004-12-13 19:25:45 EST', 'Olivier_Thomann'), ('UI', '2004-12-13 19:25:45 EST', 'Olivier_Thomann'), ('tobias_widmer', '2004-12-14 03:52:29 EST', 'dirk_baeumer'), ('3.1 M5', '2004-12-14 03:52:29 EST', 'dirk_baeumer'), ('FIXED', '2004-12-14 09:06:26 EST', 'tobias_widmer'), ('3.1 M4', '2004-12-14 09:06:26 EST', 'tobias_widmer'), ('RESOLVED', '2004-12-14 09:06:26 EST', 'tobias_widmer')]</t>
  </si>
  <si>
    <t>RESOLVED  DUPLICATE  of bug 81058</t>
  </si>
  <si>
    <t>2005-02-08 09:56:44 EST</t>
  </si>
  <si>
    <t>2004-12-14 07:25 EST</t>
  </si>
  <si>
    <t>2004-12-14 07:25:52 EST</t>
  </si>
  <si>
    <t>[('CREATED', '2004-12-14 07:25 EST'), ('markus_keller', '2004-12-14 07:25:52 EST', 'dirk_baeumer'), ('3.1 M5', '2004-12-14 07:25:52 EST', 'dirk_baeumer'), ('RESOLVED', '2005-02-08 09:56:44 EST', 'markus.kell.r'), ('DUPLICATE', '2005-02-08 09:56:44 EST', 'markus.kell.r')]</t>
  </si>
  <si>
    <t>2004-12-14 12:52:25 EST</t>
  </si>
  <si>
    <t>2004-12-14 11:59 EST</t>
  </si>
  <si>
    <t>2004-12-14 12:23:10 EST</t>
  </si>
  <si>
    <t>[('CREATED', '2004-12-14 11:59 EST'), ('markus_keller', '2004-12-14 12:23:10 EST', 'dirk_baeumer'), ('RESOLVED', '2004-12-14 12:52:25 EST', 'markus.kell.r'), ('FIXED', '2004-12-14 12:52:25 EST', 'markus.kell.r'), ('3.1 M4', '2004-12-14 12:52:25 EST', 'markus.kell.r')]</t>
  </si>
  <si>
    <t>2005-01-17 06:27:09 EST</t>
  </si>
  <si>
    <t>2004-12-14 14:04 EST</t>
  </si>
  <si>
    <t>2004-12-15 04:33:43 EST</t>
  </si>
  <si>
    <t>[('CREATED', '2004-12-14 14:04 EST'), ('tobias_widmer', '2004-12-15 04:33:43 EST', 'dirk_baeumer'), ('3.1 M5', '2004-12-15 04:33:43 EST', 'dirk_baeumer'), ('dirk_baeumer', '2004-12-15 04:48:43 EST', 'tobias_widmer'), ('RESOLVED', '2005-01-17 06:27:09 EST', 'tobias_widmer'), ('FIXED', '2005-01-17 06:27:09 EST', 'tobias_widmer')]</t>
  </si>
  <si>
    <t>RESOLVED  DUPLICATE  of bug 75894</t>
  </si>
  <si>
    <t>2004-12-15 04:32:33 EST</t>
  </si>
  <si>
    <t>2004-12-14 15:44 EST</t>
  </si>
  <si>
    <t>[('CREATED', '2004-12-14 15:44 EST'), ('RESOLVED', '2004-12-15 04:32:33 EST', 'dirk_baeumer'), ('DUPLICATE', '2004-12-15 04:32:33 EST', 'dirk_baeumer')]</t>
  </si>
  <si>
    <t>80922 (view as bug list)</t>
  </si>
  <si>
    <t>2004-12-16 05:07:56 EST</t>
  </si>
  <si>
    <t>2004-12-16 13:12:42 EST</t>
  </si>
  <si>
    <t>2004-12-15 03:49 EST</t>
  </si>
  <si>
    <t>2004-12-15 03:54:31 EST</t>
  </si>
  <si>
    <t>[('CREATED', '2004-12-15 03:49 EST'), ('jdt-ui-inbox', '2004-12-15 03:54:31 EST', 'daniel_megert'), ('UI', '2004-12-15 03:54:31 EST', 'daniel_megert'), ('Text', '2004-12-15 04:00:58 EST', 'erol_koc_OTI'), ('UI', '2004-12-15 04:19:06 EST', 'daniel_megert'), ('markus_keller', '2004-12-15 04:22:22 EST', 'dirk_baeumer'), ('Text', '2004-12-15 04:32:09 EST', 'erol_koc_OTI'), ('UI', '2004-12-15 05:04:36 EST', 'markus.kell.r'), ('kai-uwe_maetzel', '2004-12-15 08:56:35 EST', 'kai-uwe_maetzel'), ('RESOLVED', '2004-12-16 05:07:56 EST', 'markus.kell.r'), ('FIXED', '2004-12-16 05:07:56 EST', 'markus.kell.r'), ('3.1 M4', '2004-12-16 05:07:56 EST', 'markus.kell.r'), ('VERIFIED', '2004-12-16 13:12:42 EST', 'dirk_baeumer'), ('dirk_baeumer', '2005-02-08 09:56:44 EST', 'markus.kell.r')]</t>
  </si>
  <si>
    <t>2005-02-09 06:12:56 EST</t>
  </si>
  <si>
    <t>2005-02-18 05:23:27 EST</t>
  </si>
  <si>
    <t>2004-12-15 03:56 EST</t>
  </si>
  <si>
    <t>2004-12-15 04:09:50 EST</t>
  </si>
  <si>
    <t>[('CREATED', '2004-12-15 03:56 EST'), ('jdt-ui-inbox', '2004-12-15 04:09:50 EST', 'erol_koc_OTI'), ('UI', '2004-12-15 04:19:14 EST', 'daniel_megert'), ('markus_keller', '2004-12-15 04:20:54 EST', 'dirk_baeumer'), ('dirk_baeumer', '2004-12-15 17:44:14 EST', 'dirk_baeumer'), ('markus_keller', '2004-12-16 04:47:37 EST', 'markus.kell.r'), ('dirk_baeumer', '2004-12-16 04:47:37 EST', 'markus.kell.r'), ('major', '2004-12-16 04:47:37 EST', 'markus.kell.r'), ('3.1 M5', '2004-12-16 04:47:37 EST', 'markus.kell.r'), ('RESOLVED', '2005-02-09 06:12:56 EST', 'dirk_baeumer'), ('FIXED', '2005-02-09 06:12:56 EST', 'dirk_baeumer'), ('VERIFIED', '2005-02-18 05:23:27 EST', 'markus.kell.r')]</t>
  </si>
  <si>
    <t>84585</t>
  </si>
  <si>
    <t>2020-04-23 16:42:51 EDT</t>
  </si>
  <si>
    <t>2004-12-15 06:14 EST</t>
  </si>
  <si>
    <t>2004-12-15 10:22:25 EST</t>
  </si>
  <si>
    <t>[('CREATED', '2004-12-15 06:14 EST'), ('markus_keller', '2004-12-15 10:22:25 EST', 'dirk_baeumer'), ('change method signature should add imports for new type parameters [refactoring] [5.0]', '2004-12-15 10:22:25 EST', 'dirk_baeumer'), ('3.1 M5', '2004-12-15 10:22:25 EST', 'dirk_baeumer'), ('ASSIGNED', '2004-12-17 12:54:35 EST', 'markus.kell.r'), ('81544', '2004-12-17 12:54:35 EST', 'markus.kell.r'), ('3.1', '2005-02-08 11:50:07 EST', 'markus.kell.r'), ('---', '2005-05-02 11:23:14 EDT', 'markus.kell.r'), ('84585', '2005-06-07 14:47:26 EDT', 'markus.kell.r'), ('[change method signature] should add imports for new type parameters', '2006-08-03 09:57:31 EDT', 'martinae'), ('deepak.azad', '2010-06-26 05:58:28 EDT', 'deepakazad'), ('stalebug', '2020-04-23 16:42:51 EDT', 'genie'), ('WONTFIX', '2020-04-23 16:42:51 EDT', 'genie'), ('CLOSED', '2020-04-23 16:42:51 EDT', 'genie')]</t>
  </si>
  <si>
    <t>2005-01-20 06:30:31 EST</t>
  </si>
  <si>
    <t>2004-12-15 06:32 EST</t>
  </si>
  <si>
    <t>2004-12-15 10:16:15 EST</t>
  </si>
  <si>
    <t>[('CREATED', '2004-12-15 06:32 EST'), ('tobias_widmer', '2004-12-15 10:16:15 EST', 'dirk_baeumer'), ('extract local variable: wrong variable name proposal [refactoring] [extract local]', '2004-12-15 10:16:15 EST', 'dirk_baeumer'), ('RESOLVED', '2005-01-20 06:30:31 EST', 'tobias_widmer'), ('WORKSFORME', '2005-01-20 06:30:31 EST', 'tobias_widmer')]</t>
  </si>
  <si>
    <t>87169 (view as bug list)</t>
  </si>
  <si>
    <t>2005-05-19 09:42:00 EDT</t>
  </si>
  <si>
    <t>2005-05-27 05:11:18 EDT</t>
  </si>
  <si>
    <t>2005-02-18 05:47:24 EST</t>
  </si>
  <si>
    <t>2004-12-15 06:46 EST</t>
  </si>
  <si>
    <t>2004-12-15 10:00:10 EST</t>
  </si>
  <si>
    <t>[('CREATED', '2004-12-15 06:46 EST'), ('tobias_widmer', '2004-12-15 10:00:10 EST', 'dirk_baeumer'), ('RESOLVED', '2005-01-06 08:53:53 EST', 'tobias_widmer'), ('FIXED', '2005-01-06 08:53:53 EST', 'tobias_widmer'), ('3.1 M5', '2005-01-06 08:53:53 EST', 'tobias_widmer'), ('markus_keller', '2005-02-18 05:47:24 EST', 'markus.kell.r'), ('REOPENED', '2005-02-18 05:47:24 EST', 'markus.kell.r'), ('P2', '2005-02-18 05:47:24 EST', 'markus.kell.r'), ('---', '2005-02-18 05:47:24 EST', 'markus.kell.r'), ('3.1 M6', '2005-02-18 05:47:24 EST', 'markus.kell.r'), ('dirk_baeumer', '2005-03-07 08:44:12 EST', 'tobias_widmer'), ('3.1 M7', '2005-03-31 03:24:19 EST', 'tobias_widmer'), ('3.1 RC1', '2005-05-11 12:27:52 EDT', 'dirk_baeumer'), ('RESOLVED', '2005-05-19 09:42:00 EDT', 'tobias_widmer'), ('FIXED', '2005-05-19 09:42:00 EDT', 'tobias_widmer'), ('VERIFIED', '2005-05-27 05:11:18 EDT', 'dirk_baeumer')]</t>
  </si>
  <si>
    <t>2005-02-07 06:52:47 EST</t>
  </si>
  <si>
    <t>2005-01-06 09:08:59 EST</t>
  </si>
  <si>
    <t>2005-01-19 12:16:13 EST</t>
  </si>
  <si>
    <t>2004-12-15 06:54 EST</t>
  </si>
  <si>
    <t>2004-12-15 09:58:37 EST</t>
  </si>
  <si>
    <t>[('CREATED', '2004-12-15 06:54 EST'), ('tobias_widmer', '2004-12-15 09:58:37 EST', 'dirk_baeumer'), ('3.1 M5', '2004-12-15 09:58:37 EST', 'dirk_baeumer'), ('RESOLVED', '2005-01-06 09:08:59 EST', 'tobias_widmer'), ('FIXED', '2005-01-06 09:08:59 EST', 'tobias_widmer'), ('REOPENED', '2005-01-19 12:16:13 EST', 'Olivier_Thomann'), ('---', '2005-01-19 12:16:13 EST', 'Olivier_Thomann'), ('olivier_thomann', '2005-01-19 12:20:41 EST', 'tobias_widmer'), ('RESOLVED', '2005-02-07 06:52:47 EST', 'tobias_widmer'), ('WORKSFORME', '2005-02-07 06:52:47 EST', 'tobias_widmer')]</t>
  </si>
  <si>
    <t>RESOLVED  DUPLICATE  of bug 77589</t>
  </si>
  <si>
    <t>2004-12-17 09:49:17 EST</t>
  </si>
  <si>
    <t>2004-12-15 06:56 EST</t>
  </si>
  <si>
    <t>[('CREATED', '2004-12-15 06:56 EST'), ('RESOLVED', '2004-12-17 09:49:17 EST', 'dirk_baeumer'), ('DUPLICATE', '2004-12-17 09:49:17 EST', 'dirk_baeumer')]</t>
  </si>
  <si>
    <t>2005-02-08 11:41:29 EST</t>
  </si>
  <si>
    <t>2004-12-15 07:29 EST</t>
  </si>
  <si>
    <t>2004-12-15 09:16:50 EST</t>
  </si>
  <si>
    <t>[('CREATED', '2004-12-15 07:29 EST'), ('markus_keller', '2004-12-15 09:16:50 EST', 'dirk_baeumer'), ('[refactoring] [1.5] change method signature: warn earlier for var arg at wrong positions', '2004-12-15 09:16:50 EST', 'dirk_baeumer'), ('3.1 M5', '2004-12-15 09:16:50 EST', 'dirk_baeumer'), ('RESOLVED', '2005-02-08 11:41:29 EST', 'markus.kell.r'), ('FIXED', '2005-02-08 11:41:29 EST', 'markus.kell.r')]</t>
  </si>
  <si>
    <t>2005-01-04 10:29:54 EST</t>
  </si>
  <si>
    <t>2004-12-15 08:35 EST</t>
  </si>
  <si>
    <t>2004-12-15 08:37:43 EST</t>
  </si>
  <si>
    <t>[('CREATED', '2004-12-15 08:35 EST'), ('move method prompts for parameter name even if not needed', '2004-12-15 08:37:43 EST', 'eclipse'), ('dirk_baeumer', '2004-12-15 09:11:35 EST', 'tobias_widmer'), ('tobias_widmer', '2004-12-15 09:12:25 EST', 'tobias_widmer'), ('FIXED', '2005-01-04 10:29:54 EST', 'tobias_widmer'), ('RESOLVED', '2005-01-04 10:29:54 EST', 'tobias_widmer')]</t>
  </si>
  <si>
    <t>2004-12-16 05:45:13 EST</t>
  </si>
  <si>
    <t>2004-12-16 11:49:07 EST</t>
  </si>
  <si>
    <t>2004-12-15 08:42 EST</t>
  </si>
  <si>
    <t>2004-12-15 09:08:01 EST</t>
  </si>
  <si>
    <t>[('CREATED', '2004-12-15 08:42 EST'), ('tobias_widmer', '2004-12-15 09:08:01 EST', 'dirk_baeumer'), ('3.1 M5', '2004-12-15 09:08:01 EST', 'dirk_baeumer'), ('RESOLVED', '2004-12-16 05:45:13 EST', 'tobias_widmer'), ('FIXED', '2004-12-16 05:45:13 EST', 'tobias_widmer'), ('3.1 M4', '2004-12-16 05:45:13 EST', 'tobias_widmer'), ('VERIFIED', '2004-12-16 11:49:07 EST', 'martinae')]</t>
  </si>
  <si>
    <t>2005-01-05 12:03:19 EST</t>
  </si>
  <si>
    <t>2004-12-15 09:07 EST</t>
  </si>
  <si>
    <t>2004-12-15 10:05:57 EST</t>
  </si>
  <si>
    <t>[('CREATED', '2004-12-15 09:07 EST'), ('tobias_widmer', '2004-12-15 10:05:57 EST', 'tobias_widmer'), ('3.1 M5', '2004-12-15 11:01:45 EST', 'dirk_baeumer'), ('RESOLVED', '2005-01-05 12:03:19 EST', 'tobias_widmer'), ('FIXED', '2005-01-05 12:03:19 EST', 'tobias_widmer')]</t>
  </si>
  <si>
    <t>2005-01-05 12:22:50 EST</t>
  </si>
  <si>
    <t>2004-12-15 09:13 EST</t>
  </si>
  <si>
    <t>2004-12-15 10:06:29 EST</t>
  </si>
  <si>
    <t>[('CREATED', '2004-12-15 09:13 EST'), ('tobias_widmer', '2004-12-15 10:06:29 EST', 'tobias_widmer'), ('[refactoring] pull up reports unnecessary visibility problems', '2004-12-15 10:06:29 EST', 'tobias_widmer'), ('RESOLVED', '2005-01-05 12:22:50 EST', 'tobias_widmer'), ('FIXED', '2005-01-05 12:22:50 EST', 'tobias_widmer')]</t>
  </si>
  <si>
    <t>2005-01-05 12:34:32 EST</t>
  </si>
  <si>
    <t>2004-12-15 09:18 EST</t>
  </si>
  <si>
    <t>2004-12-15 11:37:23 EST</t>
  </si>
  <si>
    <t>[('CREATED', '2004-12-15 09:18 EST'), ('tobias_widmer', '2004-12-15 11:37:23 EST', 'dirk_baeumer'), ('Move non-static member annotation to new file creates illegal annotation [refactoring] [5.0]', '2004-12-15 11:37:23 EST', 'dirk_baeumer'), ('3.1 M5', '2004-12-15 11:37:23 EST', 'dirk_baeumer'), ('RESOLVED', '2005-01-05 12:34:32 EST', 'tobias_widmer'), ('FIXED', '2005-01-05 12:34:32 EST', 'tobias_widmer')]</t>
  </si>
  <si>
    <t>81382</t>
  </si>
  <si>
    <t>2005-05-03 04:59:39 EDT</t>
  </si>
  <si>
    <t>2004-12-15 09:39 EST</t>
  </si>
  <si>
    <t>2004-12-15 11:33:47 EST</t>
  </si>
  <si>
    <t>[('CREATED', '2004-12-15 09:39 EST'), ('tobias_widmer', '2004-12-15 11:33:47 EST', 'dirk_baeumer'), ('3.1 M5', '2004-12-15 11:33:47 EST', 'dirk_baeumer'), ('jdt-core-inbox', '2004-12-15 12:21:29 EST', 'tobias_widmer'), ('Olivier_Thomann', '2004-12-15 15:55:01 EST', 'Olivier_Thomann'), ('jdt-ui-inbox', '2004-12-15 16:04:24 EST', 'Olivier_Thomann'), ('dirk_baeumer', '2004-12-15 16:33:14 EST', 'dirk_baeumer'), ('jdt-core-inbox', '2004-12-15 16:33:14 EST', 'dirk_baeumer'), ('Core', '2004-12-15 16:33:14 EST', 'dirk_baeumer'), ('jdt-ui-inbox', '2004-12-15 16:56:50 EST', 'Olivier_Thomann'), ('UI', '2004-12-15 16:56:50 EST', 'Olivier_Thomann'), ('Olivier_Thomann', '2004-12-15 18:41:44 EST', 'dirk_baeumer'), ('philippe_mulet', '2004-12-15 18:41:54 EST', 'dirk_baeumer'), ('jerome_lanneluc', '2004-12-16 05:45:17 EST', 'philippe_mulet'), ('tobias_widmer', '2005-01-23 11:50:50 EST', 'dirk_baeumer'), ('81382', '2005-02-11 04:41:42 EST', 'dirk_baeumer'), ('tobias_widmer', '2005-02-11 04:41:42 EST', 'dirk_baeumer'), ('3.1', '2005-02-11 04:41:42 EST', 'dirk_baeumer'), ('RESOLVED', '2005-05-03 04:59:39 EDT', 'tobias_widmer'), ('FIXED', '2005-05-03 04:59:39 EDT', 'tobias_widmer')]</t>
  </si>
  <si>
    <t>2005-01-04 10:27:26 EST</t>
  </si>
  <si>
    <t>2004-12-15 10:46 EST</t>
  </si>
  <si>
    <t>2004-12-15 10:58:40 EST</t>
  </si>
  <si>
    <t>2005-02-21 11:36:02 EST</t>
  </si>
  <si>
    <t>[('CREATED', '2004-12-15 10:46 EST'), ('tobias_widmer', '2004-12-15 10:58:40 EST', 'dirk_baeumer'), ('3.1', '2004-12-15 10:58:40 EST', 'dirk_baeumer'), ('RESOLVED', '2005-01-04 10:27:26 EST', 'tobias_widmer'), ('FIXED', '2005-01-04 10:27:26 EST', 'tobias_widmer'), ('markus_keller', '2005-02-21 11:36:02 EST', 'markus.kell.r'), ('3.1 M6', '2005-02-21 11:36:02 EST', 'markus.kell.r')]</t>
  </si>
  <si>
    <t>2005-05-18 09:15:31 EDT</t>
  </si>
  <si>
    <t>2005-05-27 10:38:37 EDT</t>
  </si>
  <si>
    <t>2004-12-15 10:48 EST</t>
  </si>
  <si>
    <t>2004-12-15 10:55:34 EST</t>
  </si>
  <si>
    <t>[('CREATED', '2004-12-15 10:48 EST'), ('dirk_baeumer', '2004-12-15 10:55:34 EST', 'dirk_baeumer'), ('3.1', '2004-12-15 10:55:34 EST', 'dirk_baeumer'), ('RESOLVED', '2005-05-18 09:15:31 EDT', 'dirk_baeumer'), ('FIXED', '2005-05-18 09:15:31 EDT', 'dirk_baeumer'), ('3.1 RC1', '2005-05-18 09:15:31 EDT', 'dirk_baeumer'), ('VERIFIED', '2005-05-27 10:38:37 EDT', 'dirk_baeumer')]</t>
  </si>
  <si>
    <t>2005-01-26 07:19:46 EST</t>
  </si>
  <si>
    <t>2004-12-15 10:51 EST</t>
  </si>
  <si>
    <t>2004-12-15 10:54:53 EST</t>
  </si>
  <si>
    <t>[('CREATED', '2004-12-15 10:51 EST'), ('markus_keller', '2004-12-15 10:54:53 EST', 'dirk_baeumer'), ('[5.0] [refactoring] change method signature on enum constructor', '2004-12-15 10:54:53 EST', 'dirk_baeumer'), ('3.1 M5', '2004-12-15 10:54:53 EST', 'dirk_baeumer'), ('normal', '2005-01-26 07:19:46 EST', 'markus.kell.r'), ('RESOLVED', '2005-01-26 07:19:46 EST', 'markus.kell.r'), ('FIXED', '2005-01-26 07:19:46 EST', 'markus.kell.r')]</t>
  </si>
  <si>
    <t>RESOLVED  DUPLICATE  of bug 79691</t>
  </si>
  <si>
    <t>2004-12-15 11:25:48 EST</t>
  </si>
  <si>
    <t>2004-12-15 10:58 EST</t>
  </si>
  <si>
    <t>2004-12-15 10:58:45 EST</t>
  </si>
  <si>
    <t>[('CREATED', '2004-12-15 10:58 EST'), ('[refactoring] rename enum failes', '2004-12-15 10:58:45 EST', 'martinae'), ('RESOLVED', '2004-12-15 11:25:48 EST', 'dirk_baeumer'), ('DUPLICATE', '2004-12-15 11:25:48 EST', 'dirk_baeumer')]</t>
  </si>
  <si>
    <t>2005-02-28 17:50:33 EST</t>
  </si>
  <si>
    <t>2004-12-15 11:22 EST</t>
  </si>
  <si>
    <t>2004-12-15 16:20:41 EST</t>
  </si>
  <si>
    <t>[('CREATED', '2004-12-15 11:22 EST'), ('dirk_baeumer', '2004-12-15 16:20:41 EST', 'dirk_baeumer'), ('markus_keller', '2004-12-15 16:20:41 EST', 'dirk_baeumer'), ('RESOLVED', '2005-02-28 17:50:33 EST', 'markus.kell.r'), ('FIXED', '2005-02-28 17:50:33 EST', 'markus.kell.r'), ('3.1 M6', '2005-02-28 17:50:33 EST', 'markus.kell.r')]</t>
  </si>
  <si>
    <t>2005-02-16 09:31:20 EST</t>
  </si>
  <si>
    <t>2004-12-15 12:38 EST</t>
  </si>
  <si>
    <t>2004-12-15 16:15:41 EST</t>
  </si>
  <si>
    <t>[('CREATED', '2004-12-15 12:38 EST'), ('markus_keller', '2004-12-15 16:15:41 EST', 'dirk_baeumer'), ('3.1 M5', '2004-12-15 16:15:41 EST', 'dirk_baeumer'), ('markus_keller', '2005-02-14 15:18:08 EST', 'markus.kell.r'), ('tobias_widmer', '2005-02-14 15:18:08 EST', 'markus.kell.r'), ('RESOLVED', '2005-02-16 09:31:20 EST', 'tobias_widmer'), ('FIXED', '2005-02-16 09:31:20 EST', 'tobias_widmer')]</t>
  </si>
  <si>
    <t>2020-02-09 20:16:29 EST</t>
  </si>
  <si>
    <t>2004-12-15 12:50 EST</t>
  </si>
  <si>
    <t>2004-12-15 16:14:15 EST</t>
  </si>
  <si>
    <t>[('CREATED', '2004-12-15 12:50 EST'), ('tobias_widmer', '2004-12-15 16:14:15 EST', 'dirk_baeumer'), ('dirk_baeumer', '2004-12-16 03:32:44 EST', 'martinae'), ('[move static members] check visibility of target class [refactoring]', '2006-05-29 05:59:58 EDT', 'tobias_widmer'), ('jdt-ui-inbox', '2007-06-14 10:45:24 EDT', 'martinae'), ('WONTFIX', '2020-02-09 20:16:29 EST', 'genie'), ('stalebug', '2020-02-09 20:16:29 EST', 'genie'), ('CLOSED', '2020-02-09 20:16:29 EST', 'genie')]</t>
  </si>
  <si>
    <t>74086 (view as bug list)</t>
  </si>
  <si>
    <t>2004-12-16 05:13 EST</t>
  </si>
  <si>
    <t>2004-12-16 05:13:10 EST</t>
  </si>
  <si>
    <t>2019-03-10 07:31:10 EDT</t>
  </si>
  <si>
    <t>[('CREATED', '2004-12-16 05:13 EST'), ('3.1 M5', '2004-12-16 05:13:10 EST', 'markus.kell.r'), ('ASSIGNED', '2005-02-15 04:49:21 EST', 'markus.kell.r'), ('3.1 M6', '2005-02-15 04:49:21 EST', 'markus.kell.r'), ('3.1 M7', '2005-03-29 08:27:48 EST', 'markus.kell.r'), ('---', '2005-05-02 11:24:21 EDT', 'markus.kell.r'), ('[rename] RippleMethodFinder2 should accept a RefactoringStatus and flag binary methods in ripple', '2006-08-03 11:51:00 EDT', 'martinae'), ('stalebug', '2019-03-10 07:31:10 EDT', 'genie')]</t>
  </si>
  <si>
    <t>83230</t>
  </si>
  <si>
    <t>2005-05-02 09:07:32 EDT</t>
  </si>
  <si>
    <t>2004-12-16 13:11 EST</t>
  </si>
  <si>
    <t>2004-12-16 13:12:05 EST</t>
  </si>
  <si>
    <t>[('CREATED', '2004-12-16 13:11 EST'), ('3.1 M5', '2004-12-16 13:12:05 EST', 'dirk_baeumer'), ('83230', '2005-02-01 14:20:47 EST', 'markus.kell.r'), ('3.1', '2005-02-01 14:20:47 EST', 'markus.kell.r'), ('RESOLVED', '2005-05-02 09:07:32 EDT', 'markus.kell.r'), ('FIXED', '2005-05-02 09:07:32 EDT', 'markus.kell.r'), ('3.1 M7', '2005-05-02 09:07:32 EDT', 'markus.kell.r')]</t>
  </si>
  <si>
    <t>2010-06-04 05:36:25 EDT</t>
  </si>
  <si>
    <t>2004-12-16 19:53 EST</t>
  </si>
  <si>
    <t>2005-02-11 10:30:13 EST</t>
  </si>
  <si>
    <t>[('CREATED', '2004-12-16 19:53 EST'), ('ASSIGNED', '2005-02-11 10:30:13 EST', 'dirk_baeumer'), ('Select-All does not work in Members pane. [browsing] [general issue]', '2005-02-11 10:30:13 EST', 'dirk_baeumer'), ('[browsing] Select-All does not work in Members pane.', '2006-06-15 11:11:06 EDT', 'martinae'), ('markus_keller', '2006-09-11 06:31:24 EDT', 'markus.kell.r'), ('martin_aeschlimann', '2006-09-11 06:31:24 EDT', 'markus.kell.r'), ('NEW', '2006-09-11 06:31:24 EDT', 'markus.kell.r'), ('jdt-ui-inbox', '2007-05-09 06:15:04 EDT', 'martinae'), ('RESOLVED', '2010-06-04 05:36:25 EDT', 'deepakazad'), ('deepak.azad', '2010-06-04 05:36:25 EDT', 'deepakazad'), ('FIXED', '2010-06-04 05:36:25 EDT', 'deepakazad')]</t>
  </si>
  <si>
    <t>2005-01-23 13:02:35 EST</t>
  </si>
  <si>
    <t>2004-12-17 05:49 EST</t>
  </si>
  <si>
    <t>2004-12-17 06:41:22 EST</t>
  </si>
  <si>
    <t>[('CREATED', '2004-12-17 05:49 EST'), ('dirk_baeumer', '2004-12-17 06:41:22 EST', 'dirk_baeumer'), ('3.1 M5', '2004-12-17 06:41:22 EST', 'dirk_baeumer'), ('RESOLVED', '2005-01-23 13:02:35 EST', 'dirk_baeumer'), ('FIXED', '2005-01-23 13:02:35 EST', 'dirk_baeumer')]</t>
  </si>
  <si>
    <t>84129 (view as bug list)</t>
  </si>
  <si>
    <t>2020-04-09 09:14:17 EDT</t>
  </si>
  <si>
    <t>2004-12-17 10:47 EST</t>
  </si>
  <si>
    <t>2004-12-17 13:20:31 EST</t>
  </si>
  <si>
    <t>[('CREATED', '2004-12-17 10:47 EST'), ('markus_keller', '2004-12-17 13:20:31 EST', 'dirk_baeumer'), ('3.1 M5', '2004-12-17 13:20:31 EST', 'dirk_baeumer'), ('ASSIGNED', '2005-01-25 13:38:03 EST', 'markus.kell.r'), ('---', '2005-01-25 13:38:03 EST', 'markus.kell.r'), ('martin_aeschlimann', '2005-02-01 13:18:06 EST', 'markus.kell.r'), ('[change method signature] dialog performance on name changes', '2006-08-03 09:53:48 EDT', 'martinae'), ('stalebug', '2020-04-09 09:14:17 EDT', 'genie'), ('CLOSED', '2020-04-09 09:14:17 EDT', 'genie'), ('WONTFIX', '2020-04-09 09:14:17 EDT', 'genie')]</t>
  </si>
  <si>
    <t>81705 85112 (view as bug list)</t>
  </si>
  <si>
    <t>2005-01-03 05:44:14 EST</t>
  </si>
  <si>
    <t>2005-02-18 04:33:19 EST</t>
  </si>
  <si>
    <t>2004-12-19 12:08 EST</t>
  </si>
  <si>
    <t>2004-12-19 12:08:18 EST</t>
  </si>
  <si>
    <t>[('CREATED', '2004-12-19 12:08 EST'), ('3.1', '2004-12-19 12:08:18 EST', 'nico'), ('kagrama', '2004-12-21 06:57:09 EST', 'dirk_baeumer'), ('tobias_widmer', '2004-12-23 13:30:11 EST', 'dirk_baeumer'), ('P2', '2004-12-23 13:30:11 EST', 'dirk_baeumer'), ('3.1 M5', '2004-12-23 13:30:11 EST', 'dirk_baeumer'), ('RESOLVED', '2005-01-03 05:44:14 EST', 'tobias_widmer'), ('FIXED', '2005-01-03 05:44:14 EST', 'tobias_widmer'), ('lukrez', '2005-02-14 09:58:50 EST', 'tobias_widmer'), ('VERIFIED', '2005-02-18 04:33:19 EST', 'martinae')]</t>
  </si>
  <si>
    <t>RESOLVED  DUPLICATE  of bug 81612</t>
  </si>
  <si>
    <t>2004-12-21 06:57:09 EST</t>
  </si>
  <si>
    <t>2004-12-20 21:39 EST</t>
  </si>
  <si>
    <t>[('CREATED', '2004-12-20 21:39 EST'), ('RESOLVED', '2004-12-21 06:57:09 EST', 'dirk_baeumer'), ('DUPLICATE', '2004-12-21 06:57:09 EST', 'dirk_baeumer')]</t>
  </si>
  <si>
    <t>2005-02-08 11:36:22 EST</t>
  </si>
  <si>
    <t>2004-12-21 01:35 EST</t>
  </si>
  <si>
    <t>2004-12-21 02:43:45 EST</t>
  </si>
  <si>
    <t>[('CREATED', '2004-12-21 01:35 EST'), ('jdt-ui-inbox', '2004-12-21 02:43:45 EST', 'daniel_megert'), ('UI', '2004-12-21 02:43:45 EST', 'daniel_megert'), ('markus_keller', '2004-12-21 06:56:25 EST', 'dirk_baeumer'), ('3.1 M5', '2004-12-21 06:56:25 EST', 'dirk_baeumer'), ('dirk_baeumer', '2005-02-08 11:36:22 EST', 'markus.kell.r'), ('RESOLVED', '2005-02-08 11:36:22 EST', 'markus.kell.r'), ('FIXED', '2005-02-08 11:36:22 EST', 'markus.kell.r')]</t>
  </si>
  <si>
    <t>2004-12-22 05:03:51 EST</t>
  </si>
  <si>
    <t>2004-12-21 09:22 EST</t>
  </si>
  <si>
    <t>[('CREATED', '2004-12-21 09:22 EST'), ('RESOLVED', '2004-12-22 05:03:51 EST', 'dirk_baeumer'), ('FIXED', '2004-12-22 05:03:51 EST', 'dirk_baeumer')]</t>
  </si>
  <si>
    <t>2004-12-22 04:10:50 EST</t>
  </si>
  <si>
    <t>2004-12-21 14:18 EST</t>
  </si>
  <si>
    <t>[('CREATED', '2004-12-21 14:18 EST'), ('RESOLVED', '2004-12-22 04:10:50 EST', 'dirk_baeumer'), ('WORKSFORME', '2004-12-22 04:10:50 EST', 'dirk_baeumer')]</t>
  </si>
  <si>
    <t>75755</t>
  </si>
  <si>
    <t>2005-01-03 06:47:20 EST</t>
  </si>
  <si>
    <t>2004-12-22 14:59 EST</t>
  </si>
  <si>
    <t>2004-12-22 15:12:55 EST</t>
  </si>
  <si>
    <t>2005-01-03 06:47:35 EST</t>
  </si>
  <si>
    <t>[('CREATED', '2004-12-22 14:59 EST'), ('75755', '2004-12-22 15:12:55 EST', 'sonia_dimitrov'), ('RESOLVED', '2005-01-03 06:47:20 EST', 'dirk_baeumer'), ('FIXED', '2005-01-03 06:47:20 EST', 'dirk_baeumer'), ('3.1 M5', '2005-01-03 06:47:35 EST', 'dirk_baeumer')]</t>
  </si>
  <si>
    <t>81879 84840 (view as bug list)</t>
  </si>
  <si>
    <t>2005-05-09 11:22:59 EDT</t>
  </si>
  <si>
    <t>2004-12-23 09:03 EST</t>
  </si>
  <si>
    <t>2004-12-27 13:51:54 EST</t>
  </si>
  <si>
    <t>[('CREATED', '2004-12-23 09:03 EST'), ('wegener', '2004-12-27 13:51:54 EST', 'dirk_baeumer'), ('andy_the_great', '2004-12-27 14:23:55 EST', 'loskutov'), ('daniel_megert', '2004-12-29 11:00:50 EST', 'dirk_baeumer'), ('eclipse', '2004-12-29 11:01:28 EST', 'dirk_baeumer'), ('martin_aeschlimann', '2004-12-29 11:11:58 EST', 'dirk_baeumer'), ('goerge', '2005-01-07 12:30:46 EST', 'goerge'), ('hudsonr', '2005-02-10 04:32:02 EST', 'dirk_baeumer'), ('nitind', '2005-02-14 01:25:46 EST', 'thatnitind'), ('RESOLVED', '2005-05-09 11:22:59 EDT', 'dirk_baeumer'), ('WORKSFORME', '2005-05-09 11:22:59 EDT', 'dirk_baeumer')]</t>
  </si>
  <si>
    <t>2005-03-23 12:55:05 EST</t>
  </si>
  <si>
    <t>2004-12-27 05:38 EST</t>
  </si>
  <si>
    <t>2005-01-23 12:01:26 EST</t>
  </si>
  <si>
    <t>[('CREATED', '2004-12-27 05:38 EST'), ('tobias_widmer', '2005-01-23 12:01:26 EST', 'dirk_baeumer'), ('Extract Interface Exception [refactoring]', '2005-01-23 12:01:26 EST', 'dirk_baeumer'), ('3.1', '2005-01-23 12:01:26 EST', 'dirk_baeumer'), ('RESOLVED', '2005-03-23 12:55:05 EST', 'tobias_widmer'), ('FIXED', '2005-03-23 12:55:05 EST', 'tobias_widmer')]</t>
  </si>
  <si>
    <t>2004-12-27 05:50 EST</t>
  </si>
  <si>
    <t>2005-01-09 18:14:52 EST</t>
  </si>
  <si>
    <t>2020-06-04 11:17:19 EDT</t>
  </si>
  <si>
    <t>[('CREATED', '2004-12-27 05:50 EST'), ('enhancement', '2005-01-09 18:14:52 EST', 'dirk_baeumer'), ('tobias_widmer', '2005-01-23 12:02:45 EST', 'dirk_baeumer'), ('Extract Interface should rename the implementation class instead of the interface [refactoring] [extract interface]', '2005-01-23 12:02:45 EST', 'dirk_baeumer'), ('3.1', '2005-01-23 12:02:45 EST', 'dirk_baeumer'), ('3.2', '2005-05-25 13:11:07 EDT', 'tobias_widmer'), ('ASSIGNED', '2006-04-11 10:21:50 EDT', 'tobias_widmer'), ('3.3', '2006-04-11 10:21:50 EDT', 'tobias_widmer'), ('[extract interface] rename the implementation class instead of the interface [refactoring]', '2006-05-29 05:18:37 EDT', 'tobias_widmer'), ('---', '2007-02-16 04:00:44 EST', 'martinae'), ('jdt-ui-inbox', '2007-06-14 10:42:49 EDT', 'martinae'), ('NEW', '2007-06-14 10:42:49 EDT', 'martinae'), ('qudus', '2016-11-21 05:52:38 EST', 'eclipse'), ('register.eclipse', '2016-11-21 06:00:27 EST', 'register.eclipse'), ('gautier.desaintmartinlacaze', '2016-12-02 20:18:40 EST', 'gautier.desaintmartinlacaze'), ('ASSIGNED', '2017-04-20 11:55:56 EDT', 'daniel_megert'), ('daniel_megert', '2017-04-20 11:55:56 EDT', 'daniel_megert'), (nan, '2020-06-04 11:17:19 EDT', 'register.eclipse')]</t>
  </si>
  <si>
    <t>82584 (view as bug list)</t>
  </si>
  <si>
    <t>2005-02-11 05:01:44 EST</t>
  </si>
  <si>
    <t>2004-12-29 16:54 EST</t>
  </si>
  <si>
    <t>2004-12-29 18:27:11 EST</t>
  </si>
  <si>
    <t>[('CREATED', '2004-12-29 16:54 EST'), ('dirk_baeumer', '2004-12-29 18:27:11 EST', 'dirk_baeumer'), ('"Encapsulate Field" changes the data type of member variable [refactoring] [sef]', '2004-12-29 18:27:11 EST', 'dirk_baeumer'), ('3.1', '2004-12-29 18:27:11 EST', 'dirk_baeumer'), ('andylarder', '2005-01-14 05:29:56 EST', 'dirk_baeumer'), ('RESOLVED', '2005-02-11 05:01:44 EST', 'dirk_baeumer'), ('FIXED', '2005-02-11 05:01:44 EST', 'dirk_baeumer'), ('3.1 M5', '2005-02-11 05:01:44 EST', 'dirk_baeumer')]</t>
  </si>
  <si>
    <t>2005-02-02 09:18:35 EST</t>
  </si>
  <si>
    <t>2004-12-31 07:02 EST</t>
  </si>
  <si>
    <t>2005-01-02 20:52:32 EST</t>
  </si>
  <si>
    <t>[('CREATED', '2004-12-31 07:02 EST'), ('jdt-ui-inbox', '2005-01-02 20:52:32 EST', 'Olivier_Thomann'), ('UI', '2005-01-02 20:52:32 EST', 'Olivier_Thomann'), ('tobias_widmer', '2005-01-03 04:46:25 EST', 'dirk_baeumer'), ('3.1 M5', '2005-01-03 04:46:25 EST', 'dirk_baeumer'), ('RESOLVED', '2005-02-02 09:18:35 EST', 'tobias_widmer'), ('FIXED', '2005-02-02 09:18:35 EST', 'tobias_widmer')]</t>
  </si>
  <si>
    <t>2005-01-05 04:57:12 EST</t>
  </si>
  <si>
    <t>2005-02-18 05:03:20 EST</t>
  </si>
  <si>
    <t>2005-01-04 05:37 EST</t>
  </si>
  <si>
    <t>2005-01-04 13:16:50 EST</t>
  </si>
  <si>
    <t>[('CREATED', '2005-01-04 05:37 EST'), ('tobias_widmer', '2005-01-04 13:16:50 EST', 'dirk_baeumer'), ('major', '2005-01-04 13:16:50 EST', 'dirk_baeumer'), ('3.1 M5', '2005-01-04 13:16:50 EST', 'dirk_baeumer'), ('FIXED', '2005-01-05 04:57:12 EST', 'tobias_widmer'), ('RESOLVED', '2005-01-05 04:57:12 EST', 'tobias_widmer'), ('VERIFIED', '2005-02-18 05:03:20 EST', 'martinae')]</t>
  </si>
  <si>
    <t>95728 (view as bug list)</t>
  </si>
  <si>
    <t>2005-10-10 17:10:23 EDT</t>
  </si>
  <si>
    <t>2005-11-02 05:00:08 EST</t>
  </si>
  <si>
    <t>2005-01-05 11:33 EST</t>
  </si>
  <si>
    <t>2005-01-23 12:07:14 EST</t>
  </si>
  <si>
    <t>[('CREATED', '2005-01-05 11:33 EST'), ('dirk_baeumer', '2005-01-23 12:07:14 EST', 'dirk_baeumer'), ('[refactoring] Refactoring preview: should be able to see or filter text changes', '2005-03-21 16:36:11 EST', 'dirk_baeumer'), ('markus.schorn', '2005-05-11 09:52:12 EDT', 'mschorn.eclipse'), ('neale', '2005-05-18 09:33:14 EDT', 'dirk_baeumer'), ('markus_keller', '2005-10-04 07:30:55 EDT', 'markus.kell.r'), ('3.2 M2', '2005-10-04 07:30:55 EDT', 'markus.kell.r'), ('RESOLVED', '2005-10-10 17:10:23 EDT', 'dirk_baeumer'), ('FIXED', '2005-10-10 17:10:23 EDT', 'dirk_baeumer'), ('VERIFIED', '2005-11-02 05:00:08 EST', 'markus.kell.r')]</t>
  </si>
  <si>
    <t>2005-01-23 12:09:16 EST</t>
  </si>
  <si>
    <t>2005-01-05 12:21 EST</t>
  </si>
  <si>
    <t>[('CREATED', '2005-01-05 12:21 EST'), ('RESOLVED', '2005-01-23 12:09:16 EST', 'dirk_baeumer'), ('WONTFIX', '2005-01-23 12:09:16 EST', 'dirk_baeumer')]</t>
  </si>
  <si>
    <t>2005-01-07 11:10:24 EST</t>
  </si>
  <si>
    <t>2005-01-06 11:09 EST</t>
  </si>
  <si>
    <t>2005-01-06 12:36:48 EST</t>
  </si>
  <si>
    <t>[('CREATED', '2005-01-06 11:09 EST'), ('dirk_baeumer', '2005-01-06 12:36:48 EST', 'dirk_baeumer'), ('3.1 M5', '2005-01-06 12:36:48 EST', 'dirk_baeumer'), ('RESOLVED', '2005-01-07 11:10:24 EST', 'dirk_baeumer'), ('FIXED', '2005-01-07 11:10:24 EST', 'dirk_baeumer')]</t>
  </si>
  <si>
    <t>82420 (view as bug list)</t>
  </si>
  <si>
    <t>2005-02-02 10:03:09 EST</t>
  </si>
  <si>
    <t>2005-01-06 11:57 EST</t>
  </si>
  <si>
    <t>2005-01-06 12:36:18 EST</t>
  </si>
  <si>
    <t>[('CREATED', '2005-01-06 11:57 EST'), ('tobias_widmer', '2005-01-06 12:36:18 EST', 'dirk_baeumer'), ('3.1 M5', '2005-01-06 12:36:18 EST', 'dirk_baeumer'), ('nico', '2005-01-26 12:21:58 EST', 'tobias_widmer'), ('RESOLVED', '2005-02-02 10:03:09 EST', 'tobias_widmer'), ('FIXED', '2005-02-02 10:03:09 EST', 'tobias_widmer')]</t>
  </si>
  <si>
    <t>2005-01-13 14:00:13 EST</t>
  </si>
  <si>
    <t>2005-01-06 18:20 EST</t>
  </si>
  <si>
    <t>2005-01-07 08:40:19 EST</t>
  </si>
  <si>
    <t>[('CREATED', '2005-01-06 18:20 EST'), ('dirk_baeumer', '2005-01-07 08:40:19 EST', 'dirk_baeumer'), ('NPE in surround with try/catch refactoring [refactoring]', '2005-01-07 08:40:19 EST', 'dirk_baeumer'), ('3.1 M5', '2005-01-07 08:40:19 EST', 'dirk_baeumer'), ('martin_aeschlimann', '2005-01-10 08:51:33 EST', 'dirk_baeumer'), ('dj_houghton', '2005-01-12 09:19:22 EST', 'dj.houghton'), ('RESOLVED', '2005-01-13 14:00:13 EST', 'dirk_baeumer'), ('FIXED', '2005-01-13 14:00:13 EST', 'dirk_baeumer')]</t>
  </si>
  <si>
    <t>RESOLVED  DUPLICATE  of bug 82337</t>
  </si>
  <si>
    <t>2005-01-26 12:21:58 EST</t>
  </si>
  <si>
    <t>2005-01-08 08:29 EST</t>
  </si>
  <si>
    <t>2005-01-09 12:23:09 EST</t>
  </si>
  <si>
    <t>[('CREATED', '2005-01-08 08:29 EST'), ('tobias_widmer', '2005-01-09 12:23:09 EST', 'dirk_baeumer'), ('3.1 M5', '2005-01-09 12:23:09 EST', 'dirk_baeumer'), ('RESOLVED', '2005-01-26 12:21:58 EST', 'tobias_widmer'), ('DUPLICATE', '2005-01-26 12:21:58 EST', 'tobias_widmer')]</t>
  </si>
  <si>
    <t>2005-02-16 09:18:41 EST</t>
  </si>
  <si>
    <t>2005-01-08 12:26 EST</t>
  </si>
  <si>
    <t>2005-02-15 11:34:35 EST</t>
  </si>
  <si>
    <t>[('CREATED', '2005-01-08 12:26 EST'), ('jdt-ui-inbox', '2005-02-15 11:34:35 EST', 'frederic_fusier'), ('UI', '2005-02-15 11:34:35 EST', 'frederic_fusier'), ('RESOLVED', '2005-02-16 09:18:41 EST', 'martinae'), ('helpwanted', '2005-02-16 09:18:41 EST', 'martinae'), ('WONTFIX', '2005-02-16 09:18:41 EST', 'martinae')]</t>
  </si>
  <si>
    <t>82536</t>
  </si>
  <si>
    <t>2005-01-22 13:27:47 EST</t>
  </si>
  <si>
    <t>2005-01-10 10:01 EST</t>
  </si>
  <si>
    <t>2005-01-11 05:13:03 EST</t>
  </si>
  <si>
    <t>[('CREATED', '2005-01-10 10:01 EST'), ('dirk_baeumer', '2005-01-11 05:13:03 EST', 'dirk_baeumer'), ('3.1', '2005-01-11 05:13:03 EST', 'dirk_baeumer'), ('3.1 M5', '2005-01-11 05:20:29 EST', 'dirk_baeumer'), ('82536', '2005-01-11 05:34:56 EST', 'martinae'), ('RESOLVED', '2005-01-22 13:27:47 EST', 'dirk_baeumer'), ('FIXED', '2005-01-22 13:27:47 EST', 'dirk_baeumer')]</t>
  </si>
  <si>
    <t>82475</t>
  </si>
  <si>
    <t>2005-01-23 06:31:07 EST</t>
  </si>
  <si>
    <t>2005-01-11 05:00 EST</t>
  </si>
  <si>
    <t>2005-01-11 05:34:56 EST</t>
  </si>
  <si>
    <t>[('CREATED', '2005-01-11 05:00 EST'), ('82475', '2005-01-11 05:34:56 EST', 'martinae'), ('RESOLVED', '2005-01-23 06:31:07 EST', 'martinae'), ('FIXED', '2005-01-23 06:31:07 EST', 'martinae'), ('3.1 M5', '2005-01-23 06:31:07 EST', 'martinae')]</t>
  </si>
  <si>
    <t>RESOLVED  DUPLICATE  of bug 82005</t>
  </si>
  <si>
    <t>2005-01-14 05:29:56 EST</t>
  </si>
  <si>
    <t>2005-01-11 13:04 EST</t>
  </si>
  <si>
    <t>2005-01-11 13:18:43 EST</t>
  </si>
  <si>
    <t>[('CREATED', '2005-01-11 13:04 EST'), ('jdt-ui-inbox', '2005-01-11 13:18:43 EST', 'frederic_fusier'), ('UI', '2005-01-11 13:18:43 EST', 'frederic_fusier'), ('RESOLVED', '2005-01-14 05:29:56 EST', 'dirk_baeumer'), ('DUPLICATE', '2005-01-14 05:29:56 EST', 'dirk_baeumer')]</t>
  </si>
  <si>
    <t>2005-01-17 09:10:59 EST</t>
  </si>
  <si>
    <t>2005-01-11 18:42 EST</t>
  </si>
  <si>
    <t>2005-01-11 19:51:58 EST</t>
  </si>
  <si>
    <t>[('CREATED', '2005-01-11 18:42 EST'), ('tobias_widmer', '2005-01-11 19:51:58 EST', 'dirk_baeumer'), ('3.1 M5', '2005-01-11 19:51:58 EST', 'dirk_baeumer'), ('RESOLVED', '2005-01-17 09:10:59 EST', 'tobias_widmer'), ('FIXED', '2005-01-17 09:10:59 EST', 'tobias_widmer')]</t>
  </si>
  <si>
    <t>2005-04-25 19:20:00 EDT</t>
  </si>
  <si>
    <t>2005-01-12 05:55 EST</t>
  </si>
  <si>
    <t>2005-01-12 14:04:59 EST</t>
  </si>
  <si>
    <t>[('CREATED', '2005-01-12 05:55 EST'), ('darin_wright', '2005-01-12 14:04:59 EST', 'dirk_baeumer'), ('nick_edgar, wassimm', '2005-01-12 14:05:30 EST', 'dirk_baeumer'), ('RESOLVED', '2005-04-25 19:20:00 EDT', 'dirk_baeumer'), ('WORKSFORME', '2005-04-25 19:20:00 EDT', 'dirk_baeumer')]</t>
  </si>
  <si>
    <t>2020-05-05 05:37:57 EDT</t>
  </si>
  <si>
    <t>2005-01-12 12:14 EST</t>
  </si>
  <si>
    <t>2005-01-12 14:12:40 EST</t>
  </si>
  <si>
    <t>[('CREATED', '2005-01-12 12:14 EST'), ('dirk_baeumer', '2005-01-12 14:12:40 EST', 'dirk_baeumer'), ('RefactoringWizard requires call to setDefaultPageTitle only in dialog mode [API] [refactoring]', '2005-01-12 14:12:40 EST', 'dirk_baeumer'), ('[refactoring] [ltk] RefactoringWizard requires call to setDefaultPageTitle only in dialog mode', '2006-04-05 10:55:25 EDT', 'dirk_baeumer'), ('tobias_widmer', '2006-06-02 06:25:05 EDT', 'martinae'), ('[ltk] RefactoringWizard requires call to setDefaultPageTitle only in dialog mode [refactoring]', '2006-06-02 06:26:59 EDT', 'tobias_widmer'), ('jdt-ui-inbox', '2007-06-14 10:44:30 EDT', 'martinae'), ('WONTFIX', '2020-05-05 05:37:57 EDT', 'genie'), ('stalebug', '2020-05-05 05:37:57 EDT', 'genie'), ('CLOSED', '2020-05-05 05:37:57 EDT', 'genie')]</t>
  </si>
  <si>
    <t>2005-01-25 13:38:10 EST</t>
  </si>
  <si>
    <t>2005-02-18 04:41:58 EST</t>
  </si>
  <si>
    <t>2005-01-12 18:31 EST</t>
  </si>
  <si>
    <t>2005-01-12 18:32:01 EST</t>
  </si>
  <si>
    <t>[('CREATED', '2005-01-12 18:31 EST'), ('3.1 M5', '2005-01-12 18:32:01 EST', 'dirk_baeumer'), ('RESOLVED', '2005-01-25 13:38:10 EST', 'markus.kell.r'), ('FIXED', '2005-01-25 13:38:10 EST', 'markus.kell.r'), ('VERIFIED', '2005-02-18 04:41:58 EST', 'tobias_widmer')]</t>
  </si>
  <si>
    <t>2005-01-14 08:21:57 EST</t>
  </si>
  <si>
    <t>2005-01-14 05:08 EST</t>
  </si>
  <si>
    <t>2005-01-14 05:22:34 EST</t>
  </si>
  <si>
    <t>[('CREATED', '2005-01-14 05:08 EST'), ('tobias_widmer', '2005-01-14 05:22:34 EST', 'dirk_baeumer'), ('3.1 M5', '2005-01-14 05:22:34 EST', 'dirk_baeumer'), ('RESOLVED', '2005-01-14 08:21:57 EST', 'tobias_widmer'), ('FIXED', '2005-01-14 08:21:57 EST', 'tobias_widmer')]</t>
  </si>
  <si>
    <t>2005-01-17 05:38:41 EST</t>
  </si>
  <si>
    <t>2005-01-14 10:10 EST</t>
  </si>
  <si>
    <t>2005-01-17 05:29:42 EST</t>
  </si>
  <si>
    <t>2005-01-28 03:55:25 EST</t>
  </si>
  <si>
    <t>[('CREATED', '2005-01-14 10:10 EST'), ('tobias_widmer', '2005-01-17 05:29:42 EST', 'dirk_baeumer'), ('RESOLVED', '2005-01-17 05:38:41 EST', 'tobias_widmer'), ('FIXED', '2005-01-17 05:38:41 EST', 'tobias_widmer'), ('3.1 M5', '2005-01-28 03:55:25 EST', 'tobias_widmer')]</t>
  </si>
  <si>
    <t>2005-01-14 12:17 EST</t>
  </si>
  <si>
    <t>2005-01-14 12:37:47 EST</t>
  </si>
  <si>
    <t>2007-06-14 10:47:31 EDT</t>
  </si>
  <si>
    <t>[('CREATED', '2005-01-14 12:17 EST'), ('tobias_widmer', '2005-01-14 12:37:47 EST', 'dirk_baeumer'), ('enhancement', '2005-01-14 12:37:47 EST', 'dirk_baeumer'), ('Refactoring: Move dialog should show sources and destination [refactoring]', '2005-01-14 12:37:47 EST', 'dirk_baeumer'), ('[reorg] move dialog should show sources and destination [refactoring]', '2006-05-29 06:00:17 EDT', 'tobias_widmer'), ('jdt-ui-inbox', '2007-06-14 10:47:31 EDT', 'martinae')]</t>
  </si>
  <si>
    <t>2005-02-02 10:54:25 EST</t>
  </si>
  <si>
    <t>2005-01-17 04:54 EST</t>
  </si>
  <si>
    <t>2005-01-17 04:54:32 EST</t>
  </si>
  <si>
    <t>[('CREATED', '2005-01-17 04:54 EST'), ('tobias_widmer', '2005-01-17 04:54:32 EST', 'tobias_widmer'), ('3.1 M5', '2005-01-17 05:20:24 EST', 'dirk_baeumer'), ('RESOLVED', '2005-02-02 10:54:25 EST', 'tobias_widmer'), ('FIXED', '2005-02-02 10:54:25 EST', 'tobias_widmer')]</t>
  </si>
  <si>
    <t>2005-01-19 06:40:08 EST</t>
  </si>
  <si>
    <t>2005-01-17 12:27 EST</t>
  </si>
  <si>
    <t>2005-01-17 12:29:46 EST</t>
  </si>
  <si>
    <t>[('CREATED', '2005-01-17 12:27 EST'), ('jdt-ui-inbox', '2005-01-17 12:29:46 EST', 'frederic_fusier'), ('UI', '2005-01-17 12:29:46 EST', 'frederic_fusier'), ('tobias_widmer', '2005-01-17 13:42:47 EST', 'dirk_baeumer'), ('3.1 M5', '2005-01-17 13:42:47 EST', 'dirk_baeumer'), ('RESOLVED', '2005-01-19 06:40:08 EST', 'tobias_widmer'), ('FIXED', '2005-01-19 06:40:08 EST', 'tobias_widmer')]</t>
  </si>
  <si>
    <t>2005-01-21 10:55:42 EST</t>
  </si>
  <si>
    <t>2005-01-17 17:45 EST</t>
  </si>
  <si>
    <t>2005-01-18 04:34:44 EST</t>
  </si>
  <si>
    <t>[('CREATED', '2005-01-17 17:45 EST'), ('dirk_baeumer', '2005-01-18 04:34:44 EST', 'dirk_baeumer'), ('Error inlining with overlapping edits [refactoring]', '2005-01-18 04:34:44 EST', 'dirk_baeumer'), ('3.1 M5', '2005-01-18 04:34:44 EST', 'dirk_baeumer'), ('RESOLVED', '2005-01-21 10:55:42 EST', 'dirk_baeumer'), ('FIXED', '2005-01-21 10:55:42 EST', 'dirk_baeumer')]</t>
  </si>
  <si>
    <t>2005-01-21 08:53:38 EST</t>
  </si>
  <si>
    <t>2005-01-17 17:47 EST</t>
  </si>
  <si>
    <t>2005-01-18 04:33:44 EST</t>
  </si>
  <si>
    <t>[('CREATED', '2005-01-17 17:47 EST'), ('dirk_baeumer', '2005-01-18 04:33:44 EST', 'dirk_baeumer'), ('NPE inlining static bind method [refactoring]', '2005-01-18 04:33:44 EST', 'dirk_baeumer'), ('3.1 M5', '2005-01-18 04:33:44 EST', 'dirk_baeumer'), ('RESOLVED', '2005-01-21 08:53:38 EST', 'dirk_baeumer'), ('FIXED', '2005-01-21 08:53:38 EST', 'dirk_baeumer')]</t>
  </si>
  <si>
    <t>2005-02-09 12:21:26 EST</t>
  </si>
  <si>
    <t>2005-01-19 09:17 EST</t>
  </si>
  <si>
    <t>2005-01-19 09:17:53 EST</t>
  </si>
  <si>
    <t>[('CREATED', '2005-01-19 09:17 EST'), ('3.1 M5', '2005-01-19 09:17:53 EST', 'dirk_baeumer'), ('jdt-ui-inbox', '2005-02-08 13:51:04 EST', 'dirk_baeumer'), ('rfuhrer', '2005-02-08 13:51:17 EST', 'dirk_baeumer'), ('1', '2005-02-08 15:48:28 EST', 'rfuhrer'), ('1', '2005-02-08 15:49:01 EST', 'rfuhrer'), ('markus_keller', '2005-02-09 04:32:32 EST', 'dirk_baeumer'), ('1', '2005-02-09 10:09:07 EST', 'rfuhrer'), ('1', '2005-02-09 10:13:26 EST', 'rfuhrer'), ('RESOLVED', '2005-02-09 12:21:26 EST', 'dirk_baeumer'), ('FIXED', '2005-02-09 12:21:26 EST', 'dirk_baeumer')]</t>
  </si>
  <si>
    <t>66520 102124 162196 268801 (view as bug list)</t>
  </si>
  <si>
    <t>2005-01-19 15:03 EST</t>
  </si>
  <si>
    <t>2005-01-20 05:10:34 EST</t>
  </si>
  <si>
    <t>2020-09-06 17:33:03 EDT</t>
  </si>
  <si>
    <t>[('CREATED', '2005-01-19 15:03 EST'), ('markus_keller', '2005-01-20 05:10:34 EST', 'dirk_baeumer'), ('CallHierarchy filling up my .log [call hierarchy]', '2005-01-20 05:10:34 EST', 'dirk_baeumer'), ('andy_the_great', '2005-06-12 08:51:42 EDT', 'loskutov'), ('[call hierarchy] CallHierarchy fails after change in Java Model', '2005-06-15 04:24:35 EDT', 'markus.kell.r'), ('ASSIGNED', '2005-06-15 04:24:35 EDT', 'markus.kell.r'), ('saff', '2006-01-03 11:23:25 EST', 'markus.kell.r'), ('mozer', '2006-01-03 11:23:40 EST', 'markus.kell.r'), ('3.2 M5', '2006-01-03 11:24:06 EST', 'markus.kell.r'), ('3.2 M6', '2006-02-09 11:45:18 EST', 'markus.kell.r'), ('3.2', '2006-03-27 12:14:47 EST', 'markus.kell.r'), ('P2', '2006-05-01 15:58:18 EDT', 'markus.kell.r'), ('3.3', '2006-05-01 15:58:18 EDT', 'markus.kell.r'), ('kvdijken', '2006-10-25 09:11:56 EDT', 'markus.kell.r'), ('3.4', '2007-05-11 19:03:06 EDT', 'markus.kell.r'), ('Mike_Wilson', '2008-04-12 11:42:13 EDT', 'Mike_Wilson'), ('martin_aeschlimann', '2008-04-14 05:22:25 EDT', 'markus.kell.r'), ('3.5', '2008-04-14 05:22:25 EDT', 'markus.kell.r'), ('P3', '2008-05-06 12:58:12 EDT', 'martinae'), ('Tomasz.Zarna', '2009-03-24 12:02:57 EDT', 'markus.kell.r'), ('---', '2009-03-24 12:03:41 EDT', 'markus.kell.r'), ('eclipse', '2015-09-11 10:31:36 EDT', 'eclipse'), ('stalebug', '2020-09-06 17:33:03 EDT', 'genie')]</t>
  </si>
  <si>
    <t>2005-01-20 13:05:10 EST</t>
  </si>
  <si>
    <t>2005-01-20 07:14 EST</t>
  </si>
  <si>
    <t>2005-01-20 12:39:32 EST</t>
  </si>
  <si>
    <t>[('CREATED', '2005-01-20 07:14 EST'), ('markus_keller', '2005-01-20 12:39:32 EST', 'dirk_baeumer'), ('WONTFIX', '2005-01-20 13:05:10 EST', 'markus.kell.r'), ('RESOLVED', '2005-01-20 13:05:10 EST', 'markus.kell.r')]</t>
  </si>
  <si>
    <t>2005-01-23 12:58:12 EST</t>
  </si>
  <si>
    <t>2005-01-21 14:36 EST</t>
  </si>
  <si>
    <t>2005-01-21 17:05:53 EST</t>
  </si>
  <si>
    <t>[('CREATED', '2005-01-21 14:36 EST'), ('jdt-ui-inbox', '2005-01-21 17:05:53 EST', 'akiezun'), ('UI', '2005-01-21 17:05:53 EST', 'akiezun'), ('dirk_baeumer', '2005-01-23 12:57:56 EST', 'dirk_baeumer'), ('RESOLVED', '2005-01-23 12:58:12 EST', 'dirk_baeumer'), ('FIXED', '2005-01-23 12:58:12 EST', 'dirk_baeumer'), ('3.1 M5', '2005-01-23 12:58:12 EST', 'dirk_baeumer')]</t>
  </si>
  <si>
    <t>2005-02-02 09:20:08 EST</t>
  </si>
  <si>
    <t>2005-01-21 16:50 EST</t>
  </si>
  <si>
    <t>2005-01-21 17:04:52 EST</t>
  </si>
  <si>
    <t>[('CREATED', '2005-01-21 16:50 EST'), ('jdt-ui-inbox', '2005-01-21 17:04:52 EST', 'akiezun'), ('UI', '2005-01-21 17:04:52 EST', 'akiezun'), ('tobias_widmer', '2005-01-23 09:24:28 EST', 'dirk_baeumer'), ('3.1 M5', '2005-01-23 09:24:28 EST', 'dirk_baeumer'), ('RESOLVED', '2005-02-02 09:20:08 EST', 'tobias_widmer'), ('FIXED', '2005-02-02 09:20:08 EST', 'tobias_widmer')]</t>
  </si>
  <si>
    <t>2005-01-28 06:09:29 EST</t>
  </si>
  <si>
    <t>2005-02-18 06:34:41 EST</t>
  </si>
  <si>
    <t>2005-01-24 05:03 EST</t>
  </si>
  <si>
    <t>2005-01-24 05:14:57 EST</t>
  </si>
  <si>
    <t>[('CREATED', '2005-01-24 05:03 EST'), ('tobias_widmer', '2005-01-24 05:14:57 EST', 'dirk_baeumer'), ('P2', '2005-01-24 05:14:57 EST', 'dirk_baeumer'), ('3.1 M5', '2005-01-24 05:14:57 EST', 'dirk_baeumer'), ('RESOLVED', '2005-01-28 06:09:29 EST', 'tobias_widmer'), ('FIXED', '2005-01-28 06:09:29 EST', 'tobias_widmer'), ('VERIFIED', '2005-02-18 06:34:41 EST', 'daniel_megert')]</t>
  </si>
  <si>
    <t>2006-06-16 16:41:00 EDT</t>
  </si>
  <si>
    <t>2005-01-25 14:22 EST</t>
  </si>
  <si>
    <t>2005-01-26 04:43:46 EST</t>
  </si>
  <si>
    <t>[('CREATED', '2005-01-25 14:22 EST'), ('ASSIGNED', '2005-01-26 04:43:46 EST', 'dirk_baeumer'), ('[1.5] convert @deprecated comment to annotation [refactoring] [2]', '2005-01-26 04:43:46 EST', 'dirk_baeumer'), ('mlists', '2005-10-29 23:50:25 EDT', 'mlists'), ('martin_aeschlimann', '2006-06-16 16:41:00 EDT', 'martinae'), ('RESOLVED', '2006-06-16 16:41:00 EDT', 'martinae'), ('WORKSFORME', '2006-06-16 16:41:00 EDT', 'martinae')]</t>
  </si>
  <si>
    <t>85173 (view as bug list)</t>
  </si>
  <si>
    <t>2005-02-17 02:15:48 EST</t>
  </si>
  <si>
    <t>2005-01-26 12:20 EST</t>
  </si>
  <si>
    <t>2005-02-16 11:09:30 EST</t>
  </si>
  <si>
    <t>[('CREATED', '2005-01-26 12:20 EST'), ('konradk', '2005-02-16 11:09:30 EST', 'daniel_megert'), ('martin_aeschlimann', '2005-02-16 11:11:12 EST', 'daniel_megert'), ('daniel_megert', '2005-02-16 11:11:12 EST', 'daniel_megert'), ('ASSIGNED', '2005-02-16 11:15:38 EST', 'daniel_megert'), ('P2', '2005-02-16 11:15:38 EST', 'daniel_megert'), ('3.1 M5', '2005-02-16 11:15:38 EST', 'daniel_megert'), ('markus_keller', '2005-02-16 11:36:55 EST', 'markus.kell.r'), ('RESOLVED', '2005-02-17 02:15:48 EST', 'daniel_megert'), ('WORKSFORME', '2005-02-17 02:15:48 EST', 'daniel_megert')]</t>
  </si>
  <si>
    <t>2005-01-28 03:55:54 EST</t>
  </si>
  <si>
    <t>2005-01-27 20:01 EST</t>
  </si>
  <si>
    <t>2005-01-28 03:52:43 EST</t>
  </si>
  <si>
    <t>[('CREATED', '2005-01-27 20:01 EST'), ('tobias_widmer', '2005-01-28 03:52:43 EST', 'dirk_baeumer'), ('3.1 M5', '2005-01-28 03:52:43 EST', 'dirk_baeumer'), ('RESOLVED', '2005-01-28 03:55:54 EST', 'tobias_widmer'), ('FIXED', '2005-01-28 03:55:54 EST', 'tobias_widmer')]</t>
  </si>
  <si>
    <t>84857 (view as bug list)</t>
  </si>
  <si>
    <t>2005-02-02 09:19:14 EST</t>
  </si>
  <si>
    <t>2005-01-30 16:35 EST</t>
  </si>
  <si>
    <t>2005-01-31 04:47:39 EST</t>
  </si>
  <si>
    <t>2005-02-10 12:04:23 EST</t>
  </si>
  <si>
    <t>[('CREATED', '2005-01-30 16:35 EST'), ('tobias_widmer', '2005-01-31 04:47:39 EST', 'dirk_baeumer'), ('3.1 M5', '2005-01-31 04:47:39 EST', 'dirk_baeumer'), ('RESOLVED', '2005-02-02 09:19:14 EST', 'tobias_widmer'), ('FIXED', '2005-02-02 09:19:14 EST', 'tobias_widmer'), ('m702l1f02', '2005-02-10 12:04:23 EST', 'dirk_baeumer')]</t>
  </si>
  <si>
    <t>2005-01-31 06:31:40 EST</t>
  </si>
  <si>
    <t>2005-01-31 06:26 EST</t>
  </si>
  <si>
    <t>2005-01-31 06:26:26 EST</t>
  </si>
  <si>
    <t>[('CREATED', '2005-01-31 06:26 EST'), ('3.1', '2005-01-31 06:26:26 EST', 'dirk_baeumer'), ('RESOLVED', '2005-01-31 06:31:40 EST', 'tobias_widmer'), ('DUPLICATE', '2005-01-31 06:31:40 EST', 'tobias_widmer')]</t>
  </si>
  <si>
    <t>RESOLVED  DUPLICATE  of bug 81526</t>
  </si>
  <si>
    <t>2005-02-01 13:18:06 EST</t>
  </si>
  <si>
    <t>2005-02-01 08:30 EST</t>
  </si>
  <si>
    <t>2005-02-01 12:59:54 EST</t>
  </si>
  <si>
    <t>[('CREATED', '2005-02-01 08:30 EST'), ('markus_keller', '2005-02-01 12:59:54 EST', 'dirk_baeumer'), ('3.1 M5', '2005-02-01 12:59:54 EST', 'dirk_baeumer'), ('RESOLVED', '2005-02-01 13:18:06 EST', 'markus.kell.r'), ('DUPLICATE', '2005-02-01 13:18:06 EST', 'markus.kell.r')]</t>
  </si>
  <si>
    <t>2005-02-02 06:51:20 EST</t>
  </si>
  <si>
    <t>2009-08-30 02:14:20 EDT</t>
  </si>
  <si>
    <t>2005-02-01 18:42 EST</t>
  </si>
  <si>
    <t>2005-02-01 19:35:01 EST</t>
  </si>
  <si>
    <t>[('CREATED', '2005-02-01 18:42 EST'), ('jdt-ui-inbox', '2005-02-01 19:35:01 EST', 'Olivier_Thomann'), ('UI', '2005-02-01 19:35:01 EST', 'Olivier_Thomann'), ('RESOLVED', '2005-02-02 06:51:20 EST', 'dirk_baeumer'), ('P5', '2005-02-02 06:51:20 EST', 'dirk_baeumer'), ('LATER', '2005-02-02 06:51:20 EST', 'dirk_baeumer'), ('New Refactoring: Convert Static Class to Instance [refactoring]', '2005-02-02 06:51:20 EST', 'dirk_baeumer'), ('WONTFIX', '2009-08-30 02:14:20 EDT', 'denis.roy')]</t>
  </si>
  <si>
    <t>2005-02-02 12:41:37 EST</t>
  </si>
  <si>
    <t>2005-02-02 11:35 EST</t>
  </si>
  <si>
    <t>2005-02-02 12:01:53 EST</t>
  </si>
  <si>
    <t>[('CREATED', '2005-02-02 11:35 EST'), ('jdt-ui-inbox', '2005-02-02 12:01:53 EST', 'jerome_lanneluc'), ('UI', '2005-02-02 12:01:53 EST', 'jerome_lanneluc'), ('tobias_widmer', '2005-02-02 12:22:09 EST', 'dirk_baeumer'), ('3.1 M5', '2005-02-02 12:22:09 EST', 'dirk_baeumer'), ('RESOLVED', '2005-02-02 12:41:37 EST', 'tobias_widmer'), ('FIXED', '2005-02-02 12:41:37 EST', 'tobias_widmer')]</t>
  </si>
  <si>
    <t>2005-02-03 06:00:14 EST</t>
  </si>
  <si>
    <t>2005-02-03 05:13 EST</t>
  </si>
  <si>
    <t>[('CREATED', '2005-02-03 05:13 EST'), ('RESOLVED', '2005-02-03 06:00:14 EST', 'dirk_baeumer'), ('DUPLICATE', '2005-02-03 06:00:14 EST', 'dirk_baeumer')]</t>
  </si>
  <si>
    <t>2005-02-15 11:58:28 EST</t>
  </si>
  <si>
    <t>2005-02-03 10:55 EST</t>
  </si>
  <si>
    <t>2005-02-04 13:12:31 EST</t>
  </si>
  <si>
    <t>[('CREATED', '2005-02-03 10:55 EST'), ('jerome_lanneluc', '2005-02-04 13:12:31 EST', 'Olivier_Thomann'), ('jdt-ui-inbox', '2005-02-14 10:40:03 EST', 'jerome_lanneluc'), ('UI', '2005-02-14 10:40:03 EST', 'jerome_lanneluc'), ('markus_keller', '2005-02-14 13:22:25 EST', 'martinae'), ('RESOLVED', '2005-02-15 11:58:28 EST', 'markus.kell.r'), ('FIXED', '2005-02-15 11:58:28 EST', 'markus.kell.r'), ('3.1 M5', '2005-02-15 11:58:28 EST', 'markus.kell.r')]</t>
  </si>
  <si>
    <t>2005-02-07 06:30:13 EST</t>
  </si>
  <si>
    <t>2005-02-04 15:55 EST</t>
  </si>
  <si>
    <t>[('CREATED', '2005-02-04 15:55 EST'), ('RESOLVED', '2005-02-07 06:30:13 EST', 'dirk_baeumer'), ('FIXED', '2005-02-07 06:30:13 EST', 'dirk_baeumer'), ('3.1 M5', '2005-02-07 06:30:13 EST', 'dirk_baeumer')]</t>
  </si>
  <si>
    <t>2005-02-07 06:23:51 EST</t>
  </si>
  <si>
    <t>2005-02-18 05:03:38 EST</t>
  </si>
  <si>
    <t>2005-02-06 22:05 EST</t>
  </si>
  <si>
    <t>2005-02-07 06:23:39 EST</t>
  </si>
  <si>
    <t>[('CREATED', '2005-02-06 22:05 EST'), ('dirk_baeumer', '2005-02-07 06:23:39 EST', 'dirk_baeumer'), ('3.1 M5', '2005-02-07 06:23:39 EST', 'dirk_baeumer'), ('RESOLVED', '2005-02-07 06:23:51 EST', 'dirk_baeumer'), ('FIXED', '2005-02-07 06:23:51 EST', 'dirk_baeumer'), ('VERIFIED', '2005-02-18 05:03:38 EST', 'tobias_widmer')]</t>
  </si>
  <si>
    <t>2020-02-27 08:40:31 EST</t>
  </si>
  <si>
    <t>2005-02-07 08:38 EST</t>
  </si>
  <si>
    <t>2005-02-07 08:39:08 EST</t>
  </si>
  <si>
    <t>[('CREATED', '2005-02-07 08:38 EST'), ('3.1', '2005-02-07 08:39:08 EST', 'dirk_baeumer'), ('3.1 M6', '2005-02-07 08:40:47 EST', 'dirk_baeumer'), ('3.1 M7', '2005-03-29 07:56:17 EST', 'dirk_baeumer'), ('---', '2005-05-12 05:12:27 EDT', 'dirk_baeumer'), ('jdt-ui-inbox', '2005-05-12 05:12:39 EDT', 'dirk_baeumer'), ('ASSIGNED', '2005-05-12 05:13:07 EDT', 'dirk_baeumer'), ('[refactoring] ChangeType: improve implementation of ChangeTypeRefactoring.isSubTypeOf()', '2005-05-12 05:13:07 EDT', 'dirk_baeumer'), ('[generalize type] improve implementation of ChangeTypeRefactoring.isSubTypeOf()', '2006-06-16 03:30:31 EDT', 'martinae'), ('WONTFIX', '2020-02-27 08:40:31 EST', 'genie'), ('CLOSED', '2020-02-27 08:40:31 EST', 'genie'), ('stalebug', '2020-02-27 08:40:31 EST', 'genie')]</t>
  </si>
  <si>
    <t>2005-05-12 05:14:22 EDT</t>
  </si>
  <si>
    <t>2009-08-30 02:40:06 EDT</t>
  </si>
  <si>
    <t>2005-02-07 08:40 EST</t>
  </si>
  <si>
    <t>2005-02-07 08:40:29 EST</t>
  </si>
  <si>
    <t>[('CREATED', '2005-02-07 08:40 EST'), ('3.1 M6', '2005-02-07 08:40:29 EST', 'dirk_baeumer'), ('enhancement', '2005-03-29 07:56:30 EST', 'dirk_baeumer'), ('3.1 M7', '2005-03-29 07:56:30 EST', 'dirk_baeumer'), ('---', '2005-05-12 05:13:40 EDT', 'dirk_baeumer'), ('jdt-ui-inbox', '2005-05-12 05:13:40 EDT', 'dirk_baeumer'), ('[refactoring] Change type should use CompilationUnitRewrite', '2005-05-12 05:13:40 EDT', 'dirk_baeumer'), ('RESOLVED', '2005-05-12 05:14:22 EDT', 'dirk_baeumer'), ('P4', '2005-05-12 05:14:22 EDT', 'dirk_baeumer'), ('LATER', '2005-05-12 05:14:22 EDT', 'dirk_baeumer'), ('WONTFIX', '2009-08-30 02:40:06 EDT', 'webmaster')]</t>
  </si>
  <si>
    <t>2005-05-19 07:11:53 EDT</t>
  </si>
  <si>
    <t>2005-05-30 09:46:22 EDT</t>
  </si>
  <si>
    <t>2005-02-08 07:12 EST</t>
  </si>
  <si>
    <t>2005-02-08 07:13:27 EST</t>
  </si>
  <si>
    <t>[('CREATED', '2005-02-08 07:12 EST'), ('3.1 M6', '2005-02-08 07:13:27 EST', 'dirk_baeumer'), ('markus_keller', '2005-02-08 07:18:42 EST', 'dirk_baeumer'), ('ChangeTypeRefactoring fails when parameterized type is assigned to raw type', '2005-02-08 09:12:57 EST', 'markus.kell.r'), ('3.1 M7', '2005-03-29 07:56:48 EST', 'dirk_baeumer'), ('dirk_baeumer', '2005-05-17 16:29:26 EDT', 'tip'), ('3.1', '2005-05-17 18:15:42 EDT', 'dirk_baeumer'), ('tip', '2005-05-18 12:42:18 EDT', 'markus.kell.r'), ('RESOLVED', '2005-05-19 07:11:53 EDT', 'markus.kell.r'), ('FIXED', '2005-05-19 07:11:53 EDT', 'markus.kell.r'), ('3.1 RC1', '2005-05-19 07:11:53 EDT', 'markus.kell.r'), ('saff', '2005-05-27 11:05:45 EDT', 'markus.kell.r'), ('VERIFIED', '2005-05-30 09:46:22 EDT', 'markus.kell.r')]</t>
  </si>
  <si>
    <t>84909 84949 (view as bug list)</t>
  </si>
  <si>
    <t>2005-02-10 11:54:16 EST</t>
  </si>
  <si>
    <t>2005-02-08 18:06 EST</t>
  </si>
  <si>
    <t>2005-02-09 04:09:03 EST</t>
  </si>
  <si>
    <t>2005-02-11 04:26:08 EST</t>
  </si>
  <si>
    <t>[('CREATED', '2005-02-08 18:06 EST'), ('3.1', '2005-02-09 04:09:03 EST', 'dirk_baeumer'), ('martin_aeschlimann', '2005-02-09 04:09:28 EST', 'dirk_baeumer'), ('3.1 M6', '2005-02-09 04:09:28 EST', 'dirk_baeumer'), ('RESOLVED', '2005-02-10 11:54:16 EST', 'martinae'), ('FIXED', '2005-02-10 11:54:16 EST', 'martinae'), ('3.1 M5', '2005-02-10 11:54:16 EST', 'martinae'), ('bbiggs', '2005-02-10 11:57:53 EST', 'dirk_baeumer'), ('jaredburns', '2005-02-11 04:26:08 EST', 'martinae')]</t>
  </si>
  <si>
    <t>2005-02-10 10:07:23 EST</t>
  </si>
  <si>
    <t>2005-02-09 06:03 EST</t>
  </si>
  <si>
    <t>2005-02-09 06:36:37 EST</t>
  </si>
  <si>
    <t>[('CREATED', '2005-02-09 06:03 EST'), ('tobias_widmer', '2005-02-09 06:36:37 EST', 'dirk_baeumer'), ("Moving a class doesn't work for a new package [refactoring] [move]", '2005-02-09 06:36:37 EST', 'dirk_baeumer'), ('3.1 M5', '2005-02-09 06:36:37 EST', 'dirk_baeumer'), ('RESOLVED', '2005-02-10 10:07:23 EST', 'tobias_widmer'), ('WORKSFORME', '2005-02-10 10:07:23 EST', 'tobias_widmer')]</t>
  </si>
  <si>
    <t>97438 106008 (view as bug list)</t>
  </si>
  <si>
    <t>2008-06-16 10:06:38 EDT</t>
  </si>
  <si>
    <t>2005-08-05 05:13:19 EDT</t>
  </si>
  <si>
    <t>2005-02-09 09:13 EST</t>
  </si>
  <si>
    <t>2005-02-09 11:57:21 EST</t>
  </si>
  <si>
    <t>[('CREATED', '2005-02-09 09:13 EST'), ('RESOLVED', '2005-02-09 11:57:21 EST', 'dirk_baeumer'), ('LATER', '2005-02-09 11:57:21 EST', 'dirk_baeumer'), ('Move secondary top level type to new file [refactoring] [move] [2]', '2005-02-09 11:57:21 EST', 'dirk_baeumer'), ('saff', '2005-05-31 13:53:24 EDT', 'dirk_baeumer'), ('ggregory', '2005-08-05 05:12:55 EDT', 'dirk_baeumer'), ('REOPENED', '2005-08-05 05:13:19 EDT', 'dirk_baeumer'), ('---', '2005-08-05 05:13:19 EDT', 'dirk_baeumer'), ('tobias_widmer', '2005-08-05 05:15:59 EDT', 'dirk_baeumer'), ('NEW', '2005-08-05 05:15:59 EDT', 'dirk_baeumer'), ('[reorg] provide move secondary top level type to new file refactoring [refactoring]', '2006-05-29 06:01:55 EDT', 'tobias_widmer'), ('jdt-ui-inbox', '2007-06-14 10:48:26 EDT', 'martinae'), ('markus_keller', '2008-06-16 10:06:38 EDT', 'markus.kell.r'), ('RESOLVED', '2008-06-16 10:06:38 EDT', 'markus.kell.r'), ('DUPLICATE', '2008-06-16 10:06:38 EDT', 'markus.kell.r')]</t>
  </si>
  <si>
    <t>RESOLVED  DUPLICATE  of bug 84010</t>
  </si>
  <si>
    <t>2005-02-09 19:31 EST</t>
  </si>
  <si>
    <t>2005-02-09 19:52:46 EST</t>
  </si>
  <si>
    <t>[('CREATED', '2005-02-09 19:31 EST'), ('Tod_Creasey', '2005-02-09 19:52:46 EST', 'eclipse'), ('[JFace] Internal Error with Refactor-&gt;Pull Up (NullPointerException)', '2005-02-09 19:52:46 EST', 'eclipse'), ('jdt-ui-inbox', '2005-02-10 09:03:15 EST', 'Tod_Creasey'), ('UI', '2005-02-10 09:03:15 EST', 'Tod_Creasey'), ('JDT', '2005-02-10 09:03:15 EST', 'Tod_Creasey'), ('Internal Error with Refactor-&gt;Pull Up (NullPointerException)', '2005-02-10 09:03:15 EST', 'Tod_Creasey'), ('RESOLVED', '2005-02-10 12:04:23 EST', 'dirk_baeumer'), ('DUPLICATE', '2005-02-10 12:04:23 EST', 'dirk_baeumer')]</t>
  </si>
  <si>
    <t>2006-04-05 11:08:10 EDT</t>
  </si>
  <si>
    <t>2005-02-10 12:37 EST</t>
  </si>
  <si>
    <t>2005-02-10 13:10:35 EST</t>
  </si>
  <si>
    <t>[('CREATED', '2005-02-10 12:37 EST'), ('dirk_baeumer', '2005-02-10 13:10:35 EST', 'dirk_baeumer'), ('RESOLVED', '2006-04-05 11:08:10 EDT', 'dirk_baeumer'), ('WORKSFORME', '2006-04-05 11:08:10 EDT', 'dirk_baeumer')]</t>
  </si>
  <si>
    <t>2005-02-24 06:38:37 EST</t>
  </si>
  <si>
    <t>2005-02-10 13:59 EST</t>
  </si>
  <si>
    <t>2005-02-11 04:09:43 EST</t>
  </si>
  <si>
    <t>[('CREATED', '2005-02-10 13:59 EST'), ('tobias_widmer', '2005-02-11 04:09:43 EST', 'dirk_baeumer'), ('RESOLVED', '2005-02-24 06:38:37 EST', 'tobias_widmer'), ('FIXED', '2005-02-24 06:38:37 EST', 'tobias_widmer'), ('3.1 M6', '2005-02-24 06:38:37 EST', 'tobias_widmer')]</t>
  </si>
  <si>
    <t>2005-02-11 09:12:29 EST</t>
  </si>
  <si>
    <t>2005-02-11 06:06 EST</t>
  </si>
  <si>
    <t>2005-02-11 09:08:23 EST</t>
  </si>
  <si>
    <t>[('CREATED', '2005-02-11 06:06 EST'), ('dirk_baeumer', '2005-02-11 09:08:23 EST', 'dirk_baeumer'), ('RESOLVED', '2005-02-11 09:12:29 EST', 'dirk_baeumer'), ('FIXED', '2005-02-11 09:12:29 EST', 'dirk_baeumer'), ('3.1 M5', '2005-02-11 09:12:29 EST', 'dirk_baeumer')]</t>
  </si>
  <si>
    <t>2005-02-11 09:53:03 EST</t>
  </si>
  <si>
    <t>2005-02-11 08:10 EST</t>
  </si>
  <si>
    <t>[('CREATED', '2005-02-11 08:10 EST'), ('RESOLVED', '2005-02-11 09:53:03 EST', 'dirk_baeumer'), ('FIXED', '2005-02-11 09:53:03 EST', 'dirk_baeumer'), ('3.1 M5', '2005-02-11 09:53:03 EST', 'dirk_baeumer')]</t>
  </si>
  <si>
    <t>2005-02-14 09:58:50 EST</t>
  </si>
  <si>
    <t>2005-02-13 13:25 EST</t>
  </si>
  <si>
    <t>2005-02-14 06:25:10 EST</t>
  </si>
  <si>
    <t>[('CREATED', '2005-02-13 13:25 EST'), ('markus_keller', '2005-02-14 06:25:10 EST', 'martinae'), ('markus_keller', '2005-02-14 09:51:00 EST', 'markus.kell.r'), ('tobias_widmer', '2005-02-14 09:51:00 EST', 'markus.kell.r'), ('RESOLVED', '2005-02-14 09:58:50 EST', 'tobias_widmer'), ('DUPLICATE', '2005-02-14 09:58:50 EST', 'tobias_widmer')]</t>
  </si>
  <si>
    <t>2005-03-14 09:26:12 EST</t>
  </si>
  <si>
    <t>2009-08-30 02:19:44 EDT</t>
  </si>
  <si>
    <t>2005-02-14 11:30 EST</t>
  </si>
  <si>
    <t>[('CREATED', '2005-02-14 11:30 EST'), ('RESOLVED', '2005-03-14 09:26:12 EST', 'dirk_baeumer'), ('P4', '2005-03-14 09:26:12 EST', 'dirk_baeumer'), ('LATER', '2005-03-14 09:26:12 EST', 'dirk_baeumer'), ('Create subclass/Implement Interface using refactoring or source ctx menu [refactoring]', '2005-03-14 09:26:12 EST', 'dirk_baeumer'), ('WONTFIX', '2009-08-30 02:19:44 EDT', 'denis.roy')]</t>
  </si>
  <si>
    <t>2005-05-24 13:10:54 EDT</t>
  </si>
  <si>
    <t>2005-02-14 13:04 EST</t>
  </si>
  <si>
    <t>2005-02-15 11:44:01 EST</t>
  </si>
  <si>
    <t>[('CREATED', '2005-02-14 13:04 EST'), ('martin_aeschlimann', '2005-02-15 11:44:01 EST', 'martinae'), ('[organize imports] User should be informed when dirty working copies are not committed', '2005-05-23 04:14:13 EDT', 'martinae'), ('RESOLVED', '2005-05-24 13:10:54 EDT', 'martinae'), ('WONTFIX', '2005-05-24 13:10:54 EDT', 'martinae')]</t>
  </si>
  <si>
    <t>RESOLVED  DUPLICATE  of bug 83728</t>
  </si>
  <si>
    <t>85316</t>
  </si>
  <si>
    <t>2005-02-14 14:05 EST</t>
  </si>
  <si>
    <t>2005-02-14 21:48:55 EST</t>
  </si>
  <si>
    <t>[('CREATED', '2005-02-14 14:05 EST'), ('jdt-ui-inbox', '2005-02-14 21:48:55 EST', 'Olivier_Thomann'), ('UI', '2005-02-14 21:48:55 EST', 'Olivier_Thomann'), ('dirk_baeumer', '2005-02-15 05:27:36 EST', 'martinae'), ('85316', '2005-02-15 19:24:34 EST', 'konradk'), ('RESOLVED', '2005-02-16 11:09:30 EST', 'daniel_megert'), ('DUPLICATE', '2005-02-16 11:09:30 EST', 'daniel_megert')]</t>
  </si>
  <si>
    <t>2005-02-15 10:46:47 EST</t>
  </si>
  <si>
    <t>2005-02-18 04:50:16 EST</t>
  </si>
  <si>
    <t>2005-02-15 10:29 EST</t>
  </si>
  <si>
    <t>2005-02-15 10:46:25 EST</t>
  </si>
  <si>
    <t>[('CREATED', '2005-02-15 10:29 EST'), ('dirk_baeumer', '2005-02-15 10:46:25 EST', 'markus.kell.r'), ('markus_keller', '2005-02-15 10:46:25 EST', 'markus.kell.r'), ('3.1 M5', '2005-02-15 10:46:25 EST', 'markus.kell.r'), ('RESOLVED', '2005-02-15 10:46:47 EST', 'markus.kell.r'), ('FIXED', '2005-02-15 10:46:47 EST', 'markus.kell.r'), ('VERIFIED', '2005-02-18 04:50:16 EST', 'eclipse')]</t>
  </si>
  <si>
    <t>2005-05-23 06:50:07 EDT</t>
  </si>
  <si>
    <t>2005-05-27 06:50:25 EDT</t>
  </si>
  <si>
    <t>2005-02-15 10:43 EST</t>
  </si>
  <si>
    <t>2005-02-15 11:36:51 EST</t>
  </si>
  <si>
    <t>[('CREATED', '2005-02-15 10:43 EST'), ('dirk_baeumer', '2005-02-15 11:36:51 EST', 'martinae'), ('markus_keller', '2005-02-22 09:58:48 EST', 'dirk_baeumer'), ('Project rename Undo after error does nothing [refactoring]', '2005-02-22 09:58:48 EST', 'dirk_baeumer'), ('3.1', '2005-02-22 09:58:48 EST', 'dirk_baeumer'), ('RESOLVED', '2005-05-23 06:50:07 EDT', 'markus.kell.r'), ('FIXED', '2005-05-23 06:50:07 EDT', 'markus.kell.r'), ('3.0 RC1', '2005-05-23 06:50:07 EDT', 'markus.kell.r'), ('3.1 RC1', '2005-05-23 12:52:19 EDT', 'markus.kell.r'), ('VERIFIED', '2005-05-27 06:50:25 EDT', 'dirk_baeumer')]</t>
  </si>
  <si>
    <t>RESOLVED  DUPLICATE  of bug 58616</t>
  </si>
  <si>
    <t>2007-05-07 12:06:52 EDT</t>
  </si>
  <si>
    <t>2005-02-15 15:27 EST</t>
  </si>
  <si>
    <t>2005-02-16 08:00:30 EST</t>
  </si>
  <si>
    <t>[('CREATED', '2005-02-15 15:27 EST'), ('markus_keller', '2005-02-16 08:00:30 EST', 'martinae'), ('ASSIGNED', '2005-02-16 10:39:19 EST', 'markus.kell.r'), ("Change Method Signature doesn't warn of collision [refactoring]", '2005-02-16 10:39:19 EST', 'markus.kell.r'), ("[change method signature] doesn't warn of collision", '2006-05-30 11:30:07 EDT', 'markus.kell.r'), ('RESOLVED', '2007-05-07 12:06:52 EDT', 'markus.kell.r'), ('DUPLICATE', '2007-05-07 12:06:52 EDT', 'markus.kell.r')]</t>
  </si>
  <si>
    <t>2005-02-17 09:18:20 EST</t>
  </si>
  <si>
    <t>2005-02-18 05:42:04 EST</t>
  </si>
  <si>
    <t>2005-02-16 09:50 EST</t>
  </si>
  <si>
    <t>2005-02-16 11:39:38 EST</t>
  </si>
  <si>
    <t>[('CREATED', '2005-02-16 09:50 EST'), ('markus_keller', '2005-02-16 11:39:38 EST', 'martinae'), ('FIXED', '2005-02-17 09:18:20 EST', 'markus.kell.r'), ('3.1 M5', '2005-02-17 09:18:20 EST', 'markus.kell.r'), ('RESOLVED', '2005-02-17 09:18:20 EST', 'markus.kell.r'), ('VERIFIED', '2005-02-18 05:42:04 EST', 'markus.kell.r')]</t>
  </si>
  <si>
    <t>2005-03-10 05:39:48 EST</t>
  </si>
  <si>
    <t>2005-02-16 12:08 EST</t>
  </si>
  <si>
    <t>2005-02-16 12:26:45 EST</t>
  </si>
  <si>
    <t>[('CREATED', '2005-02-16 12:08 EST'), ('markus_keller', '2005-02-16 12:26:45 EST', 'martinae'), ('markus_keller', '2005-02-22 12:02:43 EST', 'markus.kell.r'), ('rfuhrer', '2005-02-22 12:02:43 EST', 'markus.kell.r'), ('3.1', '2005-02-22 12:02:43 EST', 'markus.kell.r'), ('RESOLVED', '2005-03-10 05:39:48 EST', 'markus.kell.r'), ('FIXED', '2005-03-10 05:39:48 EST', 'markus.kell.r'), ('3.1 M6', '2005-03-10 05:39:48 EST', 'markus.kell.r')]</t>
  </si>
  <si>
    <t>2005-03-23 13:46:46 EST</t>
  </si>
  <si>
    <t>2005-02-16 14:12 EST</t>
  </si>
  <si>
    <t>2005-02-17 03:47:37 EST</t>
  </si>
  <si>
    <t>[('CREATED', '2005-02-16 14:12 EST'), ('dirk_baeumer', '2005-02-17 03:47:37 EST', 'martinae'), ('[working set explorer] Package Explorer Working Sets and D&amp;D', '2005-02-17 03:47:37 EST', 'martinae'), ('3.1 M6', '2005-02-21 11:07:34 EST', 'dirk_baeumer'), ('RESOLVED', '2005-03-23 13:46:46 EST', 'dirk_baeumer'), ('FIXED', '2005-03-23 13:46:46 EST', 'dirk_baeumer')]</t>
  </si>
  <si>
    <t>2005-02-17 04:51:22 EST</t>
  </si>
  <si>
    <t>2005-02-18 05:31:13 EST</t>
  </si>
  <si>
    <t>2005-02-17 03:33 EST</t>
  </si>
  <si>
    <t>2005-02-17 04:46:59 EST</t>
  </si>
  <si>
    <t>[('CREATED', '2005-02-17 03:33 EST'), ('markus_keller', '2005-02-17 04:46:59 EST', 'martinae'), ('3.1 M5', '2005-02-17 04:46:59 EST', 'martinae'), ('RESOLVED', '2005-02-17 04:51:22 EST', 'markus.kell.r'), ('FIXED', '2005-02-17 04:51:22 EST', 'markus.kell.r'), ('VERIFIED', '2005-02-18 05:31:13 EST', 'eclipse')]</t>
  </si>
  <si>
    <t>RESOLVED  DUPLICATE  of bug 78241</t>
  </si>
  <si>
    <t>2005-02-23 11:21:52 EST</t>
  </si>
  <si>
    <t>2005-02-17 06:25 EST</t>
  </si>
  <si>
    <t>2005-02-17 06:28:30 EST</t>
  </si>
  <si>
    <t>[('CREATED', '2005-02-17 06:25 EST'), ('jdt-ui-inbox', '2005-02-17 06:28:30 EST', 'frederic_fusier'), ('UI', '2005-02-17 06:28:30 EST', 'frederic_fusier'), ('markus_keller', '2005-02-17 10:27:34 EST', 'martinae'), ('RESOLVED', '2005-02-23 11:21:52 EST', 'markus.kell.r'), ('DUPLICATE', '2005-02-23 11:21:52 EST', 'markus.kell.r')]</t>
  </si>
  <si>
    <t>2005-05-08 08:47:51 EDT</t>
  </si>
  <si>
    <t>2005-02-17 06:28 EST</t>
  </si>
  <si>
    <t>2005-02-17 06:29:08 EST</t>
  </si>
  <si>
    <t>[('CREATED', '2005-02-17 06:28 EST'), ('markus_keller', '2005-02-17 06:29:08 EST', 'tobias_widmer'), ('ASSIGNED', '2005-02-17 06:35:21 EST', 'markus.kell.r'), ('3.1 M6', '2005-02-17 06:35:21 EST', 'markus.kell.r'), ('3.1 M7', '2005-03-29 08:49:47 EST', 'markus.kell.r'), ('RESOLVED', '2005-05-08 08:47:51 EDT', 'markus.kell.r'), ('FIXED', '2005-05-08 08:47:51 EDT', 'markus.kell.r')]</t>
  </si>
  <si>
    <t>2020-01-17 05:24:17 EST</t>
  </si>
  <si>
    <t>2005-02-17 06:44 EST</t>
  </si>
  <si>
    <t>2005-02-17 10:29:17 EST</t>
  </si>
  <si>
    <t>[('CREATED', '2005-02-17 06:44 EST'), ('dirk_baeumer', '2005-02-17 10:29:17 EST', 'martinae'), (nan, '2005-05-26 10:41:59 EDT', 'dirk_baeumer'), ('dirk_baeumer', '2005-05-26 10:41:59 EDT', 'dirk_baeumer'), ('[refactoring] Inconsistent error handling of no input in refactorings', '2005-05-26 10:41:59 EDT', 'dirk_baeumer'), ('tobias_widmer', '2006-04-05 11:11:29 EDT', 'dirk_baeumer'), ('[refactoring] [general] Inconsistent error handling of no input in refactorings', '2006-04-05 11:11:29 EDT', 'dirk_baeumer'), ('[general] inconsistent error handling of no input in refactorings [refactoring]', '2006-05-29 06:02:25 EDT', 'tobias_widmer'), ('jdt-ui-inbox', '2007-06-14 10:43:11 EDT', 'martinae'), ('CLOSED', '2020-01-17 05:24:17 EST', 'genie'), ('WONTFIX', '2020-01-17 05:24:17 EST', 'genie'), ('stalebug', '2020-01-17 05:24:17 EST', 'genie')]</t>
  </si>
  <si>
    <t>2005-03-17 11:00:44 EST</t>
  </si>
  <si>
    <t>2005-03-17 09:50:23 EST</t>
  </si>
  <si>
    <t>2005-02-17 15:48 EST</t>
  </si>
  <si>
    <t>2005-02-18 08:53:43 EST</t>
  </si>
  <si>
    <t>[('CREATED', '2005-02-17 15:48 EST'), ('martin_aeschlimann', '2005-02-18 08:53:43 EST', 'martinae'), ('Platform-UI-Inbox', '2005-02-18 08:53:43 EST', 'martinae'), ('UI', '2005-02-18 08:53:43 EST', 'martinae'), ('Platform', '2005-02-18 08:53:43 EST', 'martinae'), ('platform-swt-inbox', '2005-02-18 08:53:55 EST', 'martinae'), ('SWT', '2005-02-18 08:53:55 EST', 'martinae'), ('UI', '2005-02-18 10:13:50 EST', 'hudsonr'), ('JDT', '2005-02-18 10:13:50 EST', 'hudsonr'), ('dirk_baeumer', '2005-02-18 10:33:06 EST', 'martinae'), ('jdt-ui-inbox', '2005-02-18 10:33:06 EST', 'martinae'), ('veronika_irvine', '2005-02-18 11:11:24 EST', 'veronika_irvine'), ('martin_aeschlimann', '2005-02-21 10:35:20 EST', 'dirk_baeumer'), ('3.1 M6', '2005-02-21 10:35:20 EST', 'dirk_baeumer'), ('RESOLVED', '2005-03-17 09:31:26 EST', 'martinae'), ('UI', '2005-03-17 09:31:26 EST', 'martinae'), ('Platform', '2005-03-17 09:31:26 EST', 'martinae'), ('FIXED', '2005-03-17 09:31:26 EST', 'martinae'), ('REOPENED', '2005-03-17 09:50:23 EST', 'hudsonr'), ('---', '2005-03-17 09:50:23 EST', 'hudsonr'), ('UI', '2005-03-17 10:23:34 EST', 'martinae'), ('JDT', '2005-03-17 10:23:34 EST', 'martinae'), ('FIXED', '2005-03-17 11:00:44 EST', 'martinae'), ('RESOLVED', '2005-03-17 11:00:44 EST', 'martinae')]</t>
  </si>
  <si>
    <t>RESOLVED  DUPLICATE  of bug 53297</t>
  </si>
  <si>
    <t>2006-08-03 12:16:28 EDT</t>
  </si>
  <si>
    <t>2005-02-18 04:14 EST</t>
  </si>
  <si>
    <t>2005-02-18 09:10:00 EST</t>
  </si>
  <si>
    <t>[('CREATED', '2005-02-18 04:14 EST'), ('jdt-core-inbox', '2005-02-18 09:10:00 EST', 'martinae'), ('Core', '2005-02-18 09:10:00 EST', 'martinae'), ('jerome_lanneluc', '2005-02-18 09:18:05 EST', 'frederic_fusier'), ('[classpath] Renaming a folder does not update the build path', '2005-02-18 09:27:23 EST', 'frederic_fusier'), ('jdt-ui-inbox', '2005-05-12 06:33:05 EDT', 'jerome_lanneluc'), ('UI', '2005-05-12 06:33:05 EDT', 'jerome_lanneluc'), ('markus_keller', '2005-05-13 05:06:10 EDT', 'martinae'), ('martin_aeschlimann', '2006-08-03 12:16:28 EDT', 'martinae'), ('RESOLVED', '2006-08-03 12:16:28 EDT', 'martinae'), ('DUPLICATE', '2006-08-03 12:16:28 EDT', 'martinae'), ('[rename] Renaming a folder does not update the build path', '2006-08-03 12:16:28 EDT', 'martinae')]</t>
  </si>
  <si>
    <t>93367 (view as bug list)</t>
  </si>
  <si>
    <t>2005-05-08 08:48:02 EDT</t>
  </si>
  <si>
    <t>2005-02-18 05:21 EST</t>
  </si>
  <si>
    <t>2005-03-30 09:17:30 EST</t>
  </si>
  <si>
    <t>2005-05-27 10:19:08 EDT</t>
  </si>
  <si>
    <t>[('CREATED', '2005-02-18 05:21 EST'), ('tobias_widmer', '2005-03-30 09:17:30 EST', 'markus.kell.r'), ('3.1 M7', '2005-03-30 09:17:30 EST', 'markus.kell.r'), ('RESOLVED', '2005-05-08 08:48:02 EDT', 'markus.kell.r'), ('FIXED', '2005-05-08 08:48:02 EDT', 'markus.kell.r'), ('dirk_baeumer', '2005-05-27 10:19:08 EDT', 'markus.kell.r')]</t>
  </si>
  <si>
    <t>2005-05-25 06:54:19 EDT</t>
  </si>
  <si>
    <t>2005-02-18 05:48 EST</t>
  </si>
  <si>
    <t>2005-02-18 09:10:59 EST</t>
  </si>
  <si>
    <t>[('CREATED', '2005-02-18 05:48 EST'), ('dirk_baeumer', '2005-02-18 09:10:59 EST', 'martinae'), ('RESOLVED', '2005-05-25 06:54:19 EDT', 'dirk_baeumer'), ('WONTFIX', '2005-05-25 06:54:19 EDT', 'dirk_baeumer')]</t>
  </si>
  <si>
    <t>2005-03-23 12:54:12 EST</t>
  </si>
  <si>
    <t>2005-02-18 07:02 EST</t>
  </si>
  <si>
    <t>2005-02-18 07:06:42 EST</t>
  </si>
  <si>
    <t>[('CREATED', '2005-02-18 07:02 EST'), ('jdt-ui-inbox', '2005-02-18 07:06:42 EST', 'frederic_fusier'), ('UI', '2005-02-18 07:06:42 EST', 'frederic_fusier'), ('tobias_widmer', '2005-02-18 09:12:28 EST', 'martinae'), ('FIXED', '2005-03-23 12:54:12 EST', 'tobias_widmer'), ('3.1 M6', '2005-03-23 12:54:12 EST', 'tobias_widmer'), ('RESOLVED', '2005-03-23 12:54:12 EST', 'tobias_widmer')]</t>
  </si>
  <si>
    <t>90103 (view as bug list)</t>
  </si>
  <si>
    <t>91938</t>
  </si>
  <si>
    <t>2005-05-02 06:46:13 EDT</t>
  </si>
  <si>
    <t>2005-02-21 06:46 EST</t>
  </si>
  <si>
    <t>2005-02-21 10:55:15 EST</t>
  </si>
  <si>
    <t>[('CREATED', '2005-02-21 06:46 EST'), ('jdt-ui-inbox', '2005-02-21 10:55:15 EST', 'daniel_megert'), ('UI', '2005-02-21 10:55:15 EST', 'daniel_megert'), ('dirk_baeumer', '2005-02-22 05:49:37 EST', 'dirk_baeumer'), ('Surrounding with try/catch suppresses blank lines [refactoring]', '2005-02-22 05:49:37 EST', 'dirk_baeumer'), ('3.1 M6', '2005-02-22 05:49:37 EST', 'dirk_baeumer'), ('3.1 M7', '2005-03-26 12:11:29 EST', 'dirk_baeumer'), ('brockj', '2005-04-03 18:38:58 EDT', 'dirk_baeumer'), ('91938', '2005-04-19 13:02:50 EDT', 'martinae'), ('RESOLVED', '2005-05-02 06:46:13 EDT', 'dirk_baeumer'), ('FIXED', '2005-05-02 06:46:13 EDT', 'dirk_baeumer')]</t>
  </si>
  <si>
    <t>2005-02-27 12:11:22 EST</t>
  </si>
  <si>
    <t>2005-02-22 09:22 EST</t>
  </si>
  <si>
    <t>2005-03-08 10:10:11 EST</t>
  </si>
  <si>
    <t>[('CREATED', '2005-02-22 09:22 EST'), ('RESOLVED', '2005-02-27 12:11:22 EST', 'dirk_baeumer'), ('WORKSFORME', '2005-02-27 12:11:22 EST', 'dirk_baeumer'), ('sonia_dimitrov', '2005-03-08 04:07:05 EST', 'dirk_baeumer'), ('sumit.sarkar', '2005-03-08 10:10:11 EST', 'sonia_dimitrov')]</t>
  </si>
  <si>
    <t>2005-02-23 14:16:33 EST</t>
  </si>
  <si>
    <t>2009-08-30 02:33:47 EDT</t>
  </si>
  <si>
    <t>2005-02-23 11:23 EST</t>
  </si>
  <si>
    <t>[('CREATED', '2005-02-23 11:23 EST'), ('Quick fixes and refactorings should allow to contribute comments to commit sets [general issue] [2]', '2005-02-23 14:16:33 EST', 'dirk_baeumer'), ('erich_gamma', '2005-02-23 14:16:33 EST', 'dirk_baeumer'), ('enhancement', '2005-02-23 14:16:33 EST', 'dirk_baeumer'), ('RESOLVED', '2005-02-23 14:16:33 EST', 'dirk_baeumer'), ('LATER', '2005-02-23 14:16:33 EST', 'dirk_baeumer'), ('mlists', '2005-08-24 06:32:14 EDT', 'mlists'), ('gunnar', '2005-10-25 15:22:22 EDT', 'gunnar'), ('eclipse.*.dserodio', '2005-10-26 09:30:16 EDT', 'eclipse.dserodio'), ('pombredanne', '2005-10-28 11:58:25 EDT', 'pombredanne'), ('eclipse', '2005-11-01 06:49:19 EST', 'eclipse'), ('WONTFIX', '2009-08-30 02:33:47 EDT', 'webmaster')]</t>
  </si>
  <si>
    <t>2005-02-24 06:02:29 EST</t>
  </si>
  <si>
    <t>2009-08-30 02:18:59 EDT</t>
  </si>
  <si>
    <t>2010-06-18 12:02:38 EDT</t>
  </si>
  <si>
    <t>2005-02-24 02:18 EST</t>
  </si>
  <si>
    <t>2010-06-18 12:03:21 EDT</t>
  </si>
  <si>
    <t>[('CREATED', '2005-02-24 02:18 EST'), ('enhancement', '2005-02-24 06:02:29 EST', 'dirk_baeumer'), ('RESOLVED', '2005-02-24 06:02:29 EST', 'dirk_baeumer'), ('LATER', '2005-02-24 06:02:29 EST', 'dirk_baeumer'), ('WONTFIX', '2009-08-30 02:18:59 EDT', 'denis.roy'), ('verawahler', '2010-06-17 15:20:20 EDT', 'verawahler'), ('daniel_megert, markus_keller', '2010-06-18 02:16:54 EDT', 'daniel_megert'), ('P5', '2010-06-18 12:02:38 EDT', 'markus.kell.r'), ('REOPENED', '2010-06-18 12:02:38 EDT', 'markus.kell.r'), ('---', '2010-06-18 12:02:38 EDT', 'markus.kell.r'), ("[move method][refactoring] moveParticipants doesn't work for MoveInstanceMethod", '2010-06-18 12:03:21 EDT', 'markus.kell.r'), ('ASSIGNED', '2010-06-18 12:03:21 EDT', 'markus.kell.r')]</t>
  </si>
  <si>
    <t>2005-03-10 13:53:00 EST</t>
  </si>
  <si>
    <t>2005-03-11 12:35:43 EST</t>
  </si>
  <si>
    <t>2005-03-10 13:52:39 EST</t>
  </si>
  <si>
    <t>2005-02-25 09:15 EST</t>
  </si>
  <si>
    <t>2005-03-07 06:22:11 EST</t>
  </si>
  <si>
    <t>[('CREATED', '2005-02-25 09:15 EST'), ('daniel_megert', '2005-03-07 06:22:11 EST', 'daniel_megert'), ('veronika_irvine', '2005-03-07 10:08:24 EST', 'dirk_baeumer'), ('3.0.2', '2005-03-10 06:02:10 EST', 'dirk_baeumer'), ('RESOLVED', '2005-03-10 13:51:37 EST', 'dirk_baeumer'), ('FIXED', '2005-03-10 13:51:37 EST', 'dirk_baeumer'), ('markus_keller', '2005-03-10 13:52:11 EST', 'dirk_baeumer'), ('CLOSED', '2005-03-10 13:52:11 EST', 'dirk_baeumer'), ('REOPENED', '2005-03-10 13:52:39 EST', 'dirk_baeumer'), ('---', '2005-03-10 13:52:39 EST', 'dirk_baeumer'), ('RESOLVED', '2005-03-10 13:53:00 EST', 'dirk_baeumer'), ('FIXED', '2005-03-10 13:53:00 EST', 'dirk_baeumer'), ('VERIFIED', '2005-03-11 12:35:43 EST', 'dirk_baeumer')]</t>
  </si>
  <si>
    <t>87050</t>
  </si>
  <si>
    <t>2005-05-08 09:09:51 EDT</t>
  </si>
  <si>
    <t>2005-02-25 11:04 EST</t>
  </si>
  <si>
    <t>2005-02-25 11:09:44 EST</t>
  </si>
  <si>
    <t>[('CREATED', '2005-02-25 11:04 EST'), ('markus_keller', '2005-02-25 11:09:44 EST', 'dirk_baeumer'), ('3.1', '2005-02-25 11:09:44 EST', 'dirk_baeumer'), ('jdt-ui-inbox', '2005-02-25 15:58:26 EST', 'akiezun'), ('infer type args: incorrect with method type params used as type args', '2005-02-25 15:58:26 EST', 'akiezun'), ('markus_keller', '2005-02-25 15:59:22 EST', 'akiezun'), ('All', '2005-03-03 03:17:56 EST', 'markus.kell.r'), ('87050', '2005-03-03 03:17:56 EST', 'markus.kell.r'), ('ASSIGNED', '2005-03-03 03:17:56 EST', 'markus.kell.r'), ('All', '2005-03-03 03:17:56 EST', 'markus.kell.r'), ('RESOLVED', '2005-05-08 09:09:51 EDT', 'markus.kell.r'), ('FIXED', '2005-05-08 09:09:51 EDT', 'markus.kell.r'), ('3.1 M7', '2005-05-08 09:09:51 EDT', 'markus.kell.r')]</t>
  </si>
  <si>
    <t>2005-06-09 07:21:42 EDT</t>
  </si>
  <si>
    <t>2005-06-09 10:18:02 EDT</t>
  </si>
  <si>
    <t>2005-02-25 15:56 EST</t>
  </si>
  <si>
    <t>2005-02-25 17:02:11 EST</t>
  </si>
  <si>
    <t>[('CREATED', '2005-02-25 15:56 EST'), ('markus_keller', '2005-02-25 17:02:11 EST', 'dirk_baeumer'), ('3.1 M6', '2005-02-25 17:02:11 EST', 'dirk_baeumer'), ('infer type args: ArrayIndexOutOfBounds', '2005-03-09 14:58:21 EST', 'akiezun'), ('3.1 M7', '2005-03-29 08:49:47 EST', 'markus.kell.r'), ('3.1 RC1', '2005-05-12 09:46:23 EDT', 'markus.kell.r'), ('ASSIGNED', '2005-05-27 05:13:16 EDT', 'markus.kell.r'), ('infer type args: Problems with supertype calculation of raw types and type variables', '2005-05-27 05:13:16 EDT', 'markus.kell.r'), ('3.1 RC2', '2005-05-27 05:13:16 EDT', 'markus.kell.r'), ('RESOLVED', '2005-06-09 07:21:42 EDT', 'markus.kell.r'), ('FIXED', '2005-06-09 07:21:42 EDT', 'markus.kell.r'), ('VERIFIED', '2005-06-09 10:18:02 EDT', 'dirk_baeumer')]</t>
  </si>
  <si>
    <t>53967 (view as bug list)</t>
  </si>
  <si>
    <t>2005-03-07 09:35:51 EST</t>
  </si>
  <si>
    <t>2020-02-16 15:02:31 EST</t>
  </si>
  <si>
    <t>2005-03-07 11:09:36 EST</t>
  </si>
  <si>
    <t>2005-02-28 10:52 EST</t>
  </si>
  <si>
    <t>2005-03-07 09:32:39 EST</t>
  </si>
  <si>
    <t>[('CREATED', '2005-02-28 10:52 EST'), ('daniel_megert', '2005-03-07 09:32:39 EST', 'daniel_megert'), ('martin_aeschlimann', '2005-03-07 09:32:39 EST', 'daniel_megert'), ('UI', '2005-03-07 09:32:39 EST', 'daniel_megert'), ('RESOLVED', '2005-03-07 09:35:51 EST', 'martinae'), ('WONTFIX', '2005-03-07 09:35:51 EST', 'martinae'), ('REOPENED', '2005-03-07 11:09:36 EST', 'eclipse'), ('---', '2005-03-07 11:09:36 EST', 'eclipse'), ('jdt-ui-inbox', '2005-03-08 03:23:20 EST', 'martinae'), ('NEW', '2005-03-08 03:23:20 EST', 'martinae'), ('Renaming a parameter creates erroneous code [refactoring] [rename]', '2005-03-08 04:10:03 EST', 'dirk_baeumer'), ('markus_keller', '2005-03-08 04:10:03 EST', 'dirk_baeumer'), ('[rename] Renaming a parameter creates erroneous code [refactoring] [rename]', '2006-08-03 11:48:32 EDT', 'martinae'), ('eclipse-bugs', '2006-08-03 11:49:39 EDT', 'martinae'), ('[rename] Renaming a parameter should avoid/solve name conflicts', '2006-08-03 12:12:28 EDT', 'martinae'), ('stalebug', '2020-02-16 15:02:31 EST', 'genie'), ('WONTFIX', '2020-02-16 15:02:31 EST', 'genie'), ('CLOSED', '2020-02-16 15:02:31 EST', 'genie')]</t>
  </si>
  <si>
    <t>2005-03-07 12:48:30 EST</t>
  </si>
  <si>
    <t>2005-03-01 03:26 EST</t>
  </si>
  <si>
    <t>2005-03-01 11:36:00 EST</t>
  </si>
  <si>
    <t>[('CREATED', '2005-03-01 03:26 EST'), ('3.1 M6', '2005-03-01 11:36:00 EST', 'dirk_baeumer'), ('RESOLVED', '2005-03-07 12:48:30 EST', 'dirk_baeumer'), ('FIXED', '2005-03-07 12:48:30 EST', 'dirk_baeumer')]</t>
  </si>
  <si>
    <t>2005-05-18 06:32:59 EDT</t>
  </si>
  <si>
    <t>2005-05-27 12:29:41 EDT</t>
  </si>
  <si>
    <t>2005-03-02 03:22 EST</t>
  </si>
  <si>
    <t>2005-03-02 03:39:47 EST</t>
  </si>
  <si>
    <t>[('CREATED', '2005-03-02 03:22 EST'), ('jdt-ui-inbox', '2005-03-02 03:39:47 EST', 'frederic_fusier'), ('UI', '2005-03-02 03:39:47 EST', 'frederic_fusier'), ('dirk_baeumer', '2005-03-02 13:37:19 EST', 'dirk_baeumer'), ('Temporary variable type incorrect [refactoring] [inline] [1.5]', '2005-03-02 13:37:19 EST', 'dirk_baeumer'), ('3.1', '2005-03-02 13:37:19 EST', 'dirk_baeumer'), ('RESOLVED', '2005-05-18 06:32:59 EDT', 'dirk_baeumer'), ('FIXED', '2005-05-18 06:32:59 EDT', 'dirk_baeumer'), ('3.1 RC1', '2005-05-18 06:32:59 EDT', 'dirk_baeumer'), ('VERIFIED', '2005-05-27 12:29:41 EDT', 'dirk_baeumer')]</t>
  </si>
  <si>
    <t>2005-05-23 12:13:48 EDT</t>
  </si>
  <si>
    <t>2005-03-02 08:14 EST</t>
  </si>
  <si>
    <t>2005-03-04 14:03:03 EST</t>
  </si>
  <si>
    <t>[('CREATED', '2005-03-02 08:14 EST'), ('martin_aeschlimann', '2005-03-04 14:03:03 EST', 'dirk_baeumer'), ('Ctrl-1 should suggest splitting "return expression()" [quick assist]', '2005-03-04 14:03:03 EST', 'dirk_baeumer'), ('[quick assist] Ctrl-1 should suggest splitting "return expression()"', '2005-03-05 03:47:17 EST', 'martinae'), ('RESOLVED', '2005-05-23 12:13:48 EDT', 'martinae'), ('WONTFIX', '2005-05-23 12:13:48 EDT', 'martinae')]</t>
  </si>
  <si>
    <t>2020-06-30 15:48:57 EDT</t>
  </si>
  <si>
    <t>2005-03-03 04:56 EST</t>
  </si>
  <si>
    <t>2005-03-03 09:01:48 EST</t>
  </si>
  <si>
    <t>[('CREATED', '2005-03-03 04:56 EST'), ('jdt-ui-inbox', '2005-03-03 09:01:48 EST', 'dj.houghton'), ('UI', '2005-03-03 09:01:48 EST', 'dj.houghton'), ('JDT', '2005-03-03 09:01:48 EST', 'dj.houghton'), ('tobias_widmer', '2005-03-03 13:27:11 EST', 'dirk_baeumer'), ('Bug in Refactor-&gt;Pull Up of constants [refactoring] [pull up]', '2005-03-03 13:27:11 EST', 'dirk_baeumer'), ('[pull up] warn when merging constants with different initializers [refactoring]', '2006-05-29 06:03:11 EDT', 'tobias_widmer'), ('jdt-ui-inbox', '2007-06-14 10:46:32 EDT', 'martinae'), ('stalebug', '2020-06-29 09:41:44 EDT', 'genie'), ('WORKSFORME', '2020-06-30 15:48:57 EDT', 'kenneth'), ('CLOSED', '2020-06-30 15:48:57 EDT', 'kenneth'), ('kenneth', '2020-06-30 15:48:57 EDT', 'kenneth')]</t>
  </si>
  <si>
    <t>2005-03-03 10:39 EST</t>
  </si>
  <si>
    <t>2005-03-03 13:24:59 EST</t>
  </si>
  <si>
    <t>2020-07-30 15:29:15 EDT</t>
  </si>
  <si>
    <t>[('CREATED', '2005-03-03 10:39 EST'), ('markus_keller', '2005-03-03 13:24:59 EST', 'dirk_baeumer'), ('infer type args: NPE [refactoring] [infer type argument]', '2005-03-03 13:24:59 EST', 'dirk_baeumer'), ('3.1 M6', '2005-03-03 13:24:59 EST', 'dirk_baeumer'), ('3.1 M7', '2005-03-29 08:49:47 EST', 'markus.kell.r'), ('3.1 RC1', '2005-05-12 09:46:23 EDT', 'markus.kell.r'), ('ASSIGNED', '2005-05-27 05:39:32 EDT', 'markus.kell.r'), ('infer type args: problem with nested generics [refactoring] [infer type argument]', '2005-05-27 05:39:32 EDT', 'markus.kell.r'), ('3.1 RC2', '2005-05-27 05:39:32 EDT', 'markus.kell.r'), ('3.2', '2005-06-09 11:28:53 EDT', 'markus.kell.r'), ('3.3', '2006-04-28 09:58:50 EDT', 'markus.kell.r'), ('[Infer Type Arguments] problem with nested generics', '2006-05-30 11:39:16 EDT', 'markus.kell.r'), ('3.4', '2007-05-11 18:49:47 EDT', 'markus.kell.r'), ('3.5', '2008-05-10 12:17:05 EDT', 'markus.kell.r'), ('daniel_megert', '2008-11-13 03:37:06 EST', 'daniel_megert'), ('[infer type arguments] problem with nested generics', '2008-11-13 03:37:06 EST', 'daniel_megert'), ('---', '2009-04-30 13:25:24 EDT', 'markus.kell.r'), ('stalebug', '2020-07-30 15:29:15 EDT', 'genie')]</t>
  </si>
  <si>
    <t>2005-05-04 03:45:16 EDT</t>
  </si>
  <si>
    <t>2005-03-03 10:46 EST</t>
  </si>
  <si>
    <t>2005-03-03 13:22:44 EST</t>
  </si>
  <si>
    <t>[('CREATED', '2005-03-03 10:46 EST'), ('markus_keller', '2005-03-03 13:22:44 EST', 'dirk_baeumer'), ('infer type args: NPE on analyzing Jlex [refactoring] [infer type arguments]', '2005-03-03 13:22:44 EST', 'dirk_baeumer'), ('3.1 M6', '2005-03-03 13:22:44 EST', 'dirk_baeumer'), ('infer type args: NPE on newInstance() [refactoring] [infer type arguments]', '2005-03-22 14:39:18 EST', 'akiezun'), ('3.1 M7', '2005-03-29 08:49:47 EST', 'markus.kell.r'), ('RESOLVED', '2005-05-04 03:45:16 EDT', 'markus.kell.r'), ('FIXED', '2005-05-04 03:45:16 EDT', 'markus.kell.r')]</t>
  </si>
  <si>
    <t>RESOLVED  DUPLICATE  of bug 81106</t>
  </si>
  <si>
    <t>2005-03-07 08:44:12 EST</t>
  </si>
  <si>
    <t>2005-03-04 14:17 EST</t>
  </si>
  <si>
    <t>2005-03-04 14:18:07 EST</t>
  </si>
  <si>
    <t>[('CREATED', '2005-03-04 14:17 EST'), ('P2', '2005-03-04 14:18:07 EST', 'dirk_baeumer'), ('3.1 M6', '2005-03-04 14:18:07 EST', 'dirk_baeumer'), ('RESOLVED', '2005-03-07 08:44:12 EST', 'tobias_widmer'), ('DUPLICATE', '2005-03-07 08:44:12 EST', 'tobias_widmer')]</t>
  </si>
  <si>
    <t>2005-03-24 11:08:20 EST</t>
  </si>
  <si>
    <t>2005-03-04 14:20 EST</t>
  </si>
  <si>
    <t>2005-03-04 14:20:47 EST</t>
  </si>
  <si>
    <t>[('CREATED', '2005-03-04 14:20 EST'), ('3.1 M6', '2005-03-04 14:20:47 EST', 'dirk_baeumer'), ('WORKSFORME', '2005-03-24 11:08:20 EST', 'markus.kell.r'), ('RESOLVED', '2005-03-24 11:08:20 EST', 'markus.kell.r')]</t>
  </si>
  <si>
    <t>87289</t>
  </si>
  <si>
    <t>2005-05-03 10:27:37 EDT</t>
  </si>
  <si>
    <t>2005-03-04 14:36 EST</t>
  </si>
  <si>
    <t>2005-03-07 08:34:30 EST</t>
  </si>
  <si>
    <t>[('CREATED', '2005-03-04 14:36 EST'), ('dirk_baeumer', '2005-03-07 08:34:30 EST', 'dirk_baeumer'), ('Refactor &gt; Undo is always disabled [refactoring]', '2005-03-07 08:34:30 EST', 'dirk_baeumer'), ('87289', '2005-03-07 12:15:16 EST', 'dirk_baeumer'), ('3.1 M7', '2005-04-11 06:08:45 EDT', 'dirk_baeumer'), ('RESOLVED', '2005-05-03 10:27:37 EDT', 'dirk_baeumer'), ('FIXED', '2005-05-03 10:27:37 EDT', 'dirk_baeumer')]</t>
  </si>
  <si>
    <t>2005-03-05 21:55 EST</t>
  </si>
  <si>
    <t>2005-03-06 10:27:24 EST</t>
  </si>
  <si>
    <t>[('CREATED', '2005-03-05 21:55 EST'), ('jdt-ui-inbox', '2005-03-06 10:27:24 EST', 'Olivier_Thomann'), ('UI', '2005-03-06 10:27:24 EST', 'Olivier_Thomann'), ('markus_keller', '2005-03-06 13:55:04 EST', 'dirk_baeumer'), ('"Change Method Signature" does not recognize Varargs [refactoring]', '2005-03-06 13:55:04 EST', 'dirk_baeumer'), ('3.1 M6', '2005-03-06 13:55:04 EST', 'dirk_baeumer'), ('RESOLVED', '2005-03-07 04:20:53 EST', 'markus.kell.r'), ('DUPLICATE', '2005-03-07 04:20:53 EST', 'markus.kell.r')]</t>
  </si>
  <si>
    <t>2005-03-07 05:37 EST</t>
  </si>
  <si>
    <t>2006-07-05 06:55:05 EDT</t>
  </si>
  <si>
    <t>2006-07-05 06:55:29 EDT</t>
  </si>
  <si>
    <t>[('CREATED', '2005-03-07 05:37 EST'), ('ASSIGNED', '2006-07-05 06:55:05 EDT', 'markus.kell.r'), ('[infer type arguments] replace Collections.EMPTY_SET by emptySet()', '2006-07-05 06:55:05 EDT', 'markus.kell.r'), ('enhancement', '2006-07-05 06:55:29 EDT', 'markus.kell.r')]</t>
  </si>
  <si>
    <t>VERIFIED  WORKSFORME</t>
  </si>
  <si>
    <t>2005-05-26 09:06:15 EDT</t>
  </si>
  <si>
    <t>2005-05-27 07:00:36 EDT</t>
  </si>
  <si>
    <t>2005-03-07 06:47 EST</t>
  </si>
  <si>
    <t>2005-03-07 07:12:37 EST</t>
  </si>
  <si>
    <t>[('CREATED', '2005-03-07 06:47 EST'), ('markus_keller', '2005-03-07 07:12:37 EST', 'dirk_baeumer'), ('3.1 M6', '2005-03-07 07:12:37 EST', 'dirk_baeumer'), ('P2', '2005-03-07 07:13:16 EST', 'dirk_baeumer'), ('ASSIGNED', '2005-03-24 14:07:27 EST', 'markus.kell.r'), ('3.1 M7', '2005-03-24 14:07:27 EST', 'markus.kell.r'), ('3.1 RC1', '2005-05-12 09:46:23 EDT', 'markus.kell.r'), ('WORKSFORME', '2005-05-26 09:06:15 EDT', 'markus.kell.r'), ('RESOLVED', '2005-05-26 09:06:15 EDT', 'markus.kell.r'), ('P3', '2005-05-26 09:06:15 EDT', 'markus.kell.r'), ('VERIFIED', '2005-05-27 07:00:36 EDT', 'dirk_baeumer')]</t>
  </si>
  <si>
    <t>2005-03-08 08:18:33 EST</t>
  </si>
  <si>
    <t>2005-03-07 14:38 EST</t>
  </si>
  <si>
    <t>2005-03-08 04:45:09 EST</t>
  </si>
  <si>
    <t>[('CREATED', '2005-03-07 14:38 EST'), ('veronika_irvine', '2005-03-08 04:45:09 EST', 'dirk_baeumer'), ('Rename preview UI too large with multiple displays [refactoring] [dialogs]', '2005-03-08 04:45:09 EST', 'dirk_baeumer'), ('dirk_baeumer', '2005-03-08 08:18:19 EST', 'dirk_baeumer'), ('RESOLVED', '2005-03-08 08:18:33 EST', 'dirk_baeumer'), ('FIXED', '2005-03-08 08:18:33 EST', 'dirk_baeumer'), ('3.1 M6', '2005-03-08 08:18:33 EST', 'dirk_baeumer')]</t>
  </si>
  <si>
    <t>2005-03-08 04:12:46 EST</t>
  </si>
  <si>
    <t>2005-03-07 19:15 EST</t>
  </si>
  <si>
    <t>2005-03-07 19:17:39 EST</t>
  </si>
  <si>
    <t>[('CREATED', '2005-03-07 19:15 EST'), ('jdt-ui-inbox', '2005-03-07 19:17:39 EST', 'philippe_mulet'), ('UI', '2005-03-07 19:17:39 EST', 'philippe_mulet'), ('RESOLVED', '2005-03-08 04:12:46 EST', 'dirk_baeumer'), ('DUPLICATE', '2005-03-08 04:12:46 EST', 'dirk_baeumer')]</t>
  </si>
  <si>
    <t>2005-04-01 03:54:42 EST</t>
  </si>
  <si>
    <t>2005-03-08 10:50 EST</t>
  </si>
  <si>
    <t>2005-03-08 10:50:28 EST</t>
  </si>
  <si>
    <t>[('CREATED', '2005-03-08 10:50 EST'), ('performance', '2005-03-08 10:50:28 EST', 'Tod_Creasey'), ('minor', '2005-03-09 08:55:53 EST', 'Tod_Creasey'), ('ASSIGNED', '2005-03-09 08:55:53 EST', 'Tod_Creasey'), ('P4', '2005-03-09 08:55:53 EST', 'Tod_Creasey'), ('P3', '2005-03-09 08:56:17 EST', 'Tod_Creasey'), ('dirk_baeumer', '2005-03-21 16:20:33 EST', 'dirk_baeumer'), ('tobias_widmer', '2005-03-21 16:20:33 EST', 'dirk_baeumer'), ('NEW', '2005-03-21 16:20:33 EST', 'dirk_baeumer'), ('RESOLVED', '2005-04-01 03:54:42 EST', 'tobias_widmer'), ('WORKSFORME', '2005-04-01 03:54:42 EST', 'tobias_widmer')]</t>
  </si>
  <si>
    <t>2006-06-08 13:21:01 EDT</t>
  </si>
  <si>
    <t>2009-08-30 02:09:16 EDT</t>
  </si>
  <si>
    <t>2005-03-08 11:10 EST</t>
  </si>
  <si>
    <t>2005-03-08 13:23:54 EST</t>
  </si>
  <si>
    <t>[('CREATED', '2005-03-08 11:10 EST'), ('jdt-ui-inbox', '2005-03-08 13:23:54 EST', 'Olivier_Thomann'), ('UI', '2005-03-08 13:23:54 EST', 'Olivier_Thomann'), ('markus_keller', '2005-03-08 18:35:11 EST', 'dirk_baeumer'), ('REMIND', '2006-06-08 13:21:01 EDT', 'markus.kell.r'), ('RESOLVED', '2006-06-08 13:21:01 EDT', 'markus.kell.r'), ('needinfo', '2009-08-30 02:09:16 EDT', 'denis.roy'), ('INVALID', '2009-08-30 02:09:16 EDT', 'denis.roy'), ('jdt-ui-inbox', '2009-08-30 02:09:16 EDT', 'denis.roy')]</t>
  </si>
  <si>
    <t>2005-03-16 08:18:13 EST</t>
  </si>
  <si>
    <t>2005-03-09 06:47 EST</t>
  </si>
  <si>
    <t>2005-03-09 09:04:38 EST</t>
  </si>
  <si>
    <t>[('CREATED', '2005-03-09 06:47 EST'), ('jdt-ui-inbox', '2005-03-09 09:04:38 EST', 'frederic_fusier'), ('UI', '2005-03-09 09:04:38 EST', 'frederic_fusier'), ('tobias_widmer', '2005-03-09 09:37:48 EST', 'dirk_baeumer'), ('[refactoring] [extract local] wrong auto-added import line while refactor', '2005-03-09 09:37:48 EST', 'dirk_baeumer'), ('RESOLVED', '2005-03-16 08:18:13 EST', 'tobias_widmer'), ('FIXED', '2005-03-16 08:18:13 EST', 'tobias_widmer'), ('3.1 M6', '2005-03-16 08:18:13 EST', 'tobias_widmer')]</t>
  </si>
  <si>
    <t>2006-03-07 10:52:46 EST</t>
  </si>
  <si>
    <t>2005-03-09 08:43 EST</t>
  </si>
  <si>
    <t>2005-06-30 07:20:28 EDT</t>
  </si>
  <si>
    <t>[('CREATED', '2005-03-09 08:43 EST'), ('markus_keller, christof_marti', '2005-06-30 07:20:28 EDT', 'markus.kell.r'), ('markus_keller', '2006-03-07 10:47:06 EST', 'markus.kell.r'), ('3.2 M6', '2006-03-07 10:47:06 EST', 'markus.kell.r'), (nan, '2006-03-07 10:52:46 EST', 'markus.kell.r'), ('RESOLVED', '2006-03-07 10:52:46 EST', 'markus.kell.r'), ('FIXED', '2006-03-07 10:52:46 EST', 'markus.kell.r')]</t>
  </si>
  <si>
    <t>2005-04-15 04:47:41 EDT</t>
  </si>
  <si>
    <t>2005-03-09 08:47 EST</t>
  </si>
  <si>
    <t>2005-03-09 08:47:21 EST</t>
  </si>
  <si>
    <t>[('CREATED', '2005-03-09 08:47 EST'), ('performance', '2005-03-09 08:47:21 EST', 'Tod_Creasey'), ('nick_edgar', '2005-03-09 08:57:12 EST', 'dirk_baeumer'), ('dirk_baeumer', '2005-03-14 10:00:56 EST', 'dirk_baeumer'), ('tobias_widmer', '2005-03-14 10:00:56 EST', 'dirk_baeumer'), ('P2', '2005-03-14 10:00:56 EST', 'dirk_baeumer'), ('PackageExplorerPart#makeActions des a lot of work on startup [package explorer]', '2005-03-14 10:00:56 EST', 'dirk_baeumer'), ('1', '2005-03-15 16:00:55 EST', 'Tod_Creasey'), ('3.1 M7', '2005-04-06 06:04:55 EDT', 'dirk_baeumer'), ('RESOLVED', '2005-04-15 04:47:41 EDT', 'tobias_widmer'), ('FIXED', '2005-04-15 04:47:41 EDT', 'tobias_widmer')]</t>
  </si>
  <si>
    <t>87552 (view as bug list)</t>
  </si>
  <si>
    <t>2005-03-10 06:53:50 EST</t>
  </si>
  <si>
    <t>2009-08-30 02:35:31 EDT</t>
  </si>
  <si>
    <t>2005-03-09 14:41 EST</t>
  </si>
  <si>
    <t>2005-03-09 14:48:23 EST</t>
  </si>
  <si>
    <t>[('CREATED', '2005-03-09 14:41 EST'), ('jdt-ui-inbox', '2005-03-09 14:48:23 EST', 'Olivier_Thomann'), ('UI', '2005-03-09 14:48:23 EST', 'Olivier_Thomann'), ('RESOLVED', '2005-03-10 06:53:50 EST', 'dirk_baeumer'), ('LATER', '2005-03-10 06:53:50 EST', 'dirk_baeumer'), ('[quick fix] Enhancement Request: Invert boolean field or variable refactoring', '2005-03-10 06:53:50 EST', 'dirk_baeumer'), ('WONTFIX', '2009-08-30 02:35:31 EDT', 'webmaster')]</t>
  </si>
  <si>
    <t>2005-03-11 10:41:59 EST</t>
  </si>
  <si>
    <t>2005-03-10 04:33 EST</t>
  </si>
  <si>
    <t>2005-03-11 10:41:44 EST</t>
  </si>
  <si>
    <t>[('CREATED', '2005-03-10 04:33 EST'), ('dirk_baeumer', '2005-03-11 10:41:44 EST', 'dirk_baeumer'), ('RESOLVED', '2005-03-11 10:41:59 EST', 'dirk_baeumer'), ('FIXED', '2005-03-11 10:41:59 EST', 'dirk_baeumer'), ('3.1 M6', '2005-03-11 10:41:59 EST', 'dirk_baeumer')]</t>
  </si>
  <si>
    <t>2005-05-02 11:52:44 EDT</t>
  </si>
  <si>
    <t>2009-08-30 02:09:30 EDT</t>
  </si>
  <si>
    <t>2005-03-10 09:20 EST</t>
  </si>
  <si>
    <t>2005-03-10 09:20:52 EST</t>
  </si>
  <si>
    <t>[('CREATED', '2005-03-10 09:20 EST'), ('jdt-ui-inbox', '2005-03-10 09:20:52 EST', 'philippe_mulet'), ('UI', '2005-03-10 09:20:52 EST', 'philippe_mulet'), ('markus_keller', '2005-03-10 09:38:49 EST', 'dirk_baeumer'), ('Refactoring fails to rename a method in local class [refactoring]', '2005-03-10 09:38:49 EST', 'dirk_baeumer'), ('3.1 M7', '2005-03-10 09:38:49 EST', 'dirk_baeumer'), ('RESOLVED', '2005-05-02 11:52:44 EDT', 'markus.kell.r'), ('REMIND', '2005-05-02 11:52:44 EDT', 'markus.kell.r'), ('needinfo', '2009-08-30 02:09:30 EDT', 'denis.roy'), ('INVALID', '2009-08-30 02:09:30 EDT', 'denis.roy'), ('jdt-ui-inbox', '2009-08-30 02:09:30 EDT', 'denis.roy')]</t>
  </si>
  <si>
    <t>2005-03-11 11:05:18 EST</t>
  </si>
  <si>
    <t>2005-03-11 08:52 EST</t>
  </si>
  <si>
    <t>2005-03-11 11:05:04 EST</t>
  </si>
  <si>
    <t>[('CREATED', '2005-03-11 08:52 EST'), ('dirk_baeumer', '2005-03-11 11:05:04 EST', 'dirk_baeumer'), ('RESOLVED', '2005-03-11 11:05:18 EST', 'dirk_baeumer'), ('FIXED', '2005-03-11 11:05:18 EST', 'dirk_baeumer'), ('3.1 M6', '2005-03-11 11:05:18 EST', 'dirk_baeumer')]</t>
  </si>
  <si>
    <t>RESOLVED  DUPLICATE  of bug 76503</t>
  </si>
  <si>
    <t>2005-03-14 06:17:54 EST</t>
  </si>
  <si>
    <t>2005-03-13 07:21 EST</t>
  </si>
  <si>
    <t>2005-03-13 09:51:57 EST</t>
  </si>
  <si>
    <t>[('CREATED', '2005-03-13 07:21 EST'), ('jdt-ui-inbox', '2005-03-13 09:51:57 EST', 'philippe_mulet'), ('UI', '2005-03-13 09:51:57 EST', 'philippe_mulet'), ('Exported Refactoring', '2005-03-13 09:51:57 EST', 'philippe_mulet'), ('RESOLVED', '2005-03-14 06:17:54 EST', 'dirk_baeumer'), ('DUPLICATE', '2005-03-14 06:17:54 EST', 'dirk_baeumer')]</t>
  </si>
  <si>
    <t>2005-05-02 10:06:04 EDT</t>
  </si>
  <si>
    <t>2005-03-14 09:10 EST</t>
  </si>
  <si>
    <t>2005-03-14 09:10:17 EST</t>
  </si>
  <si>
    <t>[('CREATED', '2005-03-14 09:10 EST'), ('3.1 M7', '2005-03-14 09:10:17 EST', 'markus.kell.r'), ('RESOLVED', '2005-05-02 10:06:04 EDT', 'dirk_baeumer'), ('FIXED', '2005-05-02 10:06:04 EDT', 'dirk_baeumer')]</t>
  </si>
  <si>
    <t>2005-03-16 05:08:16 EST</t>
  </si>
  <si>
    <t>2005-03-14 09:13 EST</t>
  </si>
  <si>
    <t>2005-03-14 09:13:19 EST</t>
  </si>
  <si>
    <t>[('CREATED', '2005-03-14 09:13 EST'), ('3.1 M7', '2005-03-14 09:13:19 EST', 'markus.kell.r'), ('RESOLVED', '2005-03-16 05:08:16 EST', 'tobias_widmer'), ('FIXED', '2005-03-16 05:08:16 EST', 'tobias_widmer'), ('3.1 M6', '2005-03-16 05:08:16 EST', 'tobias_widmer')]</t>
  </si>
  <si>
    <t>2005-03-16 05:18:59 EST</t>
  </si>
  <si>
    <t>2005-03-14 09:14 EST</t>
  </si>
  <si>
    <t>2005-03-14 09:14:54 EST</t>
  </si>
  <si>
    <t>[('CREATED', '2005-03-14 09:14 EST'), ('3.1 M7', '2005-03-14 09:14:54 EST', 'markus.kell.r'), ('RESOLVED', '2005-03-16 05:18:59 EST', 'tobias_widmer'), ('FIXED', '2005-03-16 05:18:59 EST', 'tobias_widmer'), ('3.1 M6', '2005-03-16 05:18:59 EST', 'tobias_widmer')]</t>
  </si>
  <si>
    <t>2005-03-16 06:33:03 EST</t>
  </si>
  <si>
    <t>2005-03-15 02:55 EST</t>
  </si>
  <si>
    <t>2005-03-15 04:24:48 EST</t>
  </si>
  <si>
    <t>[('CREATED', '2005-03-15 02:55 EST'), ('tobias_widmer', '2005-03-15 04:24:48 EST', 'dirk_baeumer'), ('NPE while moving empty CU [5.0] [refactoring] [move]', '2005-03-15 04:24:48 EST', 'dirk_baeumer'), ('3.1 M6', '2005-03-15 04:24:48 EST', 'dirk_baeumer'), ('RESOLVED', '2005-03-16 06:33:03 EST', 'tobias_widmer'), ('FIXED', '2005-03-16 06:33:03 EST', 'tobias_widmer')]</t>
  </si>
  <si>
    <t>2005-03-15 13:09:32 EST</t>
  </si>
  <si>
    <t>2005-03-15 09:47 EST</t>
  </si>
  <si>
    <t>[('CREATED', '2005-03-15 09:47 EST'), ('RESOLVED', '2005-03-15 13:09:32 EST', 'dirk_baeumer'), ('DUPLICATE', '2005-03-15 13:09:32 EST', 'dirk_baeumer')]</t>
  </si>
  <si>
    <t>2005-03-15 16:22 EST</t>
  </si>
  <si>
    <t>2005-03-15 19:21:26 EST</t>
  </si>
  <si>
    <t>2007-06-14 10:42:11 EDT</t>
  </si>
  <si>
    <t>[('CREATED', '2005-03-15 16:22 EST'), ('jdt-ui-inbox', '2005-03-15 19:21:26 EST', 'akiezun'), ('UI', '2005-03-15 19:21:26 EST', 'akiezun'), ('tobias_widmer', '2005-03-16 03:57:02 EST', 'dirk_baeumer'), ('[refactoring] Make "Convert Anonymous Class to Nested" work in more places.', '2005-03-16 03:57:02 EST', 'dirk_baeumer'), ('[convert anonymous] enable refactoring on more inputs [refactoring]', '2006-05-29 06:03:54 EDT', 'tobias_widmer'), ('jdt-ui-inbox', '2007-06-14 10:42:11 EDT', 'martinae')]</t>
  </si>
  <si>
    <t>83083 88174</t>
  </si>
  <si>
    <t>2005-05-04 06:53:48 EDT</t>
  </si>
  <si>
    <t>2005-03-16 08:59 EST</t>
  </si>
  <si>
    <t>2005-03-16 09:47:50 EST</t>
  </si>
  <si>
    <t>[('CREATED', '2005-03-16 08:59 EST'), ('83083, 88174', '2005-03-16 09:47:50 EST', 'markus.kell.r'), ('ASSIGNED', '2005-03-16 09:47:50 EST', 'markus.kell.r'), ('RESOLVED', '2005-05-04 06:53:48 EDT', 'markus.kell.r'), ('FIXED', '2005-05-04 06:53:48 EDT', 'markus.kell.r'), ('3.1 M7', '2005-05-04 06:53:48 EDT', 'markus.kell.r')]</t>
  </si>
  <si>
    <t>RESOLVED  DUPLICATE  of bug 88304</t>
  </si>
  <si>
    <t>2005-03-17 04:39:38 EST</t>
  </si>
  <si>
    <t>2005-03-16 23:51 EST</t>
  </si>
  <si>
    <t>[('CREATED', '2005-03-16 23:51 EST'), ('RESOLVED', '2005-03-17 04:39:38 EST', 'dirk_baeumer'), ('DUPLICATE', '2005-03-17 04:39:38 EST', 'dirk_baeumer')]</t>
  </si>
  <si>
    <t>2005-03-17 06:20:06 EST</t>
  </si>
  <si>
    <t>2005-03-17 03:30 EST</t>
  </si>
  <si>
    <t>2005-03-17 05:32:21 EST</t>
  </si>
  <si>
    <t>[('CREATED', '2005-03-17 03:30 EST'), ('jdt-ui-inbox', '2005-03-17 05:32:21 EST', 'frederic_fusier'), ('UI', '2005-03-17 05:32:21 EST', 'frederic_fusier'), ('RESOLVED', '2005-03-17 06:20:06 EST', 'dirk_baeumer'), ('P4', '2005-03-17 06:20:06 EST', 'dirk_baeumer'), ('LATER', '2005-03-17 06:20:06 EST', 'dirk_baeumer'), ('[5.0] [refactoring] import static refactoring', '2005-03-17 06:20:06 EST', 'dirk_baeumer'), ('WONTFIX', '2009-08-30 02:20:19 EDT', 'denis.roy')]</t>
  </si>
  <si>
    <t>88282 (view as bug list)</t>
  </si>
  <si>
    <t>2005-03-17 05:40:40 EST</t>
  </si>
  <si>
    <t>2005-03-30 08:49:18 EST</t>
  </si>
  <si>
    <t>2005-03-17 04:29 EST</t>
  </si>
  <si>
    <t>2005-03-17 04:34:58 EST</t>
  </si>
  <si>
    <t>[('CREATED', '2005-03-17 04:29 EST'), ('tobias_widmer', '2005-03-17 04:34:58 EST', 'dirk_baeumer'), ('P2', '2005-03-17 04:34:58 EST', 'dirk_baeumer'), ('Olivier_Thomann', '2005-03-17 04:39:38 EST', 'dirk_baeumer'), ('RESOLVED', '2005-03-17 05:40:40 EST', 'tobias_widmer'), ('FIXED', '2005-03-17 05:40:40 EST', 'tobias_widmer'), ('3.1 M6', '2005-03-17 05:40:40 EST', 'tobias_widmer'), ('markus_keller', '2005-03-17 05:40:40 EST', 'tobias_widmer'), ('VERIFIED', '2005-03-30 08:49:18 EST', 'daniel_megert')]</t>
  </si>
  <si>
    <t>RESOLVED  DUPLICATE  of bug 38105</t>
  </si>
  <si>
    <t>2005-03-17 06:27:39 EST</t>
  </si>
  <si>
    <t>2005-03-17 05:44 EST</t>
  </si>
  <si>
    <t>2005-03-17 06:19:19 EST</t>
  </si>
  <si>
    <t>2005-03-17 06:31:58 EST</t>
  </si>
  <si>
    <t>[('CREATED', '2005-03-17 05:44 EST'), ('tobias_widmer', '2005-03-17 06:19:19 EST', 'dirk_baeumer'), ('dirk_baeumer', '2005-03-17 06:27:39 EST', 'tobias_widmer'), ('RESOLVED', '2005-03-17 06:27:39 EST', 'tobias_widmer'), ('DUPLICATE', '2005-03-17 06:27:39 EST', 'tobias_widmer'), ('Extract Local Variable should warn when moving initialization to before an if statement', '2005-03-17 06:31:58 EST', 'markus.kell.r')]</t>
  </si>
  <si>
    <t>2005-03-17 13:07:56 EST</t>
  </si>
  <si>
    <t>2005-03-17 11:02 EST</t>
  </si>
  <si>
    <t>2005-03-17 11:03:36 EST</t>
  </si>
  <si>
    <t>[('CREATED', '2005-03-17 11:02 EST'), ('jdt-ui-inbox', '2005-03-17 11:03:36 EST', 'frederic_fusier'), ('UI', '2005-03-17 11:03:36 EST', 'frederic_fusier'), ('RESOLVED', '2005-03-17 13:07:56 EST', 'dirk_baeumer'), ('WORKSFORME', '2005-03-17 13:07:56 EST', 'dirk_baeumer')]</t>
  </si>
  <si>
    <t>2005-05-18 12:34:04 EDT</t>
  </si>
  <si>
    <t>2005-05-27 11:12:37 EDT</t>
  </si>
  <si>
    <t>2005-03-17 17:35 EST</t>
  </si>
  <si>
    <t>2005-03-18 04:41:54 EST</t>
  </si>
  <si>
    <t>2010-03-09 05:15:49 EST</t>
  </si>
  <si>
    <t>didierloiseau+eclipse</t>
  </si>
  <si>
    <t>[('CREATED', '2005-03-17 17:35 EST'), ('tobias_widmer', '2005-03-18 04:41:54 EST', 'dirk_baeumer'), ('[5.0] [refactoring] [move] Move member type refactoring does not update static import', '2005-03-18 04:41:54 EST', 'dirk_baeumer'), ('3.1 M7', '2005-03-18 04:41:54 EST', 'dirk_baeumer'), ('3.1 RC1', '2005-05-11 14:06:53 EDT', 'tobias_widmer'), ('RESOLVED', '2005-05-18 12:34:04 EDT', 'tobias_widmer'), ('FIXED', '2005-05-18 12:34:04 EDT', 'tobias_widmer'), ('VERIFIED', '2005-05-27 11:12:37 EDT', 'tobias_widmer'), ('lfarquaad+eclipse', '2010-03-09 05:15:49 EST', 'didierloiseau+eclipse')]</t>
  </si>
  <si>
    <t>300573 (view as bug list)</t>
  </si>
  <si>
    <t>2005-03-18 07:07 EST</t>
  </si>
  <si>
    <t>2005-03-18 13:18:27 EST</t>
  </si>
  <si>
    <t>2019-06-21 09:48:54 EDT</t>
  </si>
  <si>
    <t>[('CREATED', '2005-03-18 07:07 EST'), ('[refactoring] [move] Move static members does not qualify access to static field from supertype', '2005-03-18 13:18:27 EST', 'dirk_baeumer'), ('dirk_baeumer', '2005-03-18 13:18:27 EST', 'dirk_baeumer'), ('tobias_widmer', '2005-03-18 13:18:27 EST', 'dirk_baeumer'), ('[move static members] does not qualify access to static field from supertype [refactoring]', '2006-05-29 06:05:41 EDT', 'tobias_widmer'), ('jdt-ui-inbox', '2007-06-14 10:45:27 EDT', 'martinae'), ('Brian.Miller', '2010-01-25 08:39:33 EST', 'markus.kell.r'), ('ASSIGNED', '2010-01-25 08:39:55 EST', 'markus.kell.r'), ('stalebug', '2019-06-21 09:48:54 EDT', 'genie')]</t>
  </si>
  <si>
    <t>87288</t>
  </si>
  <si>
    <t>2006-06-15 12:17:18 EDT</t>
  </si>
  <si>
    <t>2005-03-18 08:49 EST</t>
  </si>
  <si>
    <t>2005-03-18 08:51:37 EST</t>
  </si>
  <si>
    <t>[('CREATED', '2005-03-18 08:49 EST'), ('87288', '2005-03-18 08:51:37 EST', 'n.a.edgar'), ('daniel_megert', '2005-03-18 13:16:30 EST', 'dirk_baeumer'), ('RESOLVED', '2006-06-15 12:17:18 EDT', 'martinae'), ('FIXED', '2006-06-15 12:17:18 EDT', 'martinae'), ('3.2', '2006-06-15 12:17:18 EDT', 'martinae')]</t>
  </si>
  <si>
    <t>2005-03-24 05:14:46 EST</t>
  </si>
  <si>
    <t>2005-03-21 16:37 EST</t>
  </si>
  <si>
    <t>2005-03-21 17:08:40 EST</t>
  </si>
  <si>
    <t>2005-03-24 09:12:55 EST</t>
  </si>
  <si>
    <t>[('CREATED', '2005-03-21 16:37 EST'), ('dirk_baeumer', '2005-03-21 17:08:40 EST', 'dirk_baeumer'), ('3.1 M6', '2005-03-21 17:08:40 EST', 'dirk_baeumer'), ('RESOLVED', '2005-03-24 05:14:46 EST', 'dirk_baeumer'), ('FIXED', '2005-03-24 05:14:46 EST', 'dirk_baeumer'), ('john_arthorne', '2005-03-24 09:12:55 EST', 'valentam')]</t>
  </si>
  <si>
    <t>2005-03-23 13:25:50 EST</t>
  </si>
  <si>
    <t>2009-08-30 02:18:40 EDT</t>
  </si>
  <si>
    <t>2005-03-22 03:22 EST</t>
  </si>
  <si>
    <t>[('CREATED', '2005-03-22 03:22 EST'), ('RESOLVED', '2005-03-23 13:25:50 EST', 'dirk_baeumer'), ('LATER', '2005-03-23 13:25:50 EST', 'dirk_baeumer'), ('pombredanne', '2006-02-23 17:53:01 EST', 'pombredanne'), ('WONTFIX', '2009-08-30 02:18:40 EDT', 'denis.roy')]</t>
  </si>
  <si>
    <t>2005-05-23 11:12:47 EDT</t>
  </si>
  <si>
    <t>2005-05-30 10:28:02 EDT</t>
  </si>
  <si>
    <t>2005-03-22 15:53 EST</t>
  </si>
  <si>
    <t>2005-03-22 16:36:43 EST</t>
  </si>
  <si>
    <t>[('CREATED', '2005-03-22 15:53 EST'), ('jdt-ui-inbox', '2005-03-22 16:36:43 EST', 'jerome_lanneluc'), ('UI', '2005-03-22 16:36:43 EST', 'jerome_lanneluc'), ('markus_keller', '2005-03-22 18:02:02 EST', 'dirk_baeumer'), ('[refactoring] Change Method Signature generates invalid code', '2005-03-22 18:02:02 EST', 'dirk_baeumer'), ('3.1 M7', '2005-03-22 18:02:02 EST', 'dirk_baeumer'), ('3.1 RC1', '2005-05-12 09:46:23 EDT', 'markus.kell.r'), ('[refactoring] Change Method Signature removes comment between parameter type and name', '2005-05-23 11:12:47 EDT', 'markus.kell.r'), ('RESOLVED', '2005-05-23 11:12:47 EDT', 'markus.kell.r'), ('FIXED', '2005-05-23 11:12:47 EDT', 'markus.kell.r'), ('VERIFIED', '2005-05-30 10:28:02 EDT', 'dirk_baeumer')]</t>
  </si>
  <si>
    <t>2005-05-18 06:31:27 EDT</t>
  </si>
  <si>
    <t>2005-05-27 10:33:20 EDT</t>
  </si>
  <si>
    <t>2005-03-23 09:22 EST</t>
  </si>
  <si>
    <t>2005-03-23 09:54:06 EST</t>
  </si>
  <si>
    <t>[('CREATED', '2005-03-23 09:22 EST'), ('markus_keller', '2005-03-23 09:54:06 EST', 'dirk_baeumer'), ('[refactoring] Error message in “Change Method Signature” dialog doesn’t correctly display method name if name contains character ‘&amp;’', '2005-03-23 09:54:06 EST', 'dirk_baeumer'), ('dirk_baeumer', '2005-03-23 10:43:40 EST', 'markus.kell.r'), ('ASSIGNED', '2005-03-24 06:44:11 EST', 'markus.kell.r'), ('3.1', '2005-03-24 06:44:11 EST', 'markus.kell.r'), ('markus_keller', '2005-04-12 12:36:07 EDT', 'markus.kell.r'), ('dirk_baeumer', '2005-04-12 12:36:07 EDT', 'markus.kell.r'), ('NEW', '2005-04-12 12:36:07 EDT', 'markus.kell.r'), ('3.1 RC1', '2005-05-18 06:31:27 EDT', 'dirk_baeumer'), ('RESOLVED', '2005-05-18 06:31:27 EDT', 'dirk_baeumer'), ('FIXED', '2005-05-18 06:31:27 EDT', 'dirk_baeumer'), ('VERIFIED', '2005-05-27 10:33:20 EDT', 'tobias_widmer')]</t>
  </si>
  <si>
    <t>2005-05-26 12:36:38 EDT</t>
  </si>
  <si>
    <t>2005-03-23 17:52 EST</t>
  </si>
  <si>
    <t>2005-03-24 05:46:29 EST</t>
  </si>
  <si>
    <t>[('CREATED', '2005-03-23 17:52 EST'), ('jdt-ui-inbox', '2005-03-24 05:46:29 EST', 'philippe_mulet'), ('UI', '2005-03-24 05:46:29 EST', 'philippe_mulet'), ('steve_northover', '2005-04-15 06:17:55 EDT', 'dirk_baeumer'), ('[3.1M5a] Eclipse crashed (really) (after copy/paste, rename refactoring)', '2005-04-15 06:17:55 EDT', 'dirk_baeumer'), ('Carolyn_MacLeod', '2005-04-20 04:51:19 EDT', 'dirk_baeumer'), ('RESOLVED', '2005-05-26 12:36:38 EDT', 'dirk_baeumer'), ('WORKSFORME', '2005-05-26 12:36:38 EDT', 'dirk_baeumer')]</t>
  </si>
  <si>
    <t>2005-04-04 04:14:34 EDT</t>
  </si>
  <si>
    <t>2005-03-24 13:17 EST</t>
  </si>
  <si>
    <t>2005-03-24 13:18:12 EST</t>
  </si>
  <si>
    <t>[('CREATED', '2005-03-24 13:17 EST'), ('performance', '2005-03-24 13:18:12 EST', 'dirk_baeumer'), ('3.1 M7', '2005-03-24 13:18:12 EST', 'dirk_baeumer'), ('RESOLVED', '2005-04-04 04:14:34 EDT', 'tobias_widmer'), ('FIXED', '2005-04-04 04:14:34 EDT', 'tobias_widmer')]</t>
  </si>
  <si>
    <t>92410 (view as bug list)</t>
  </si>
  <si>
    <t>2005-05-06 11:49:05 EDT</t>
  </si>
  <si>
    <t>2005-03-29 05:15 EST</t>
  </si>
  <si>
    <t>2005-03-29 05:21:01 EST</t>
  </si>
  <si>
    <t>[('CREATED', '2005-03-29 05:15 EST'), ('markus_keller', '2005-03-29 05:21:01 EST', 'dirk_baeumer'), ('3.1 M7', '2005-03-29 05:21:01 EST', 'dirk_baeumer'), ('dirk_baeumer', '2005-05-06 11:02:14 EDT', 'markus.kell.r'), ('RESOLVED', '2005-05-06 11:49:05 EDT', 'markus.kell.r'), ('FIXED', '2005-05-06 11:49:05 EDT', 'markus.kell.r')]</t>
  </si>
  <si>
    <t>2005-04-01 11:08:08 EST</t>
  </si>
  <si>
    <t>2005-04-01 11:07:46 EST</t>
  </si>
  <si>
    <t>2005-03-29 10:07 EST</t>
  </si>
  <si>
    <t>2005-03-29 10:13:00 EST</t>
  </si>
  <si>
    <t>2005-08-03 09:07:31 EDT</t>
  </si>
  <si>
    <t>neil.greenwood.lists</t>
  </si>
  <si>
    <t>[('CREATED', '2005-03-29 10:07 EST'), ('RESOLVED', '2005-03-29 10:13:00 EST', 'dirk_baeumer'), ('REMIND', '2005-03-29 10:13:00 EST', 'dirk_baeumer'), ('REOPENED', '2005-04-01 11:07:46 EST', 'dirk_baeumer'), ('---', '2005-04-01 11:07:46 EST', 'dirk_baeumer'), ('RESOLVED', '2005-04-01 11:08:08 EST', 'dirk_baeumer'), ('DUPLICATE', '2005-04-01 11:08:08 EST', 'dirk_baeumer'), ('stanio', '2005-07-27 14:29:05 EDT', 'stanio'), ('ngreenwood', '2005-08-03 09:07:31 EDT', 'neil.greenwood.lists')]</t>
  </si>
  <si>
    <t>2007-12-21 04:42:55 EST</t>
  </si>
  <si>
    <t>2006-10-13 09:43:17 EDT</t>
  </si>
  <si>
    <t>2005-03-29 16:49 EST</t>
  </si>
  <si>
    <t>2005-03-29 17:09:04 EST</t>
  </si>
  <si>
    <t>2008-05-05 12:17:12 EDT</t>
  </si>
  <si>
    <t>[('CREATED', '2005-03-29 16:49 EST'), ('enhancement', '2005-03-29 17:09:04 EST', 'dirk_baeumer'), ('RESOLVED', '2005-03-29 17:09:04 EST', 'dirk_baeumer'), ('LATER', '2005-03-29 17:09:04 EST', 'dirk_baeumer'), ('[refactoring] [1] Method refactorings should support Participants', '2005-03-29 17:09:04 EST', 'dirk_baeumer'), ('vtrivedi', '2006-06-28 13:08:59 EDT', 'vtrivedi'), ('---', '2006-10-13 09:43:17 EDT', 'philippe_mulet'), ('REOPENED', '2006-10-13 09:43:17 EDT', 'philippe_mulet'), ('[refactoring] [dcr] method refactorings should support participants', '2006-10-17 08:46:29 EDT', 'martinae'), ('markus_keller', '2007-08-31 05:45:19 EDT', 'markus.kell.r'), ('martin_aeschlimann', '2007-09-14 11:13:10 EDT', 'martinae'), ('3.4', '2007-09-19 04:25:23 EDT', 'martinae'), ('martin_aeschlimann', '2007-11-22 09:52:07 EST', 'martinae'), ('NEW', '2007-11-22 09:52:07 EST', 'martinae'), ('3.3 M4', '2007-11-28 13:30:47 EST', 'martinae'), ('RESOLVED', '2007-12-21 04:42:55 EST', 'martinae'), ('FIXED', '2007-12-21 04:42:55 EST', 'martinae'), ('3.4 M4', '2008-05-05 12:17:12 EDT', 'markus.kell.r')]</t>
  </si>
  <si>
    <t>2005-05-03 09:59:21 EDT</t>
  </si>
  <si>
    <t>2005-03-30 07:11 EST</t>
  </si>
  <si>
    <t>2005-03-30 09:31:37 EST</t>
  </si>
  <si>
    <t>[('CREATED', '2005-03-30 07:11 EST'), ('dirk_baeumer', '2005-03-30 09:31:37 EST', 'dirk_baeumer'), ('3.1 M7', '2005-03-30 09:31:37 EST', 'dirk_baeumer'), ('[refactoring] Extract Interface: preview opens on wrong screen', '2005-03-30 09:31:50 EST', 'dirk_baeumer'), ('RESOLVED', '2005-05-03 09:59:21 EDT', 'dirk_baeumer'), ('FIXED', '2005-05-03 09:59:21 EDT', 'dirk_baeumer')]</t>
  </si>
  <si>
    <t>2005-04-04 03:32:07 EDT</t>
  </si>
  <si>
    <t>2005-03-30 07:35 EST</t>
  </si>
  <si>
    <t>2005-03-30 07:35:28 EST</t>
  </si>
  <si>
    <t>2008-07-28 10:45:28 EDT</t>
  </si>
  <si>
    <t>damien</t>
  </si>
  <si>
    <t>[('CREATED', '2005-03-30 07:35 EST'), ('3.1', '2005-03-30 07:35:28 EST', 'eclipse'), ('dirk_baeumer', '2005-03-30 09:17:14 EST', 'dirk_baeumer'), ('tobias_widmer', '2005-03-30 09:17:14 EST', 'dirk_baeumer'), ('3.1 M7', '2005-03-30 09:17:14 EST', 'dirk_baeumer'), ('RESOLVED', '2005-04-04 03:32:07 EDT', 'tobias_widmer'), ('FIXED', '2005-04-04 03:32:07 EDT', 'tobias_widmer'), ('damien.cassou', '2008-07-28 10:45:28 EDT', 'damien')]</t>
  </si>
  <si>
    <t>2005-04-04 04:11:05 EDT</t>
  </si>
  <si>
    <t>2005-03-30 07:45 EST</t>
  </si>
  <si>
    <t>2005-03-30 09:04:01 EST</t>
  </si>
  <si>
    <t>[('CREATED', '2005-03-30 07:45 EST'), ('tobias_widmer', '2005-03-30 09:04:01 EST', 'dirk_baeumer'), ('3.1 M7', '2005-03-30 09:04:01 EST', 'dirk_baeumer'), ('RESOLVED', '2005-04-04 04:11:05 EDT', 'tobias_widmer'), ('FIXED', '2005-04-04 04:11:05 EDT', 'tobias_widmer')]</t>
  </si>
  <si>
    <t>89905 (view as bug list)</t>
  </si>
  <si>
    <t>2005-05-02 10:07:14 EDT</t>
  </si>
  <si>
    <t>2005-03-30 07:47 EST</t>
  </si>
  <si>
    <t>2005-03-30 08:57:04 EST</t>
  </si>
  <si>
    <t>[('CREATED', '2005-03-30 07:47 EST'), ('dirk_baeumer', '2005-03-30 08:57:04 EST', 'dirk_baeumer'), ('john_arthorne', '2005-03-31 17:28:24 EST', 'john.arthorne'), ('3.1 M7', '2005-04-01 15:55:48 EST', 'dirk_baeumer'), ('FIXED', '2005-05-02 10:07:14 EDT', 'dirk_baeumer'), ('RESOLVED', '2005-05-02 10:07:14 EDT', 'dirk_baeumer')]</t>
  </si>
  <si>
    <t>2006-06-09 11:54:52 EDT</t>
  </si>
  <si>
    <t>2005-03-30 07:49 EST</t>
  </si>
  <si>
    <t>[('CREATED', '2005-03-30 07:49 EST'), ('RESOLVED', '2006-06-09 11:54:52 EDT', 'markus.kell.r'), ('WORKSFORME', '2006-06-09 11:54:52 EDT', 'markus.kell.r')]</t>
  </si>
  <si>
    <t>2005-03-31 03:23:43 EST</t>
  </si>
  <si>
    <t>2005-04-01 04:12:51 EST</t>
  </si>
  <si>
    <t>2005-03-30 07:53 EST</t>
  </si>
  <si>
    <t>2005-03-30 08:37:30 EST</t>
  </si>
  <si>
    <t>[('CREATED', '2005-03-30 07:53 EST'), ('tobias_widmer', '2005-03-30 08:37:30 EST', 'dirk_baeumer'), ("[refactoring] AFE in 'Extract interface'", '2005-03-30 08:37:30 EST', 'dirk_baeumer'), ('RESOLVED', '2005-03-31 03:23:43 EST', 'tobias_widmer'), ('FIXED', '2005-03-31 03:23:43 EST', 'tobias_widmer'), ('3.1 M6', '2005-03-31 03:23:43 EST', 'tobias_widmer'), ('VERIFIED', '2005-04-01 04:12:51 EST', 'markus.kell.r')]</t>
  </si>
  <si>
    <t>2005-04-06 11:42:21 EDT</t>
  </si>
  <si>
    <t>2005-03-30 07:54 EST</t>
  </si>
  <si>
    <t>2005-03-30 08:36:01 EST</t>
  </si>
  <si>
    <t>[('CREATED', '2005-03-30 07:54 EST'), ('markus_keller', '2005-03-30 08:36:01 EST', 'dirk_baeumer'), ('[refactoring] [5.0] Wrong change preview in introduce parameter', '2005-03-30 08:36:01 EST', 'dirk_baeumer'), ('3.1 M7', '2005-03-30 08:36:01 EST', 'dirk_baeumer'), ('markus_keller', '2005-04-05 10:12:41 EDT', 'markus.kell.r'), ('dirk_baeumer', '2005-04-05 10:12:41 EDT', 'markus.kell.r'), ('markus_keller', '2005-04-06 10:59:30 EDT', 'dirk_baeumer'), (nan, '2005-04-06 11:42:21 EDT', 'markus.kell.r'), ('RESOLVED', '2005-04-06 11:42:21 EDT', 'markus.kell.r'), ('FIXED', '2005-04-06 11:42:21 EDT', 'markus.kell.r')]</t>
  </si>
  <si>
    <t>2005-04-05 05:17:22 EDT</t>
  </si>
  <si>
    <t>2005-03-30 08:14 EST</t>
  </si>
  <si>
    <t>2005-03-30 08:17:15 EST</t>
  </si>
  <si>
    <t>[('CREATED', '2005-03-30 08:14 EST'), ('[refactoring] Introduce Parameter chooses illegal default position for vararg method', '2005-03-30 08:17:15 EST', 'eclipse'), ('markus_keller', '2005-03-30 08:30:53 EST', 'dirk_baeumer'), ('3.1 M7', '2005-03-30 08:30:53 EST', 'dirk_baeumer'), ('RESOLVED', '2005-04-05 05:17:22 EDT', 'markus.kell.r'), ('FIXED', '2005-04-05 05:17:22 EDT', 'markus.kell.r')]</t>
  </si>
  <si>
    <t>93368 (view as bug list)</t>
  </si>
  <si>
    <t>88082</t>
  </si>
  <si>
    <t>2005-05-04 06:22:08 EDT</t>
  </si>
  <si>
    <t>2005-03-30 09:11 EST</t>
  </si>
  <si>
    <t>2005-03-30 09:54:58 EST</t>
  </si>
  <si>
    <t>[('CREATED', '2005-03-30 09:11 EST'), ('88082', '2005-03-30 09:54:58 EST', 'markus.kell.r'), ('dirk_baeumer', '2005-05-02 02:56:34 EDT', 'markus.kell.r'), ('RESOLVED', '2005-05-04 06:22:08 EDT', 'markus.kell.r'), ('FIXED', '2005-05-04 06:22:08 EDT', 'markus.kell.r'), ('3.1 M7', '2005-05-04 06:22:08 EDT', 'markus.kell.r')]</t>
  </si>
  <si>
    <t>2005-03-31 02:46:54 EST</t>
  </si>
  <si>
    <t>2005-04-01 05:46:25 EST</t>
  </si>
  <si>
    <t>2005-03-31 02:43 EST</t>
  </si>
  <si>
    <t>[('CREATED', '2005-03-31 02:43 EST'), ('RESOLVED', '2005-03-31 02:46:54 EST', 'markus.kell.r'), ('FIXED', '2005-03-31 02:46:54 EST', 'markus.kell.r'), ('3.1 M6', '2005-03-31 02:46:54 EST', 'markus.kell.r'), ('VERIFIED', '2005-04-01 05:46:25 EST', 'markus.kell.r')]</t>
  </si>
  <si>
    <t>89799 (view as bug list)</t>
  </si>
  <si>
    <t>2005-04-01 03:36:13 EST</t>
  </si>
  <si>
    <t>2005-04-01 05:14:04 EST</t>
  </si>
  <si>
    <t>2005-03-31 05:06 EST</t>
  </si>
  <si>
    <t>2005-03-31 05:06:47 EST</t>
  </si>
  <si>
    <t>[('CREATED', '2005-03-31 05:06 EST'), ('3.1 M6', '2005-03-31 05:06:47 EST', 'tobias_widmer'), ('kai-uwe_maetzel', '2005-03-31 08:01:08 EST', 'tobias_widmer'), ('RESOLVED', '2005-04-01 03:36:13 EST', 'tobias_widmer'), ('FIXED', '2005-04-01 03:36:13 EST', 'tobias_widmer'), ('VERIFIED', '2005-04-01 05:14:04 EST', 'markus.kell.r')]</t>
  </si>
  <si>
    <t>RESOLVED  DUPLICATE  of bug 89796</t>
  </si>
  <si>
    <t>2005-03-31 08:01:08 EST</t>
  </si>
  <si>
    <t>2005-03-31 05:33 EST</t>
  </si>
  <si>
    <t>2005-03-31 07:55:02 EST</t>
  </si>
  <si>
    <t>[('CREATED', '2005-03-31 05:33 EST'), ('tobias_widmer', '2005-03-31 07:55:02 EST', 'dirk_baeumer'), ('RESOLVED', '2005-03-31 08:01:08 EST', 'tobias_widmer'), ('DUPLICATE', '2005-03-31 08:01:08 EST', 'tobias_widmer'), ('3.1 M6', '2005-03-31 08:01:08 EST', 'tobias_widmer')]</t>
  </si>
  <si>
    <t>2005-03-31 18:11:58 EST</t>
  </si>
  <si>
    <t>2005-03-31 17:55 EST</t>
  </si>
  <si>
    <t>[('CREATED', '2005-03-31 17:55 EST'), ('RESOLVED', '2005-03-31 18:11:58 EST', 'dirk_baeumer'), ('DUPLICATE', '2005-03-31 18:11:58 EST', 'dirk_baeumer')]</t>
  </si>
  <si>
    <t>RESOLVED  DUPLICATE  of bug 50607</t>
  </si>
  <si>
    <t>2009-08-03 14:12:21 EDT</t>
  </si>
  <si>
    <t>2005-04-01 08:09 EST</t>
  </si>
  <si>
    <t>2005-04-01 09:56:14 EST</t>
  </si>
  <si>
    <t>[('CREATED', '2005-04-01 08:09 EST'), ('jdt-ui-inbox', '2005-04-01 09:56:14 EST', 'philippe_mulet'), ('UI', '2005-04-01 09:56:14 EST', 'philippe_mulet'), ('dirk_baeumer', '2005-04-01 10:20:44 EST', 'dirk_baeumer'), ('[refactoring] [extract method] Extract method: Error message should indicate offending variables', '2005-04-01 10:20:44 EST', 'dirk_baeumer'), ('jdt-ui-inbox', '2006-06-02 06:09:50 EDT', 'martinae'), ('[extract method] Error message should indicate offending variables', '2006-06-02 06:09:50 EDT', 'martinae'), ('bmuskalla, markus_keller', '2009-08-01 17:05:40 EDT', 'b.muskalla'), ('bmuskalla', '2009-08-02 10:10:18 EDT', 'b.muskalla'), ('RESOLVED', '2009-08-03 14:12:21 EDT', 'markus.kell.r'), ('DUPLICATE', '2009-08-03 14:12:21 EDT', 'markus.kell.r')]</t>
  </si>
  <si>
    <t>122487 (view as bug list)</t>
  </si>
  <si>
    <t>118617 115067</t>
  </si>
  <si>
    <t>2005-12-01 13:05:05 EST</t>
  </si>
  <si>
    <t>2005-12-13 06:13:09 EST</t>
  </si>
  <si>
    <t>2005-11-16 06:11:39 EST</t>
  </si>
  <si>
    <t>2005-04-01 11:18 EST</t>
  </si>
  <si>
    <t>2005-04-01 11:19:05 EST</t>
  </si>
  <si>
    <t>2006-07-15 16:24:20 EDT</t>
  </si>
  <si>
    <t>olivier.calc</t>
  </si>
  <si>
    <t>[('CREATED', '2005-04-01 11:18 EST'), ('71460', '2005-04-01 11:19:05 EST', 'dirk_baeumer'), ('RESOLVED', '2005-04-21 05:02:26 EDT', 'dirk_baeumer'), ('LATER', '2005-04-21 05:02:26 EDT', 'dirk_baeumer'), ('alexsmr', '2005-04-24 11:47:12 EDT', 'alexander.smirnoff'), ('daniel_megert', '2005-04-25 03:29:23 EDT', 'daniel_megert'), ('mpchapman', '2005-10-31 11:26:24 EST', 'mpchapman'), ('martin_aeschlimann', '2005-11-04 11:04:25 EST', 'dirk_baeumer'), ('nin', '2005-11-14 16:00:00 EST', 'nin'), ('REOPENED', '2005-11-16 06:11:39 EST', 'martinae'), ('---', '2005-11-16 06:11:39 EST', 'martinae'), ('115067', '2005-11-16 06:19:08 EST', 'martinae'), ('martin_aeschlimann', '2005-11-16 08:13:04 EST', 'dirk_baeumer'), ('NEW', '2005-11-16 08:13:04 EST', 'dirk_baeumer'), ('3.2 M4', '2005-11-16 08:13:04 EST', 'dirk_baeumer'), ('1', '2005-11-17 14:14:41 EST', 'mpchapman'), ('markus_keller', '2005-11-21 05:57:23 EST', 'markus.kell.r'), ('ASSIGNED', '2005-11-23 05:52:19 EST', 'markus.kell.r'), ('jerome_lanneluc', '2005-11-29 07:11:12 EST', 'martinae'), ('118617', '2005-11-30 06:55:11 EST', 'martinae'), ('RESOLVED', '2005-12-01 13:05:05 EST', 'martinae'), ('FIXED', '2005-12-01 13:05:05 EST', 'martinae'), ('VERIFIED', '2005-12-13 06:13:09 EST', 'benno.baumgartner'), ('apurv11911', '2006-01-04 10:19:13 EST', 'martinae'), ('always.further', '2006-07-15 16:24:20 EDT', 'olivier.calc')]</t>
  </si>
  <si>
    <t>2005-04-03 18:36:35 EDT</t>
  </si>
  <si>
    <t>2009-08-30 02:42:08 EDT</t>
  </si>
  <si>
    <t>2005-04-01 18:03 EST</t>
  </si>
  <si>
    <t>2005-04-02 10:17:07 EST</t>
  </si>
  <si>
    <t>[('CREATED', '2005-04-01 18:03 EST'), ('platform-help-inbox', '2005-04-02 10:17:07 EST', 'frederic_fusier'), ('Help', '2005-04-02 10:17:07 EST', 'frederic_fusier'), ('Platform', '2005-04-02 10:17:07 EST', 'frederic_fusier'), ('jdt-ui-inbox', '2005-04-02 11:11:14 EST', 'konradk'), ('UI', '2005-04-02 11:11:14 EST', 'konradk'), ('JDT', '2005-04-02 11:11:14 EST', 'konradk'), ('RESOLVED', '2005-04-03 18:36:35 EDT', 'dirk_baeumer'), ('LATER', '2005-04-03 18:36:35 EDT', 'dirk_baeumer'), ("[refactoring] Refactor Rename Preview doesn't work", '2005-04-03 18:36:35 EDT', 'dirk_baeumer'), ('WONTFIX', '2009-08-30 02:42:08 EDT', 'webmaster')]</t>
  </si>
  <si>
    <t>2006-05-30 11:51:09 EDT</t>
  </si>
  <si>
    <t>2009-08-30 02:05:19 EDT</t>
  </si>
  <si>
    <t>2005-04-04 09:18:21 EDT</t>
  </si>
  <si>
    <t>2005-04-04 06:07 EDT</t>
  </si>
  <si>
    <t>2005-04-04 06:29:22 EDT</t>
  </si>
  <si>
    <t>[('CREATED', '2005-04-04 06:07 EDT'), ('frederic_fusier', '2005-04-04 06:29:22 EDT', 'frederic_fusier'), ('RESOLVED', '2005-04-04 09:14:27 EDT', 'frederic_fusier'), ('REMIND', '2005-04-04 09:14:27 EDT', 'frederic_fusier'), ('frederic_fusier', '2005-04-04 09:18:21 EDT', 'frederic_fusier'), ('REOPENED', '2005-04-04 09:18:21 EDT', 'frederic_fusier'), ('---', '2005-04-04 09:18:21 EDT', 'frederic_fusier'), ('jdt-ui-inbox', '2005-04-04 09:19:00 EDT', 'frederic_fusier'), ('NEW', '2005-04-04 09:19:00 EDT', 'frederic_fusier'), ('UI', '2005-04-04 09:19:00 EDT', 'frederic_fusier'), ('[refactoring] [rename] Renaming method throws internal exception', '2005-04-04 09:58:30 EDT', 'dirk_baeumer'), ('markus_keller', '2005-04-04 09:58:30 EDT', 'dirk_baeumer'), ('parton', '2005-12-02 06:53:35 EST', 'markus.kell.r'), ('RESOLVED', '2006-05-30 11:51:09 EDT', 'markus.kell.r'), ('REMIND', '2006-05-30 11:51:09 EDT', 'markus.kell.r'), ('needinfo', '2009-08-30 02:05:19 EDT', 'denis.roy'), ('INVALID', '2009-08-30 02:05:19 EDT', 'denis.roy'), ('jdt-ui-inbox', '2009-08-30 02:05:19 EDT', 'denis.roy')]</t>
  </si>
  <si>
    <t>2005-04-08 05:48:34 EDT</t>
  </si>
  <si>
    <t>2005-04-05 06:37 EDT</t>
  </si>
  <si>
    <t>2005-04-05 11:58:00 EDT</t>
  </si>
  <si>
    <t>[('CREATED', '2005-04-05 06:37 EDT'), ('dirk_baeumer', '2005-04-05 11:58:00 EDT', 'markus.kell.r'), ('ASSIGNED', '2005-04-05 11:58:00 EDT', 'markus.kell.r'), ('RESOLVED', '2005-04-08 05:48:34 EDT', 'markus.kell.r'), ('FIXED', '2005-04-08 05:48:34 EDT', 'markus.kell.r'), ('3.1 M7', '2005-04-08 05:48:34 EDT', 'markus.kell.r')]</t>
  </si>
  <si>
    <t>2005-11-22 06:00:52 EST</t>
  </si>
  <si>
    <t>2005-04-05 06:48 EDT</t>
  </si>
  <si>
    <t>2005-04-05 10:31:27 EDT</t>
  </si>
  <si>
    <t>[('CREATED', '2005-04-05 06:48 EDT'), ('ASSIGNED', '2005-04-05 10:31:27 EDT', 'dirk_baeumer'), ('[refactoring] Refactoring preview dialog should allow user to sort by change type [refactoring]', '2005-04-05 10:31:27 EDT', 'dirk_baeumer'), ('RESOLVED', '2005-11-22 06:00:52 EST', 'tobias_widmer'), ('WORKSFORME', '2005-11-22 06:00:52 EST', 'tobias_widmer'), ('3.2 M4', '2005-11-22 06:00:52 EST', 'tobias_widmer')]</t>
  </si>
  <si>
    <t>2006-06-16 18:20:26 EDT</t>
  </si>
  <si>
    <t>2005-04-05 07:06 EDT</t>
  </si>
  <si>
    <t>2005-04-05 10:02:15 EDT</t>
  </si>
  <si>
    <t>[('CREATED', '2005-04-05 07:06 EDT'), ('UI', '2005-04-05 10:02:15 EDT', 'mfaraj'), ('JDT', '2005-04-05 10:02:15 EDT', 'mfaraj'), ('Refactoring : renaming Java Labels', '2005-04-05 10:02:15 EDT', 'mfaraj'), ('jdt-ui-inbox', '2006-06-16 18:20:14 EDT', 'martinae'), ('WORKSFORME', '2006-06-16 18:20:26 EDT', 'martinae'), ('RESOLVED', '2006-06-16 18:20:26 EDT', 'martinae')]</t>
  </si>
  <si>
    <t>2005-04-05 10:12 EDT</t>
  </si>
  <si>
    <t>2006-05-29 06:06:06 EDT</t>
  </si>
  <si>
    <t>2019-02-20 08:55:05 EST</t>
  </si>
  <si>
    <t>[('CREATED', '2005-04-05 10:12 EDT'), ('[introduce factory] should allow creating new class [refactoring]', '2006-05-29 06:06:06 EDT', 'tobias_widmer'), ('jdt-ui-inbox', '2007-06-14 10:43:49 EDT', 'martinae'), ('stalebug', '2019-02-20 05:50:37 EST', 'genie'), ('All', '2019-02-20 08:55:05 EST', 'daniel_megert'), ('enhancement', '2019-02-20 08:55:05 EST', 'daniel_megert'), (nan, '2019-02-20 08:55:05 EST', 'daniel_megert'), ('ASSIGNED', '2019-02-20 08:55:05 EST', 'daniel_megert'), ('All', '2019-02-20 08:55:05 EST', 'daniel_megert'), ('daniel_megert', '2019-02-20 08:55:05 EST', 'daniel_megert')]</t>
  </si>
  <si>
    <t>2005-04-15 10:55:54 EDT</t>
  </si>
  <si>
    <t>2005-04-05 16:16 EDT</t>
  </si>
  <si>
    <t>2005-04-05 17:33:17 EDT</t>
  </si>
  <si>
    <t>[('CREATED', '2005-04-05 16:16 EDT'), ('dirk_baeumer', '2005-04-05 17:33:17 EDT', 'dirk_baeumer'), ('tobias_widmer', '2005-04-05 17:33:17 EDT', 'dirk_baeumer'), ('[refactoring] [move] OutOfMemory during Refactor&gt;Move of methods.', '2005-04-05 17:33:17 EDT', 'dirk_baeumer'), ('3.1 M7', '2005-04-05 17:33:17 EDT', 'dirk_baeumer'), ('P2', '2005-04-05 17:52:20 EDT', 'dirk_baeumer'), ('RESOLVED', '2005-04-15 10:55:54 EDT', 'tobias_widmer'), ('performance', '2005-04-15 10:55:54 EDT', 'tobias_widmer'), ('FIXED', '2005-04-15 10:55:54 EDT', 'tobias_widmer')]</t>
  </si>
  <si>
    <t>2005-04-15 11:12:34 EDT</t>
  </si>
  <si>
    <t>2005-04-05 18:27 EDT</t>
  </si>
  <si>
    <t>2005-04-05 18:28:04 EDT</t>
  </si>
  <si>
    <t>[('CREATED', '2005-04-05 18:27 EDT'), ('3.1 M7', '2005-04-05 18:28:04 EDT', 'dirk_baeumer'), ('RESOLVED', '2005-04-15 11:12:34 EDT', 'tobias_widmer'), ('FIXED', '2005-04-15 11:12:34 EDT', 'tobias_widmer')]</t>
  </si>
  <si>
    <t>161954 (view as bug list)</t>
  </si>
  <si>
    <t>2005-04-06 17:20:21 EDT</t>
  </si>
  <si>
    <t>2009-08-30 02:19:55 EDT</t>
  </si>
  <si>
    <t>2005-04-06 12:47 EDT</t>
  </si>
  <si>
    <t>[('CREATED', '2005-04-06 12:47 EDT'), ('enhancement', '2005-04-06 17:20:21 EDT', 'dirk_baeumer'), ('RESOLVED', '2005-04-06 17:20:21 EDT', 'dirk_baeumer'), ('LATER', '2005-04-06 17:20:21 EDT', 'dirk_baeumer'), ('[refactoring] [rename] [2] Rename refactoring should be able to rename labels in control statements [refactoring]', '2005-04-06 17:20:21 EDT', 'dirk_baeumer'), ('trevor', '2005-04-18 14:50:26 EDT', 'trevor'), ('maxime_daniel', '2006-04-25 10:29:38 EDT', 'maxime_daniel'), ('dav1dr', '2006-10-24 05:26:00 EDT', 'markus.kell.r'), ('WONTFIX', '2009-08-30 02:19:55 EDT', 'denis.roy')]</t>
  </si>
  <si>
    <t>2005-04-08 04:18:24 EDT</t>
  </si>
  <si>
    <t>2005-04-07 19:35 EDT</t>
  </si>
  <si>
    <t>[('CREATED', '2005-04-07 19:35 EDT'), ('RESOLVED', '2005-04-08 04:18:24 EDT', 'dirk_baeumer'), ('WORKSFORME', '2005-04-08 04:18:24 EDT', 'dirk_baeumer')]</t>
  </si>
  <si>
    <t>2005-05-03 09:37:40 EDT</t>
  </si>
  <si>
    <t>2005-05-10 12:55:16 EDT</t>
  </si>
  <si>
    <t>2005-04-08 04:50 EDT</t>
  </si>
  <si>
    <t>2005-04-11 07:11:15 EDT</t>
  </si>
  <si>
    <t>[('CREATED', '2005-04-08 04:50 EDT'), ('dirk_baeumer', '2005-04-11 07:11:15 EDT', 'dirk_baeumer'), ('P2', '2005-04-11 07:11:15 EDT', 'dirk_baeumer'), ("[refactoring] AFE when clicking 'All invocations' in Inline Method dialog again", '2005-04-11 07:11:15 EDT', 'dirk_baeumer'), ('3.1 M7', '2005-04-11 07:11:15 EDT', 'dirk_baeumer'), ('RESOLVED', '2005-05-03 09:37:40 EDT', 'dirk_baeumer'), ('FIXED', '2005-05-03 09:37:40 EDT', 'dirk_baeumer'), ('VERIFIED', '2005-05-10 12:55:16 EDT', 'martinae')]</t>
  </si>
  <si>
    <t>2006-03-03 12:17:01 EST</t>
  </si>
  <si>
    <t>2005-04-08 05:48 EDT</t>
  </si>
  <si>
    <t>2006-03-03 12:04:22 EST</t>
  </si>
  <si>
    <t>[('CREATED', '2005-04-08 05:48 EDT'), ('markus_keller', '2006-03-03 12:04:22 EST', 'markus.kell.r'), ('3.2 M6', '2006-03-03 12:04:38 EST', 'markus.kell.r'), ('RESOLVED', '2006-03-03 12:17:01 EST', 'markus.kell.r'), ('FIXED', '2006-03-03 12:17:01 EST', 'markus.kell.r')]</t>
  </si>
  <si>
    <t>2005-05-09 10:08:04 EDT</t>
  </si>
  <si>
    <t>2005-04-08 10:48 EDT</t>
  </si>
  <si>
    <t>2005-04-08 11:06:27 EDT</t>
  </si>
  <si>
    <t>[('CREATED', '2005-04-08 10:48 EDT'), ('jdt-ui-inbox', '2005-04-08 11:06:27 EDT', 'martinae'), ('tobias_widmer', '2005-04-11 07:07:34 EDT', 'dirk_baeumer'), ('3.1 M7', '2005-04-11 07:07:34 EDT', 'dirk_baeumer'), ('andre_weinand', '2005-04-15 12:04:45 EDT', 'tobias_widmer'), ('RESOLVED', '2005-05-09 10:08:04 EDT', 'andre_weinand'), ('FIXED', '2005-05-09 10:08:04 EDT', 'andre_weinand')]</t>
  </si>
  <si>
    <t>2005-04-13 20:16:20 EDT</t>
  </si>
  <si>
    <t>2005-04-08 19:11 EDT</t>
  </si>
  <si>
    <t>2005-04-11 06:00:50 EDT</t>
  </si>
  <si>
    <t>[('CREATED', '2005-04-08 19:11 EDT'), ('markus_keller', '2005-04-11 06:00:50 EDT', 'dirk_baeumer'), ('[refactoring] AssertionError when running Infer Type Arguments', '2005-04-11 06:00:50 EDT', 'dirk_baeumer'), ('3.1', '2005-04-11 06:00:50 EDT', 'dirk_baeumer'), ('FIXED', '2005-04-13 20:16:20 EDT', 'markus.kell.r'), ('3.1 M7', '2005-04-13 20:16:20 EDT', 'markus.kell.r'), ('RESOLVED', '2005-04-13 20:16:20 EDT', 'markus.kell.r')]</t>
  </si>
  <si>
    <t>2005-05-18 06:21:54 EDT</t>
  </si>
  <si>
    <t>2005-05-27 10:35:52 EDT</t>
  </si>
  <si>
    <t>2005-04-09 16:33 EDT</t>
  </si>
  <si>
    <t>2005-04-11 05:57:14 EDT</t>
  </si>
  <si>
    <t>[('CREATED', '2005-04-09 16:33 EDT'), ('dirk_baeumer', '2005-04-11 05:57:14 EDT', 'dirk_baeumer'), ('3.1', '2005-04-11 05:57:14 EDT', 'dirk_baeumer'), ('[refactoring] [extract method] extract methods and varargs - incorrect order of params (compile error)', '2005-04-11 05:57:34 EDT', 'dirk_baeumer'), ('3.1 RC1', '2005-05-18 06:14:14 EDT', 'dirk_baeumer'), ('RESOLVED', '2005-05-18 06:21:54 EDT', 'dirk_baeumer'), ('FIXED', '2005-05-18 06:21:54 EDT', 'dirk_baeumer'), ('VERIFIED', '2005-05-27 10:35:52 EDT', 'tobias_widmer')]</t>
  </si>
  <si>
    <t>2005-04-12 11:34:23 EDT</t>
  </si>
  <si>
    <t>2005-04-12 08:27 EDT</t>
  </si>
  <si>
    <t>[('CREATED', '2005-04-12 08:27 EDT'), ('RESOLVED', '2005-04-12 11:34:23 EDT', 'markus.kell.r'), ('FIXED', '2005-04-12 11:34:23 EDT', 'markus.kell.r'), ('3.1 M7', '2005-04-12 11:34:23 EDT', 'markus.kell.r')]</t>
  </si>
  <si>
    <t>2005-04-28 13:43:59 EDT</t>
  </si>
  <si>
    <t>2005-04-12 17:14 EDT</t>
  </si>
  <si>
    <t>2005-04-12 17:15:18 EDT</t>
  </si>
  <si>
    <t>[('CREATED', '2005-04-12 17:14 EDT'), ('performance', '2005-04-12 17:15:18 EDT', 'Olivier_Thomann'), ('daniel_megert', '2005-04-13 05:04:54 EDT', 'dirk_baeumer'), ('RESOLVED', '2005-04-28 13:43:59 EDT', 'dirk_baeumer'), ('WONTFIX', '2005-04-28 13:43:59 EDT', 'dirk_baeumer')]</t>
  </si>
  <si>
    <t>2005-04-15 11:00:09 EDT</t>
  </si>
  <si>
    <t>2005-05-10 12:55:57 EDT</t>
  </si>
  <si>
    <t>2005-04-13 09:28 EDT</t>
  </si>
  <si>
    <t>2005-04-14 05:48:25 EDT</t>
  </si>
  <si>
    <t>[('CREATED', '2005-04-13 09:28 EDT'), ('tobias_widmer', '2005-04-14 05:48:25 EDT', 'dirk_baeumer'), ('P2', '2005-04-14 05:48:25 EDT', 'dirk_baeumer'), ('3.1 M7', '2005-04-14 05:48:25 EDT', 'dirk_baeumer'), ('markus_keller', '2005-04-14 05:51:05 EDT', 'tobias_widmer'), ('dirk_baeumer', '2005-04-14 06:21:07 EDT', 'markus.kell.r'), ('ASSIGNED', '2005-04-14 06:21:07 EDT', 'markus.kell.r'), ('RESOLVED', '2005-04-15 11:00:09 EDT', 'markus.kell.r'), ('FIXED', '2005-04-15 11:00:09 EDT', 'markus.kell.r'), ('VERIFIED', '2005-05-10 12:55:57 EDT', 'martinae')]</t>
  </si>
  <si>
    <t>92582 (view as bug list)</t>
  </si>
  <si>
    <t>2005-04-25 11:01:13 EDT</t>
  </si>
  <si>
    <t>2005-04-13 14:01 EDT</t>
  </si>
  <si>
    <t>2005-04-14 05:26:03 EDT</t>
  </si>
  <si>
    <t>2005-04-26 04:37:24 EDT</t>
  </si>
  <si>
    <t>[('CREATED', '2005-04-13 14:01 EDT'), ('tobias_widmer', '2005-04-14 05:26:03 EDT', 'dirk_baeumer'), ('[refactoring] refactoring extract constant failed', '2005-04-14 05:26:03 EDT', 'dirk_baeumer'), ('3.1 M7', '2005-04-14 05:26:03 EDT', 'dirk_baeumer'), ('markus_keller', '2005-04-25 05:40:45 EDT', 'tobias_widmer'), ('FIXED', '2005-04-25 11:01:13 EDT', 'markus.kell.r'), ('RESOLVED', '2005-04-25 11:01:13 EDT', 'markus.kell.r'), ('eclipse', '2005-04-26 04:37:24 EDT', 'markus.kell.r')]</t>
  </si>
  <si>
    <t>2005-06-15 13:04:55 EDT</t>
  </si>
  <si>
    <t>2005-04-14 05:26 EDT</t>
  </si>
  <si>
    <t>2005-04-14 05:51:42 EDT</t>
  </si>
  <si>
    <t>[('CREATED', '2005-04-14 05:26 EDT'), ('jdt-ui-inbox', '2005-04-14 05:51:42 EDT', 'daniel_megert'), ('UI', '2005-04-14 05:51:42 EDT', 'daniel_megert'), ('markus_keller', '2005-04-14 05:53:08 EDT', 'dirk_baeumer'), ('P2', '2005-04-14 05:53:08 EDT', 'dirk_baeumer'), ('[1.5] [refactoring] [infer] Internal Error during refactoring', '2005-04-14 05:53:08 EDT', 'dirk_baeumer'), ('3.1 M7', '2005-04-14 05:53:08 EDT', 'dirk_baeumer'), ('ASSIGNED', '2005-04-14 07:18:14 EDT', 'markus.kell.r'), ('3.1 RC1', '2005-05-12 09:46:23 EDT', 'markus.kell.r'), ('---', '2005-05-27 10:38:39 EDT', 'markus.kell.r'), ('3.2', '2005-05-27 10:47:18 EDT', 'markus.kell.r'), ('WORKSFORME', '2005-06-15 13:04:55 EDT', 'markus.kell.r'), ('3.1 RC2', '2005-06-15 13:04:55 EDT', 'markus.kell.r'), ('RESOLVED', '2005-06-15 13:04:55 EDT', 'markus.kell.r'), ('P3', '2005-06-15 13:04:55 EDT', 'markus.kell.r')]</t>
  </si>
  <si>
    <t>2020-02-08 11:57:00 EST</t>
  </si>
  <si>
    <t>2005-04-14 05:39 EDT</t>
  </si>
  <si>
    <t>2005-04-14 06:03:49 EDT</t>
  </si>
  <si>
    <t>[('CREATED', '2005-04-14 05:39 EDT'), ('jdt-ui-inbox', '2005-04-14 06:03:49 EDT', 'daniel_megert'), ('UI', '2005-04-14 06:03:49 EDT', 'daniel_megert'), ('markus_keller', '2005-04-14 19:25:52 EDT', 'dirk_baeumer'), ('[refactoring] [1.5] infer generics generates illegal code', '2005-04-14 19:25:52 EDT', 'dirk_baeumer'), ('3.1 M7', '2005-04-14 19:25:52 EDT', 'dirk_baeumer'), ('3.1 RC1', '2005-05-12 09:46:23 EDT', 'markus.kell.r'), ('ASSIGNED', '2005-05-27 10:38:34 EDT', 'markus.kell.r'), ('---', '2005-05-27 10:38:34 EDT', 'markus.kell.r'), ('3.2', '2005-05-27 10:46:17 EDT', 'markus.kell.r'), ('mlists', '2006-01-17 04:47:45 EST', 'mlists'), ('3.3', '2006-05-01 15:53:24 EDT', 'markus.kell.r'), ('[Infer Type Arguments] generates illegal code', '2006-05-30 11:46:57 EDT', 'markus.kell.r'), ('3.4', '2007-05-11 18:50:57 EDT', 'markus.kell.r'), ('3.5', '2008-05-10 12:17:53 EDT', 'markus.kell.r'), ('---', '2009-05-06 06:19:03 EDT', 'markus.kell.r'), ('stalebug', '2020-02-08 11:57:00 EST', 'genie'), ('WONTFIX', '2020-02-08 11:57:00 EST', 'genie'), ('CLOSED', '2020-02-08 11:57:00 EST', 'genie')]</t>
  </si>
  <si>
    <t>94169 (view as bug list)</t>
  </si>
  <si>
    <t>2005-05-03 06:16:57 EDT</t>
  </si>
  <si>
    <t>2005-05-10 12:56:18 EDT</t>
  </si>
  <si>
    <t>2005-04-14 18:01 EDT</t>
  </si>
  <si>
    <t>2005-04-15 06:07:11 EDT</t>
  </si>
  <si>
    <t>2005-05-10 14:47:02 EDT</t>
  </si>
  <si>
    <t>[('CREATED', '2005-04-14 18:01 EDT'), ('dirk_baeumer', '2005-04-15 06:07:11 EDT', 'dirk_baeumer'), ('P2', '2005-04-15 06:07:11 EDT', 'dirk_baeumer'), ('3.1 M7', '2005-04-15 06:07:11 EDT', 'dirk_baeumer'), ('RESOLVED', '2005-05-03 06:16:57 EDT', 'dirk_baeumer'), ('FIXED', '2005-05-03 06:16:57 EDT', 'dirk_baeumer'), ('VERIFIED', '2005-05-10 12:56:18 EDT', 'martinae'), ('bmiller', '2005-05-10 14:47:02 EDT', 'dirk_baeumer')]</t>
  </si>
  <si>
    <t>RESOLVED  DUPLICATE  of bug 85408</t>
  </si>
  <si>
    <t>2005-04-16 10:32:13 EDT</t>
  </si>
  <si>
    <t>2005-04-14 18:48 EDT</t>
  </si>
  <si>
    <t>2005-04-14 22:43:13 EDT</t>
  </si>
  <si>
    <t>[('CREATED', '2005-04-14 18:48 EDT'), ('jdt-ui-inbox', '2005-04-14 22:43:13 EDT', 'Olivier_Thomann'), ('UI', '2005-04-14 22:43:13 EDT', 'Olivier_Thomann'), ('RESOLVED', '2005-04-16 10:32:13 EDT', 'dirk_baeumer'), ('DUPLICATE', '2005-04-16 10:32:13 EDT', 'dirk_baeumer')]</t>
  </si>
  <si>
    <t>2020-03-12 15:33:32 EDT</t>
  </si>
  <si>
    <t>2005-04-18 19:29 EDT</t>
  </si>
  <si>
    <t>2005-04-19 09:09:11 EDT</t>
  </si>
  <si>
    <t>[('CREATED', '2005-04-18 19:29 EDT'), ('jdt-ui-inbox', '2005-04-19 09:09:11 EDT', 'frederic_fusier'), ('UI', '2005-04-19 09:09:11 EDT', 'frederic_fusier'), ('tobias_widmer', '2005-04-19 10:31:29 EDT', 'dirk_baeumer'), ('[refactoring] [move] Refactor-&gt;Move from default package works incorrectly', '2005-04-19 10:31:43 EDT', 'dirk_baeumer'), ('[reorg] move from default package works incorrectly [refactoring]', '2006-05-29 06:06:30 EDT', 'tobias_widmer'), ('jdt-ui-inbox', '2007-06-14 10:47:35 EDT', 'martinae'), ('CLOSED', '2020-03-12 15:33:32 EDT', 'genie'), ('stalebug', '2020-03-12 15:33:32 EDT', 'genie'), ('WONTFIX', '2020-03-12 15:33:32 EDT', 'genie')]</t>
  </si>
  <si>
    <t>2005-04-20 05:03:56 EDT</t>
  </si>
  <si>
    <t>2009-08-30 02:42:32 EDT</t>
  </si>
  <si>
    <t>2005-04-19 10:11 EDT</t>
  </si>
  <si>
    <t>2005-04-19 10:33:00 EDT</t>
  </si>
  <si>
    <t>[('CREATED', '2005-04-19 10:11 EDT'), ('jdt-ui-inbox', '2005-04-19 10:33:00 EDT', 'frederic_fusier'), ('UI', '2005-04-19 10:33:00 EDT', 'frederic_fusier'), ('RESOLVED', '2005-04-20 05:03:56 EDT', 'dirk_baeumer'), ('LATER', '2005-04-20 05:03:56 EDT', 'dirk_baeumer'), ('[refactoring] a new refactoring: convert field to parameter', '2005-04-20 05:03:56 EDT', 'dirk_baeumer'), ('WONTFIX', '2009-08-30 02:42:32 EDT', 'webmaster')]</t>
  </si>
  <si>
    <t>2005-09-10 13:13:09 EDT</t>
  </si>
  <si>
    <t>2009-08-30 02:12:34 EDT</t>
  </si>
  <si>
    <t>2005-09-09 16:22:06 EDT</t>
  </si>
  <si>
    <t>2005-04-19 19:08 EDT</t>
  </si>
  <si>
    <t>2005-04-20 04:52:47 EDT</t>
  </si>
  <si>
    <t>[('CREATED', '2005-04-19 19:08 EDT'), ('RESOLVED', '2005-04-20 04:52:47 EDT', 'dirk_baeumer'), ('P4', '2005-04-20 04:52:47 EDT', 'dirk_baeumer'), ('LATER', '2005-04-20 04:52:47 EDT', 'dirk_baeumer'), ('[refactoring] [general issue] Publish more JDT refactoring related internal classes', '2005-04-20 04:52:47 EDT', 'dirk_baeumer'), ('REOPENED', '2005-09-09 16:22:06 EDT', 'kumpera'), ('---', '2005-09-09 16:22:06 EDT', 'kumpera'), ('RESOLVED', '2005-09-10 13:13:09 EDT', 'dirk_baeumer'), ('LATER', '2005-09-10 13:13:09 EDT', 'dirk_baeumer'), ('WONTFIX', '2009-08-30 02:12:34 EDT', 'denis.roy')]</t>
  </si>
  <si>
    <t>2005-05-27 05:33:51 EDT</t>
  </si>
  <si>
    <t>2005-05-30 10:29:01 EDT</t>
  </si>
  <si>
    <t>2005-04-21 04:15 EDT</t>
  </si>
  <si>
    <t>2005-04-21 04:24:19 EDT</t>
  </si>
  <si>
    <t>[('CREATED', '2005-04-21 04:15 EDT'), ('3.1 M7', '2005-04-21 04:24:19 EDT', 'dirk_baeumer'), ('markus_keller', '2005-04-21 04:24:19 EDT', 'dirk_baeumer'), ('[refactor] [infer] NPE during Infer Type Arguments', '2005-04-21 04:24:19 EDT', 'dirk_baeumer'), ('3.1 RC1', '2005-05-12 09:46:23 EDT', 'markus.kell.r'), ('RESOLVED', '2005-05-27 05:33:51 EDT', 'markus.kell.r'), ('FIXED', '2005-05-27 05:33:51 EDT', 'markus.kell.r'), ('VERIFIED', '2005-05-30 10:29:01 EDT', 'dirk_baeumer')]</t>
  </si>
  <si>
    <t>171205</t>
  </si>
  <si>
    <t>2008-05-02 10:42:52 EDT</t>
  </si>
  <si>
    <t>2005-04-21 22:26 EDT</t>
  </si>
  <si>
    <t>2005-04-22 04:30:59 EDT</t>
  </si>
  <si>
    <t>[('CREATED', '2005-04-21 22:26 EDT'), ('ASSIGNED', '2005-04-22 04:30:59 EDT', 'dirk_baeumer'), ('[refactoring] [general issue] [2] refactoring without modal window', '2005-04-22 04:30:59 EDT', 'dirk_baeumer'), ('[refactoring] refactoring without modal window', '2006-06-16 16:39:00 EDT', 'martinae'), ('markus_keller', '2006-07-07 04:46:16 EDT', 'markus.kell.r'), ('benno_baumgartner', '2006-07-07 04:54:37 EDT', 'benno.baumgartner'), ('mlists', '2006-08-18 16:01:10 EDT', 'mlists'), ('rjlorimer', '2006-08-20 21:05:34 EDT', 'rjlorimer'), ('martin_aeschlimann', '2006-09-20 12:15:34 EDT', 'martinae'), ('markus_keller', '2006-09-20 12:15:34 EDT', 'martinae'), ('NEW', '2006-09-20 12:15:34 EDT', 'martinae'), ('uab_bound2003', '2006-09-22 19:24:37 EDT', 'uab_bound2003'), ('alexeclipse', '2006-12-29 05:05:05 EST', 'alexeclipse'), ('171205', '2007-01-22 06:48:52 EST', 'markus.kell.r'), ('ASSIGNED', '2007-02-05 14:38:13 EST', 'markus.kell.r'), ('3.3', '2007-02-05 14:38:13 EST', 'markus.kell.r'), ('3.4', '2007-05-24 09:38:29 EDT', 'martinae'), ('RESOLVED', '2008-05-02 10:42:52 EDT', 'martinae'), ('WONTFIX', '2008-05-02 10:42:52 EDT', 'martinae'), ('---', '2008-05-02 10:42:52 EDT', 'martinae')]</t>
  </si>
  <si>
    <t>2005-04-25 09:44:38 EDT</t>
  </si>
  <si>
    <t>2009-08-30 02:12:31 EDT</t>
  </si>
  <si>
    <t>2005-04-22 13:58 EDT</t>
  </si>
  <si>
    <t>[('CREATED', '2005-04-22 13:58 EDT'), ('RESOLVED', '2005-04-25 09:44:38 EDT', 'dirk_baeumer'), ('LATER', '2005-04-25 09:44:38 EDT', 'dirk_baeumer'), ("[refactoring] introduce parameter doesn't know about other parameters [refactoring]", '2005-04-25 09:44:38 EDT', 'dirk_baeumer'), ('WONTFIX', '2009-08-30 02:12:31 EDT', 'denis.roy')]</t>
  </si>
  <si>
    <t>2005-04-26 09:22:18 EDT</t>
  </si>
  <si>
    <t>2005-05-10 12:56:40 EDT</t>
  </si>
  <si>
    <t>2005-04-23 08:12 EDT</t>
  </si>
  <si>
    <t>2005-04-23 08:12:17 EDT</t>
  </si>
  <si>
    <t>[('CREATED', '2005-04-23 08:12 EDT'), ('P2', '2005-04-23 08:12:17 EDT', 'dirk_baeumer'), ('3.1 M7', '2005-04-23 08:12:17 EDT', 'dirk_baeumer'), ('ASSIGNED', '2005-04-25 09:32:38 EDT', 'markus.kell.r'), ('RESOLVED', '2005-04-26 09:22:18 EDT', 'markus.kell.r'), ('FIXED', '2005-04-26 09:22:18 EDT', 'markus.kell.r'), ('VERIFIED', '2005-05-10 12:56:40 EDT', 'martinae')]</t>
  </si>
  <si>
    <t>2020-01-26 11:52:23 EST</t>
  </si>
  <si>
    <t>2005-04-23 20:37 EDT</t>
  </si>
  <si>
    <t>2005-04-29 09:42:35 EDT</t>
  </si>
  <si>
    <t>[('CREATED', '2005-04-23 20:37 EDT'), ('jdt-ui-inbox', '2005-04-29 09:42:35 EDT', 'eclipse'), ('UI', '2005-04-29 09:42:35 EDT', 'eclipse'), ('JDT', '2005-04-29 09:42:35 EDT', 'eclipse'), ('tobias_widmer', '2005-04-29 13:25:56 EDT', 'dirk_baeumer'), ("[reorg] Paste action enablement doesn't match clipboard contents", '2005-04-29 13:26:08 EDT', 'dirk_baeumer'), ("[reorg] paste action enablement doesn't match clipboard contents [refactoring]", '2006-05-29 06:06:48 EDT', 'tobias_widmer'), ('jdt-ui-inbox', '2007-06-14 10:48:22 EDT', 'martinae'), ('CLOSED', '2020-01-26 11:52:23 EST', 'genie'), ('stalebug', '2020-01-26 11:52:23 EST', 'genie'), ('WONTFIX', '2020-01-26 11:52:23 EST', 'genie')]</t>
  </si>
  <si>
    <t>2005-05-25 06:45:00 EDT</t>
  </si>
  <si>
    <t>2005-05-27 10:43:21 EDT</t>
  </si>
  <si>
    <t>2005-04-24 14:23 EDT</t>
  </si>
  <si>
    <t>2005-04-25 08:42:58 EDT</t>
  </si>
  <si>
    <t>[('CREATED', '2005-04-24 14:23 EDT'), ('dirk_baeumer', '2005-04-25 08:42:58 EDT', 'dirk_baeumer'), ('RESOLVED', '2005-05-25 06:45:00 EDT', 'dirk_baeumer'), ('FIXED', '2005-05-25 06:45:00 EDT', 'dirk_baeumer'), ('3.1 RC1', '2005-05-25 06:45:00 EDT', 'dirk_baeumer'), ('VERIFIED', '2005-05-27 10:43:21 EDT', 'tobias_widmer')]</t>
  </si>
  <si>
    <t>2005-04-25 06:39:52 EDT</t>
  </si>
  <si>
    <t>2009-08-30 02:18:57 EDT</t>
  </si>
  <si>
    <t>2005-04-24 21:57 EDT</t>
  </si>
  <si>
    <t>[('CREATED', '2005-04-24 21:57 EDT'), ('RESOLVED', '2005-04-25 06:39:52 EDT', 'dirk_baeumer'), ('LATER', '2005-04-25 06:39:52 EDT', 'dirk_baeumer'), ('[refactoring] [2] Extract constant refactoring should move NON-NLS markers', '2005-04-25 06:39:52 EDT', 'dirk_baeumer'), ('mlists', '2006-04-07 10:03:26 EDT', 'mlists'), ('WONTFIX', '2009-08-30 02:18:57 EDT', 'denis.roy')]</t>
  </si>
  <si>
    <t>RESOLVED  DUPLICATE  of bug 91324</t>
  </si>
  <si>
    <t>2005-04-25 10:13 EDT</t>
  </si>
  <si>
    <t>2005-04-25 11:58:49 EDT</t>
  </si>
  <si>
    <t>[('CREATED', '2005-04-25 10:13 EDT'), ('dirk_baeumer', '2005-04-25 11:58:49 EDT', 'dirk_baeumer'), ('tobias_widmer', '2005-04-25 11:58:49 EDT', 'dirk_baeumer'), ('markus_keller', '2005-04-26 04:36:46 EDT', 'markus.kell.r'), ('3.1 M7', '2005-04-26 04:36:46 EDT', 'markus.kell.r'), ('DUPLICATE', '2005-04-26 04:37:24 EDT', 'markus.kell.r'), ('RESOLVED', '2005-04-26 04:37:24 EDT', 'markus.kell.r')]</t>
  </si>
  <si>
    <t>57548 (view as bug list)</t>
  </si>
  <si>
    <t>2005-04-27 13:14:18 EDT</t>
  </si>
  <si>
    <t>2009-08-30 02:21:22 EDT</t>
  </si>
  <si>
    <t>2005-04-26 11:21 EDT</t>
  </si>
  <si>
    <t>2005-04-26 12:03:58 EDT</t>
  </si>
  <si>
    <t>[('CREATED', '2005-04-26 11:21 EDT'), ('rfaust', '2005-04-26 12:03:58 EDT', 'rfaust'), ('jdt-core-inbox', '2005-04-27 03:00:17 EDT', 'martinae'), ('Core', '2005-04-27 03:00:17 EDT', 'martinae'), ('Olivier_Thomann', '2005-04-27 03:00:17 EDT', 'martinae'), ('jdt-ui-inbox', '2005-04-27 05:14:42 EDT', 'philippe_mulet'), ('UI', '2005-04-27 05:14:42 EDT', 'philippe_mulet'), ('philippe_mulet', '2005-04-27 08:47:05 EDT', 'martinae'), ('RESOLVED', '2005-04-27 13:14:18 EDT', 'dirk_baeumer'), ('LATER', '2005-04-27 13:14:18 EDT', 'dirk_baeumer'), ('[code manipulation] SortMembersOperation should check for initialization order', '2005-04-27 13:14:18 EDT', 'dirk_baeumer'), ('ianp', '2007-04-04 11:31:46 EDT', 'benno.baumgartner'), ('WONTFIX', '2009-08-30 02:21:22 EDT', 'denis.roy')]</t>
  </si>
  <si>
    <t>96145 101747 (view as bug list)</t>
  </si>
  <si>
    <t>2005-05-17 10:25:51 EDT</t>
  </si>
  <si>
    <t>2005-05-27 10:44:52 EDT</t>
  </si>
  <si>
    <t>2005-04-26 18:00 EDT</t>
  </si>
  <si>
    <t>2005-04-27 04:44:50 EDT</t>
  </si>
  <si>
    <t>2005-06-25 04:37:36 EDT</t>
  </si>
  <si>
    <t>frederic_fusier</t>
  </si>
  <si>
    <t>[('CREATED', '2005-04-26 18:00 EDT'), ('dirk_baeumer', '2005-04-27 04:44:50 EDT', 'dirk_baeumer'), ('3.1', '2005-04-27 04:44:50 EDT', 'dirk_baeumer'), ('3.1 RC1', '2005-05-16 13:48:28 EDT', 'dirk_baeumer'), ('FIXED', '2005-05-17 10:25:51 EDT', 'dirk_baeumer'), ('RESOLVED', '2005-05-17 10:25:51 EDT', 'dirk_baeumer'), ('bmiller', '2005-05-21 06:24:05 EDT', 'dirk_baeumer'), ('VERIFIED', '2005-05-27 10:44:52 EDT', 'tobias_widmer'), ('agfung', '2005-06-25 04:37:36 EDT', 'frederic_fusier')]</t>
  </si>
  <si>
    <t>86076 110590 111737 (view as bug list)</t>
  </si>
  <si>
    <t>2006-01-23 08:10:51 EST</t>
  </si>
  <si>
    <t>2005-04-27 06:14 EDT</t>
  </si>
  <si>
    <t>2005-04-27 13:46:19 EDT</t>
  </si>
  <si>
    <t>2006-01-30 04:01:54 EST</t>
  </si>
  <si>
    <t>[('CREATED', '2005-04-27 06:14 EDT'), ('martin_aeschlimann', '2005-04-27 13:46:19 EDT', 'dirk_baeumer'), ('[quick fix] Type safety purposes inversing If for Class&lt;T&gt;', '2005-04-27 13:46:19 EDT', 'dirk_baeumer'), ('[quick fix] fix raw accesses', '2005-05-24 09:53:49 EDT', 'martinae'), ('benno_baumgartner', '2005-10-06 12:56:24 EDT', 'martinae'), ('martin_aeschlimann', '2006-01-18 05:43:55 EST', 'martinae'), ('benno_baumgartner', '2006-01-18 05:43:55 EST', 'martinae'), ('3.2 M5', '2006-01-18 05:43:55 EST', 'martinae'), ('ASSIGNED', '2006-01-19 05:46:37 EST', 'benno.baumgartner'), ('RESOLVED', '2006-01-23 08:10:51 EST', 'benno.baumgartner'), ('FIXED', '2006-01-23 08:10:51 EST', 'benno.baumgartner'), ('rlenard', '2006-01-30 04:01:54 EST', 'benno.baumgartner')]</t>
  </si>
  <si>
    <t>2005-04-28 05:32:16 EDT</t>
  </si>
  <si>
    <t>2005-04-27 15:39 EDT</t>
  </si>
  <si>
    <t>2005-04-28 05:26:28 EDT</t>
  </si>
  <si>
    <t>[('CREATED', '2005-04-27 15:39 EDT'), ('tobias_widmer', '2005-04-28 05:26:28 EDT', 'dirk_baeumer'), ('RESOLVED', '2005-04-28 05:32:16 EDT', 'tobias_widmer'), ('FIXED', '2005-04-28 05:32:16 EDT', 'tobias_widmer'), ('3.1 M7', '2005-04-28 05:32:16 EDT', 'tobias_widmer')]</t>
  </si>
  <si>
    <t>2005-05-26 11:11:16 EDT</t>
  </si>
  <si>
    <t>2005-04-29 05:52 EDT</t>
  </si>
  <si>
    <t>[('CREATED', '2005-04-29 05:52 EDT'), ('RESOLVED', '2005-05-26 11:11:16 EDT', 'dirk_baeumer'), ('WONTFIX', '2005-05-26 11:11:16 EDT', 'dirk_baeumer')]</t>
  </si>
  <si>
    <t>2005-04-29 13:57:05 EDT</t>
  </si>
  <si>
    <t>2005-04-29 12:21 EDT</t>
  </si>
  <si>
    <t>2005-04-29 12:21:53 EDT</t>
  </si>
  <si>
    <t>[('CREATED', '2005-04-29 12:21 EDT'), ('performance', '2005-04-29 12:21:53 EDT', 'n.a.edgar'), ('dirk_baeumer', '2005-04-29 13:56:51 EDT', 'dirk_baeumer'), ('3.1 M7', '2005-04-29 13:57:05 EDT', 'dirk_baeumer'), ('RESOLVED', '2005-04-29 13:57:05 EDT', 'dirk_baeumer'), ('FIXED', '2005-04-29 13:57:05 EDT', 'dirk_baeumer')]</t>
  </si>
  <si>
    <t>RESOLVED  DUPLICATE  of bug 85804</t>
  </si>
  <si>
    <t>2005-05-01 11:36 EDT</t>
  </si>
  <si>
    <t>2005-05-01 11:36:54 EDT</t>
  </si>
  <si>
    <t>[('CREATED', '2005-05-01 11:36 EDT'), ('3.1', '2005-05-01 11:36:54 EDT', 'dirk_baeumer'), ('RESOLVED', '2005-05-27 10:19:08 EDT', 'markus.kell.r'), ('DUPLICATE', '2005-05-27 10:19:08 EDT', 'markus.kell.r'), ('---', '2005-05-27 10:19:08 EDT', 'markus.kell.r')]</t>
  </si>
  <si>
    <t>2005-05-19 13:33:06 EDT</t>
  </si>
  <si>
    <t>2005-05-01 11:40 EDT</t>
  </si>
  <si>
    <t>2005-05-01 11:41:00 EDT</t>
  </si>
  <si>
    <t>[('CREATED', '2005-05-01 11:40 EDT'), ('3.1', '2005-05-01 11:41:00 EDT', 'dirk_baeumer'), ('RESOLVED', '2005-05-19 13:33:06 EDT', 'dirk_baeumer'), ('WORKSFORME', '2005-05-19 13:33:06 EDT', 'dirk_baeumer'), ('3.1 RC1', '2005-05-19 13:33:06 EDT', 'dirk_baeumer')]</t>
  </si>
  <si>
    <t>2006-04-05 08:51:56 EDT</t>
  </si>
  <si>
    <t>2009-08-30 02:09:32 EDT</t>
  </si>
  <si>
    <t>2005-05-02 00:06 EDT</t>
  </si>
  <si>
    <t>2006-03-28 12:06:31 EST</t>
  </si>
  <si>
    <t>[('CREATED', '2005-05-02 00:06 EDT'), ('jdt-ui-inbox', '2006-03-28 12:06:31 EST', 'jerome_lanneluc'), ('UI', '2006-03-28 12:06:31 EST', 'jerome_lanneluc'), ('martin_aeschlimann', '2006-04-05 08:51:56 EDT', 'martinae'), ('RESOLVED', '2006-04-05 08:51:56 EDT', 'martinae'), ('REMIND', '2006-04-05 08:51:56 EDT', 'martinae'), ('needinfo', '2009-08-30 02:09:32 EDT', 'denis.roy'), ('INVALID', '2009-08-30 02:09:32 EDT', 'denis.roy')]</t>
  </si>
  <si>
    <t>2005-05-02 12:28:57 EDT</t>
  </si>
  <si>
    <t>2009-08-30 02:06:16 EDT</t>
  </si>
  <si>
    <t>2005-05-02 10:13 EDT</t>
  </si>
  <si>
    <t>2005-05-02 11:38:07 EDT</t>
  </si>
  <si>
    <t>[('CREATED', '2005-05-02 10:13 EDT'), ('jdt-ui-inbox', '2005-05-02 11:38:07 EDT', 'philippe_mulet'), ('UI', '2005-05-02 11:38:07 EDT', 'philippe_mulet'), ('martin_aeschlimann', '2005-05-02 12:20:38 EDT', 'dirk_baeumer'), ("[code manipulation] [5.0] 3.1M6: Templates don't accept annotations", '2005-05-02 12:20:38 EDT', 'dirk_baeumer'), ('3.1 M7', '2005-05-02 12:20:38 EDT', 'dirk_baeumer'), ('RESOLVED', '2005-05-02 12:28:57 EDT', 'martinae'), ('REMIND', '2005-05-02 12:28:57 EDT', 'martinae'), ('andy_the_great', '2005-05-27 17:40:44 EDT', 'loskutov'), ('needinfo', '2009-08-30 02:06:16 EDT', 'denis.roy'), ('INVALID', '2009-08-30 02:06:16 EDT', 'denis.roy'), ('jdt-ui-inbox', '2009-08-30 02:06:16 EDT', 'denis.roy')]</t>
  </si>
  <si>
    <t>2005-05-16 17:20:22 EDT</t>
  </si>
  <si>
    <t>2005-05-27 04:42:25 EDT</t>
  </si>
  <si>
    <t>2005-05-03 11:06 EDT</t>
  </si>
  <si>
    <t>2005-05-09 12:04:28 EDT</t>
  </si>
  <si>
    <t>[('CREATED', '2005-05-03 11:06 EDT'), ('dirk_baeumer', '2005-05-09 12:04:28 EDT', 'dirk_baeumer'), ('P2', '2005-05-09 12:04:28 EDT', 'dirk_baeumer'), ('3.1', '2005-05-09 12:04:28 EDT', 'dirk_baeumer'), ('martin_aeschlimann', '2005-05-09 12:06:42 EDT', 'dirk_baeumer'), ('tobias_widmer', '2005-05-09 12:06:51 EDT', 'dirk_baeumer'), ('3.1 RC1', '2005-05-16 17:20:22 EDT', 'dirk_baeumer'), ('RESOLVED', '2005-05-16 17:20:22 EDT', 'dirk_baeumer'), ('FIXED', '2005-05-16 17:20:22 EDT', 'dirk_baeumer'), ('[refactoring] All extract refactorings and quick fixes fail with wildcard return type', '2005-05-16 17:20:22 EDT', 'dirk_baeumer'), ('VERIFIED', '2005-05-27 04:42:25 EDT', 'tobias_widmer')]</t>
  </si>
  <si>
    <t>2005-05-06 17:29:04 EDT</t>
  </si>
  <si>
    <t>2005-05-04 19:26 EDT</t>
  </si>
  <si>
    <t>2005-05-08 15:09:05 EDT</t>
  </si>
  <si>
    <t>[('CREATED', '2005-05-04 19:26 EDT'), ('RESOLVED', '2005-05-06 17:29:04 EDT', 'dirk_baeumer'), ('FIXED', '2005-05-06 17:29:04 EDT', 'dirk_baeumer'), ('3.1 M7', '2005-05-06 17:29:04 EDT', 'dirk_baeumer'), ('CLOSED', '2005-05-08 15:09:05 EDT', 'camle')]</t>
  </si>
  <si>
    <t>2019-11-26 16:08:33 EST</t>
  </si>
  <si>
    <t>2005-05-05 16:23 EDT</t>
  </si>
  <si>
    <t>2005-05-06 05:12:32 EDT</t>
  </si>
  <si>
    <t>2019-11-26 16:32:52 EST</t>
  </si>
  <si>
    <t>[('CREATED', '2005-05-05 16:23 EDT'), ('tobias_widmer', '2005-05-06 05:12:32 EDT', 'dirk_baeumer'), ('[refactoring] [inline local] Allow inlining of local variable initialized to null.', '2005-05-06 05:12:32 EDT', 'dirk_baeumer'), ('akiezun', '2005-05-06 10:40:34 EDT', 'akiezun'), ('3.1', '2005-05-09 04:00:35 EDT', 'tobias_widmer'), ('enhancement', '2005-05-27 10:12:46 EDT', 'tobias_widmer'), ('3.2', '2005-05-27 10:12:46 EDT', 'tobias_widmer'), ('markus_keller', '2006-04-10 07:19:43 EDT', 'tobias_widmer'), ('---', '2006-04-10 07:19:43 EDT', 'tobias_widmer'), ('[inline] Allow inlining of local variable initialized to null.', '2006-08-03 12:36:32 EDT', 'martinae'), ('timo.kinnunen', '2014-05-11 08:02:56 EDT', 'timo.kinnunen'), ('helpwanted', '2014-05-12 14:49:52 EDT', 'markus.kell.r'), ('ASSIGNED', '2014-05-12 14:49:52 EDT', 'markus.kell.r'), ('fix candidate', '2014-05-12 14:49:52 EDT', 'markus.kell.r'), (nan, '2014-05-13 05:00:32 EDT', 'markus.kell.r'), ('4.5', '2014-05-13 05:00:32 EDT', 'markus.kell.r'), (nan, '2014-05-13 05:00:32 EDT', 'markus.kell.r'), ('4.6', '2015-04-28 06:04:33 EDT', 'markus.kell.r'), ('4.7', '2016-04-21 14:26:03 EDT', 'markus.kell.r'), ('---', '2017-05-24 14:12:16 EDT', 'noopur_gupta'), ('pyvesdev', '2019-01-10 14:33:18 EST', 'pyvesdev'), ('https://git.eclipse.org/r/146057', '2019-07-14 15:26:11 EDT', 'genie'), ('register.eclipse', '2019-07-25 02:34:08 EDT', 'register.eclipse'), ('pyvesdev', '2019-07-25 02:34:08 EDT', 'register.eclipse'), ('4.13 M3', '2019-07-25 02:34:08 EDT', 'register.eclipse'), ('daniel_megert', '2019-08-21 06:06:20 EDT', 'daniel_megert'), ('4.14 M1', '2019-08-21 06:06:20 EDT', 'daniel_megert'), ('gautier.desaintmartinlacaze', '2019-08-21 14:19:33 EDT', 'gautier.desaintmartinlacaze'), ('4.14', '2019-10-09 01:41:33 EDT', 'noopur_gupta'), ('4.15', '2019-11-18 03:45:28 EST', 'noopur_gupta'), ('https://bugs.eclipse.org/bugs/show_bug.cgi?id=434747', '2019-11-21 03:15:06 EST', 'pyvesdev'), ('https://git.eclipse.org/c/jdt/eclipse.jdt.ui.git/commit/?id=90d3db9ee97bf8a8f8586b6d8925204565439070', '2019-11-26 16:06:49 EST', 'genie'), ('4.14 RC1', '2019-11-26 16:08:33 EST', 'register.eclipse'), ('FIXED', '2019-11-26 16:08:33 EST', 'register.eclipse'), ('RESOLVED', '2019-11-26 16:08:33 EST', 'register.eclipse'), ('register.eclipse', '2019-11-26 16:08:33 EST', 'register.eclipse'), ('https://git.eclipse.org/r/153444', '2019-11-26 16:32:52 EST', 'genie')]</t>
  </si>
  <si>
    <t>2005-05-17 10:33:02 EDT</t>
  </si>
  <si>
    <t>2005-05-27 05:04:10 EDT</t>
  </si>
  <si>
    <t>2005-05-05 18:53 EDT</t>
  </si>
  <si>
    <t>2005-05-06 05:06:19 EDT</t>
  </si>
  <si>
    <t>[('CREATED', '2005-05-05 18:53 EDT'), ('dirk_baeumer', '2005-05-06 05:06:19 EDT', 'dirk_baeumer'), ('P2', '2005-05-06 05:06:19 EDT', 'dirk_baeumer'), ('3.1', '2005-05-06 05:06:19 EDT', 'dirk_baeumer'), ('RESOLVED', '2005-05-17 10:33:02 EDT', 'dirk_baeumer'), ('FIXED', '2005-05-17 10:33:02 EDT', 'dirk_baeumer'), ('[refactoring] Syntax errors after inlining a method returning a result with type parameters', '2005-05-17 10:33:02 EDT', 'dirk_baeumer'), ('3.1 RC1', '2005-05-17 10:33:02 EDT', 'dirk_baeumer'), ('dirk_baeumer', '2005-05-27 04:54:41 EDT', 'david'), ('VERIFIED', '2005-05-27 05:04:10 EDT', 'dirk_baeumer')]</t>
  </si>
  <si>
    <t>2005-05-09 07:26:36 EDT</t>
  </si>
  <si>
    <t>2005-05-06 19:12 EDT</t>
  </si>
  <si>
    <t>2005-05-09 07:26:13 EDT</t>
  </si>
  <si>
    <t>[('CREATED', '2005-05-06 19:12 EDT'), ('dirk_baeumer', '2005-05-09 07:26:13 EDT', 'dirk_baeumer'), ('3.1 M7', '2005-05-09 07:26:13 EDT', 'dirk_baeumer'), ('RESOLVED', '2005-05-09 07:26:36 EDT', 'dirk_baeumer'), ('FIXED', '2005-05-09 07:26:36 EDT', 'dirk_baeumer')]</t>
  </si>
  <si>
    <t>2005-05-09 10:36:42 EDT</t>
  </si>
  <si>
    <t>2005-05-09 10:29 EDT</t>
  </si>
  <si>
    <t>2005-05-09 10:30:33 EDT</t>
  </si>
  <si>
    <t>[('CREATED', '2005-05-09 10:29 EDT'), ('enhancement', '2005-05-09 10:30:33 EDT', 'bmiller'), ('RESOLVED', '2005-05-09 10:36:42 EDT', 'dirk_baeumer'), ('WORKSFORME', '2005-05-09 10:36:42 EDT', 'dirk_baeumer')]</t>
  </si>
  <si>
    <t>2005-05-11 16:21:19 EDT</t>
  </si>
  <si>
    <t>2005-05-09 17:51 EDT</t>
  </si>
  <si>
    <t>2005-05-09 18:01:24 EDT</t>
  </si>
  <si>
    <t>2005-05-11 16:21:34 EDT</t>
  </si>
  <si>
    <t>[('CREATED', '2005-05-09 17:51 EDT'), ('non-NLSed strings in JDT UI', '2005-05-09 18:01:24 EDT', 'daniel_megert'), ('RESOLVED', '2005-05-11 16:21:19 EDT', 'daniel_megert'), ('FIXED', '2005-05-11 16:21:19 EDT', 'daniel_megert'), ('3.1 M7', '2005-05-11 16:21:19 EDT', 'daniel_megert'), ('andre_weinand', '2005-05-11 16:21:34 EDT', 'daniel_megert')]</t>
  </si>
  <si>
    <t>2005-05-18 04:04:42 EDT</t>
  </si>
  <si>
    <t>2005-05-27 10:48:31 EDT</t>
  </si>
  <si>
    <t>2005-05-10 12:59 EDT</t>
  </si>
  <si>
    <t>2005-05-10 13:24:20 EDT</t>
  </si>
  <si>
    <t>[('CREATED', '2005-05-10 12:59 EDT'), ('dirk_baeumer', '2005-05-10 13:24:20 EDT', 'martinae'), ('3.1', '2005-05-10 16:44:42 EDT', 'dirk_baeumer'), ('RESOLVED', '2005-05-18 04:04:42 EDT', 'dirk_baeumer'), ('FIXED', '2005-05-18 04:04:42 EDT', 'dirk_baeumer'), ('3.1 RC1', '2005-05-18 04:04:42 EDT', 'dirk_baeumer'), ('VERIFIED', '2005-05-27 10:48:31 EDT', 'tobias_widmer')]</t>
  </si>
  <si>
    <t>2005-05-27 10:56:58 EDT</t>
  </si>
  <si>
    <t>2005-05-10 16:33 EDT</t>
  </si>
  <si>
    <t>2005-05-10 16:33:26 EDT</t>
  </si>
  <si>
    <t>[('CREATED', '2005-05-10 16:33 EDT'), ('3.1', '2005-05-10 16:33:26 EDT', 'dirk_baeumer'), ('RESOLVED', '2005-05-27 10:56:58 EDT', 'markus.kell.r'), ('WORKSFORME', '2005-05-27 10:56:58 EDT', 'markus.kell.r'), ('3.1 RC1', '2005-05-27 10:56:58 EDT', 'markus.kell.r')]</t>
  </si>
  <si>
    <t>2005-05-19 11:24:34 EDT</t>
  </si>
  <si>
    <t>2005-05-30 06:29:28 EDT</t>
  </si>
  <si>
    <t>2005-05-10 18:27 EDT</t>
  </si>
  <si>
    <t>2005-05-10 18:27:20 EDT</t>
  </si>
  <si>
    <t>[('CREATED', '2005-05-10 18:27 EDT'), ('3.1', '2005-05-10 18:27:20 EDT', 'dirk_baeumer'), ('RESOLVED', '2005-05-19 11:24:34 EDT', 'tobias_widmer'), ('FIXED', '2005-05-19 11:24:34 EDT', 'tobias_widmer'), ('3.1 RC1', '2005-05-19 11:24:34 EDT', 'tobias_widmer'), ('VERIFIED', '2005-05-30 06:29:28 EDT', 'tobias_widmer')]</t>
  </si>
  <si>
    <t>2005-06-01 09:14:26 EDT</t>
  </si>
  <si>
    <t>2005-06-08 06:39:03 EDT</t>
  </si>
  <si>
    <t>2005-05-10 18:27:56 EDT</t>
  </si>
  <si>
    <t>[('CREATED', '2005-05-10 18:27 EDT'), ('3.1', '2005-05-10 18:27:56 EDT', 'dirk_baeumer'), ('RESOLVED', '2005-06-01 09:14:26 EDT', 'markus.kell.r'), ('FIXED', '2005-06-01 09:14:26 EDT', 'markus.kell.r'), ('3.1 RC2', '2005-06-01 09:14:26 EDT', 'markus.kell.r'), ('VERIFIED', '2005-06-08 06:39:03 EDT', 'markus.kell.r')]</t>
  </si>
  <si>
    <t>2005-05-17 10:38:44 EDT</t>
  </si>
  <si>
    <t>2005-05-27 11:24:11 EDT</t>
  </si>
  <si>
    <t>2005-05-10 18:28 EDT</t>
  </si>
  <si>
    <t>2005-05-10 18:28:42 EDT</t>
  </si>
  <si>
    <t>[('CREATED', '2005-05-10 18:28 EDT'), ('3.1', '2005-05-10 18:28:42 EDT', 'dirk_baeumer'), ('RESOLVED', '2005-05-17 10:38:44 EDT', 'dirk_baeumer'), ('FIXED', '2005-05-17 10:38:44 EDT', 'dirk_baeumer'), ('3.1 RC1', '2005-05-17 10:38:44 EDT', 'dirk_baeumer'), ('VERIFIED', '2005-05-27 11:24:11 EDT', 'tobias_widmer')]</t>
  </si>
  <si>
    <t>2005-05-19 11:28:01 EDT</t>
  </si>
  <si>
    <t>2005-05-30 06:29:50 EDT</t>
  </si>
  <si>
    <t>2005-05-10 18:29 EDT</t>
  </si>
  <si>
    <t>2005-05-10 18:29:27 EDT</t>
  </si>
  <si>
    <t>[('CREATED', '2005-05-10 18:29 EDT'), ('3.1', '2005-05-10 18:29:27 EDT', 'dirk_baeumer'), ('RESOLVED', '2005-05-19 11:28:01 EDT', 'tobias_widmer'), ('FIXED', '2005-05-19 11:28:01 EDT', 'tobias_widmer'), ('3.1 RC1', '2005-05-19 11:28:01 EDT', 'tobias_widmer'), ('VERIFIED', '2005-05-30 06:29:50 EDT', 'tobias_widmer')]</t>
  </si>
  <si>
    <t>2005-05-19 11:30:01 EDT</t>
  </si>
  <si>
    <t>2005-05-30 06:30:12 EDT</t>
  </si>
  <si>
    <t>2005-05-10 18:30:03 EDT</t>
  </si>
  <si>
    <t>[('CREATED', '2005-05-10 18:29 EDT'), ('3.1', '2005-05-10 18:30:03 EDT', 'dirk_baeumer'), ('RESOLVED', '2005-05-19 11:30:01 EDT', 'tobias_widmer'), ('FIXED', '2005-05-19 11:30:01 EDT', 'tobias_widmer'), ('3.1 RC1', '2005-05-19 11:30:01 EDT', 'tobias_widmer'), ('VERIFIED', '2005-05-30 06:30:12 EDT', 'tobias_widmer')]</t>
  </si>
  <si>
    <t>2005-05-11 12:31:34 EDT</t>
  </si>
  <si>
    <t>2005-05-11 04:58 EDT</t>
  </si>
  <si>
    <t>2005-05-11 08:43:43 EDT</t>
  </si>
  <si>
    <t>[('CREATED', '2005-05-11 04:58 EDT'), ('dirk_baeumer', '2005-05-11 08:43:43 EDT', 'martinae'), ('martin_aeschlimann', '2005-05-11 09:03:11 EDT', 'dirk_baeumer'), ('RESOLVED', '2005-05-11 12:31:34 EDT', 'dirk_baeumer'), ('WORKSFORME', '2005-05-11 12:31:34 EDT', 'dirk_baeumer')]</t>
  </si>
  <si>
    <t>2005-05-11 05:39 EDT</t>
  </si>
  <si>
    <t>2006-07-05 06:56:45 EDT</t>
  </si>
  <si>
    <t>2020-09-07 17:58:57 EDT</t>
  </si>
  <si>
    <t>[('CREATED', '2005-05-11 05:39 EDT'), ('ASSIGNED', '2006-07-05 06:56:45 EDT', 'markus.kell.r'), ('[infer type arguments] Some errors after run', '2006-07-05 06:56:45 EDT', 'markus.kell.r'), ('stalebug', '2020-09-07 17:58:57 EDT', 'genie')]</t>
  </si>
  <si>
    <t>2020-05-18 16:46:44 EDT</t>
  </si>
  <si>
    <t>2005-05-11 05:52 EDT</t>
  </si>
  <si>
    <t>2005-05-11 08:47:09 EDT</t>
  </si>
  <si>
    <t>[('CREATED', '2005-05-11 05:52 EDT'), ('markus_keller', '2005-05-11 08:47:09 EDT', 'martinae'), ('[Extract Constant] Not working with generic type using Wildcard', '2005-05-11 08:47:09 EDT', 'martinae'), ('[extract constant] Not working with generic type using Wildcard', '2006-08-03 12:38:03 EDT', 'martinae'), ('ASSIGNED', '2014-05-13 07:33:59 EDT', 'markus.kell.r'), ('jdt-ui-inbox', '2014-05-13 07:33:59 EDT', 'markus.kell.r'), ('[extract constant] computes wrong insertion point with generic type using wildcard', '2014-05-13 07:33:59 EDT', 'markus.kell.r'), ('stalebug', '2020-05-18 16:46:44 EDT', 'genie'), ('WONTFIX', '2020-05-18 16:46:44 EDT', 'genie'), ('CLOSED', '2020-05-18 16:46:44 EDT', 'genie')]</t>
  </si>
  <si>
    <t>2020-02-22 07:14:01 EST</t>
  </si>
  <si>
    <t>2005-05-11 07:33 EDT</t>
  </si>
  <si>
    <t>2005-05-11 09:21:25 EDT</t>
  </si>
  <si>
    <t>[('CREATED', '2005-05-11 07:33 EDT'), ('dirk_baeumer', '2005-05-11 09:21:25 EDT', 'martinae'), ('Platform', '2005-05-11 12:40:31 EDT', 'dirk_baeumer'), ('dirk_baeumer', '2005-05-11 12:40:31 EDT', 'dirk_baeumer'), ('platform-resources-inbox', '2005-05-11 12:40:31 EDT', 'dirk_baeumer'), ('Resources', '2005-05-11 12:40:31 EDT', 'dirk_baeumer'), ('jdt-ui-inbox', '2005-05-18 16:14:45 EDT', 'john.arthorne'), ('UI', '2005-05-18 16:14:45 EDT', 'john.arthorne'), ('JDT', '2005-05-18 16:14:45 EDT', 'john.arthorne'), (nan, '2005-05-26 11:13:40 EDT', 'dirk_baeumer'), ('ASSIGNED', '2005-05-26 11:13:40 EDT', 'dirk_baeumer'), ('[refactoring] Refactorings show fatal error status in watch/edit mode', '2005-05-26 11:13:40 EDT', 'dirk_baeumer'), ('3.2', '2005-05-26 11:13:40 EDT', 'dirk_baeumer'), ('3.3', '2006-04-27 13:45:13 EDT', 'martinae'), ('tobias_widmer', '2006-06-09 06:04:11 EDT', 'martinae'), ('NEW', '2006-06-09 06:04:11 EDT', 'martinae'), ('ASSIGNED', '2006-06-09 06:08:17 EDT', 'tobias_widmer'), ('[general] refactorings show fatal error status in watch/edit mode [refactoring]', '2006-06-09 06:08:17 EDT', 'tobias_widmer'), ('---', '2007-04-30 06:51:43 EDT', 'tobias_widmer'), ('jdt-ui-inbox', '2007-06-14 10:43:17 EDT', 'martinae'), ('NEW', '2007-06-14 10:43:17 EDT', 'martinae'), ('stalebug', '2020-02-22 07:14:01 EST', 'genie'), ('CLOSED', '2020-02-22 07:14:01 EST', 'genie'), ('WONTFIX', '2020-02-22 07:14:01 EST', 'genie')]</t>
  </si>
  <si>
    <t>2005-05-11 08:55 EDT</t>
  </si>
  <si>
    <t>2005-05-11 09:21:54 EDT</t>
  </si>
  <si>
    <t>2019-10-07 15:05:18 EDT</t>
  </si>
  <si>
    <t>[('CREATED', '2005-05-11 08:55 EDT'), ('markus_keller', '2005-05-11 09:21:54 EDT', 'martinae'), ('ASSIGNED', '2006-07-05 06:57:30 EDT', 'markus.kell.r'), ('[infer type arguments] Internal error with wildcards in constructor', '2006-07-05 06:57:30 EDT', 'markus.kell.r'), ('daniel_megert', '2009-03-26 12:20:29 EDT', 'daniel_megert'), ('stalebug', '2019-10-07 15:05:18 EDT', 'genie')]</t>
  </si>
  <si>
    <t>2006-06-09 12:00:42 EDT</t>
  </si>
  <si>
    <t>2005-05-11 09:06 EDT</t>
  </si>
  <si>
    <t>2005-05-11 09:22:22 EDT</t>
  </si>
  <si>
    <t>[('CREATED', '2005-05-11 09:06 EDT'), ('markus_keller', '2005-05-11 09:22:22 EDT', 'martinae'), ('RESOLVED', '2006-06-09 12:00:42 EDT', 'markus.kell.r'), ('WORKSFORME', '2006-06-09 12:00:42 EDT', 'markus.kell.r')]</t>
  </si>
  <si>
    <t>95104</t>
  </si>
  <si>
    <t>2005-05-11 09:41:49 EDT</t>
  </si>
  <si>
    <t>2005-05-13 05:37:45 EDT</t>
  </si>
  <si>
    <t>2005-05-11 09:11 EDT</t>
  </si>
  <si>
    <t>2005-05-11 09:23:39 EDT</t>
  </si>
  <si>
    <t>2005-05-19 09:46:08 EDT</t>
  </si>
  <si>
    <t>[('CREATED', '2005-05-11 09:11 EDT'), ('tobias_widmer', '2005-05-11 09:23:39 EDT', 'martinae'), ('RESOLVED', '2005-05-11 09:41:49 EDT', 'tobias_widmer'), ('FIXED', '2005-05-11 09:41:49 EDT', 'tobias_widmer'), ('3.1 M7', '2005-05-13 05:37:45 EDT', 'tobias_widmer'), ('VERIFIED', '2005-05-13 05:37:45 EDT', 'tobias_widmer'), ('95104', '2005-05-18 11:15:05 EDT', 'tobias_widmer'), ('3.1 RC1', '2005-05-19 09:46:08 EDT', 'tobias_widmer')]</t>
  </si>
  <si>
    <t>2005-05-11 09:13 EDT</t>
  </si>
  <si>
    <t>2006-08-03 09:57:54 EDT</t>
  </si>
  <si>
    <t>2019-12-13 18:41:22 EST</t>
  </si>
  <si>
    <t>[('CREATED', '2005-05-11 09:13 EDT'), ('[change method signature] shows unnecessary status entries if user vetoes file modifications', '2006-08-03 09:57:54 EDT', 'martinae'), ('stalebug', '2019-12-13 18:41:22 EST', 'genie')]</t>
  </si>
  <si>
    <t>RESOLVED  DUPLICATE  of bug 86447</t>
  </si>
  <si>
    <t>2005-06-10 05:54:30 EDT</t>
  </si>
  <si>
    <t>2005-05-11 09:26 EDT</t>
  </si>
  <si>
    <t>2005-05-11 11:40:59 EDT</t>
  </si>
  <si>
    <t>[('CREATED', '2005-05-11 09:26 EDT'), ('markus_keller', '2005-05-11 11:40:59 EDT', 'martinae'), ('RESOLVED', '2005-06-10 05:54:30 EDT', 'markus.kell.r'), ('DUPLICATE', '2005-06-10 05:54:30 EDT', 'markus.kell.r')]</t>
  </si>
  <si>
    <t>RESOLVED  DUPLICATE  of bug 97207</t>
  </si>
  <si>
    <t>2005-06-10 05:57:20 EDT</t>
  </si>
  <si>
    <t>2005-05-11 09:28 EDT</t>
  </si>
  <si>
    <t>2005-05-11 11:41:30 EDT</t>
  </si>
  <si>
    <t>[('CREATED', '2005-05-11 09:28 EDT'), ('markus_keller', '2005-05-11 11:41:30 EDT', 'martinae'), ('RESOLVED', '2005-06-10 05:57:20 EDT', 'markus.kell.r'), ('DUPLICATE', '2005-06-10 05:57:20 EDT', 'markus.kell.r')]</t>
  </si>
  <si>
    <t>2005-05-18 03:55:13 EDT</t>
  </si>
  <si>
    <t>2005-05-30 09:46:41 EDT</t>
  </si>
  <si>
    <t>2005-05-11 09:34 EDT</t>
  </si>
  <si>
    <t>2005-05-11 09:34:47 EDT</t>
  </si>
  <si>
    <t>[('CREATED', '2005-05-11 09:34 EDT'), ('3.1 RC1', '2005-05-11 09:34:47 EDT', 'dirk_baeumer'), ('RESOLVED', '2005-05-18 03:55:13 EDT', 'markus.kell.r'), ('FIXED', '2005-05-18 03:55:13 EDT', 'markus.kell.r'), ('saff', '2005-05-30 09:27:45 EDT', 'markus.kell.r'), ('VERIFIED', '2005-05-30 09:46:41 EDT', 'markus.kell.r')]</t>
  </si>
  <si>
    <t>2005-06-24 06:20:03 EDT</t>
  </si>
  <si>
    <t>2005-05-11 09:41 EDT</t>
  </si>
  <si>
    <t>2005-06-24 05:08:28 EDT</t>
  </si>
  <si>
    <t>[('CREATED', '2005-05-11 09:41 EDT'), ('frederic_fusier', '2005-06-24 05:08:28 EDT', 'frederic_fusier'), ('[search] declaration of enum items returns wrong results', '2005-06-24 05:08:28 EDT', 'frederic_fusier'), ('jdt-ui-inbox', '2005-06-24 05:41:54 EDT', 'frederic_fusier'), ('UI', '2005-06-24 05:41:54 EDT', 'frederic_fusier'), ('frederic_fusier', '2005-06-24 05:42:46 EDT', 'frederic_fusier'), ('[search] search for fields declaration returns wrong results', '2005-06-24 05:52:55 EDT', 'frederic_fusier'), ('RESOLVED', '2005-06-24 06:20:03 EDT', 'dirk_baeumer'), ('WONTFIX', '2005-06-24 06:20:03 EDT', 'dirk_baeumer')]</t>
  </si>
  <si>
    <t>2005-05-19 07:11:57 EDT</t>
  </si>
  <si>
    <t>2005-05-30 09:20:40 EDT</t>
  </si>
  <si>
    <t>2005-05-11 10:21 EDT</t>
  </si>
  <si>
    <t>2005-05-11 10:22:46 EDT</t>
  </si>
  <si>
    <t>[('CREATED', '2005-05-11 10:21 EDT'), ('[Generalize Type] Strange behaviour running on generic', '2005-05-11 10:22:46 EDT', 'ENJ'), ('markus_keller', '2005-05-11 13:08:15 EDT', 'martinae'), ('dirk_baeumer, tip', '2005-05-12 04:41:21 EDT', 'markus.kell.r'), ('3.1 RC1', '2005-05-12 04:41:21 EDT', 'markus.kell.r'), ('RESOLVED', '2005-05-19 07:11:57 EDT', 'markus.kell.r'), ('FIXED', '2005-05-19 07:11:57 EDT', 'markus.kell.r'), ('VERIFIED', '2005-05-30 09:20:40 EDT', 'dirk_baeumer')]</t>
  </si>
  <si>
    <t>2005-05-24 13:20:25 EDT</t>
  </si>
  <si>
    <t>2009-08-30 02:34:47 EDT</t>
  </si>
  <si>
    <t>2005-05-11 10:27 EDT</t>
  </si>
  <si>
    <t>2005-05-11 13:10:46 EDT</t>
  </si>
  <si>
    <t>[('CREATED', '2005-05-11 10:27 EDT'), ('dirk_baeumer', '2005-05-11 13:10:46 EDT', 'martinae'), ('enhancement', '2005-05-11 13:41:32 EDT', 'dirk_baeumer'), ('[refactoring] Combine rename and move type refactorings', '2005-05-11 13:41:32 EDT', 'dirk_baeumer'), ('RESOLVED', '2005-05-24 13:20:25 EDT', 'dirk_baeumer'), ('P4', '2005-05-24 13:20:25 EDT', 'dirk_baeumer'), ('LATER', '2005-05-24 13:20:25 EDT', 'dirk_baeumer'), ('WONTFIX', '2009-08-30 02:34:47 EDT', 'webmaster'), ('jdt-ui-inbox', '2009-08-30 02:34:47 EDT', 'webmaster')]</t>
  </si>
  <si>
    <t>2005-05-11 10:32 EDT</t>
  </si>
  <si>
    <t>2005-05-11 13:44:05 EDT</t>
  </si>
  <si>
    <t>2018-11-04 15:19:09 EST</t>
  </si>
  <si>
    <t>[('CREATED', '2005-05-11 10:32 EDT'), ('dirk_baeumer', '2005-05-11 13:44:05 EDT', 'martinae'), ('markus_keller', '2005-08-08 06:27:16 EDT', 'markus.kell.r'), ('[refactoring] [inline] Problems invoking on Method with varargs', '2006-04-05 11:26:46 EDT', 'dirk_baeumer'), ('[inline] Problems invoking on Method with varargs', '2006-06-02 06:24:01 EDT', 'martinae'), ('markus_keller', '2006-06-02 06:24:01 EDT', 'martinae'), ('BrianMiller', '2009-03-06 10:39:33 EST', 'Brian.Miller'), ('stalebug', '2018-11-04 15:19:09 EST', 'genie')]</t>
  </si>
  <si>
    <t>2005-05-17 05:12:41 EDT</t>
  </si>
  <si>
    <t>2005-05-30 09:31:50 EDT</t>
  </si>
  <si>
    <t>2005-05-12 10:32:57 EDT</t>
  </si>
  <si>
    <t>2005-05-11 10:47 EDT</t>
  </si>
  <si>
    <t>2005-05-11 10:47:59 EDT</t>
  </si>
  <si>
    <t>[('CREATED', '2005-05-11 10:47 EDT'), ('RESOLVED', '2005-05-11 10:47:59 EDT', 'tobias_widmer'), ('FIXED', '2005-05-11 10:47:59 EDT', 'tobias_widmer'), ('3.1 M7', '2005-05-11 10:47:59 EDT', 'tobias_widmer'), ('REOPENED', '2005-05-12 10:32:57 EDT', 'martinae'), ('---', '2005-05-12 10:32:57 EDT', 'martinae'), ('3.1', '2005-05-12 10:32:57 EDT', 'martinae'), ('dirk_baeumer', '2005-05-17 05:12:41 EDT', 'tobias_widmer'), ('RESOLVED', '2005-05-17 05:12:41 EDT', 'tobias_widmer'), ('FIXED', '2005-05-17 05:12:41 EDT', 'tobias_widmer'), ('3.1 RC1', '2005-05-17 05:12:41 EDT', 'tobias_widmer'), ('saff', '2005-05-30 08:49:08 EDT', 'tobias_widmer'), ('VERIFIED', '2005-05-30 09:31:50 EDT', 'tobias_widmer')]</t>
  </si>
  <si>
    <t>2005-05-11 12:54:46 EDT</t>
  </si>
  <si>
    <t>2020-04-22 15:40:41 EDT</t>
  </si>
  <si>
    <t>2005-05-12 10:31:00 EDT</t>
  </si>
  <si>
    <t>2005-05-11 12:30 EDT</t>
  </si>
  <si>
    <t>[('CREATED', '2005-05-11 12:30 EDT'), ('RESOLVED', '2005-05-11 12:54:46 EDT', 'tobias_widmer'), ('FIXED', '2005-05-11 12:54:46 EDT', 'tobias_widmer'), ('3.1 M7', '2005-05-11 12:54:46 EDT', 'tobias_widmer'), ('---', '2005-05-12 10:31:00 EDT', 'martinae'), ('3.1', '2005-05-12 10:31:00 EDT', 'martinae'), ('REOPENED', '2005-05-12 10:31:00 EDT', 'martinae'), ('dirk_baeumer', '2005-05-17 05:17:16 EDT', 'tobias_widmer'), ('3.2', '2005-05-25 09:34:07 EDT', 'dirk_baeumer'), ('ASSIGNED', '2006-04-27 04:42:21 EDT', 'tobias_widmer'), ('3.3', '2006-04-27 04:42:21 EDT', 'tobias_widmer'), ('[general] refactorings handle file modification vetos differently [refactoring]', '2006-05-29 05:23:07 EDT', 'tobias_widmer'), ('markus_keller', '2007-02-16 04:49:45 EST', 'martinae'), ('NEW', '2007-02-16 04:49:45 EST', 'martinae'), ('3.4', '2007-05-11 19:06:35 EDT', 'markus.kell.r'), ('3.5', '2008-05-10 12:25:08 EDT', 'markus.kell.r'), ('ASSIGNED', '2009-05-06 06:59:37 EDT', 'markus.kell.r'), ('---', '2009-05-06 06:59:37 EDT', 'markus.kell.r'), ('CLOSED', '2020-04-22 15:40:41 EDT', 'genie'), ('stalebug', '2020-04-22 15:40:41 EDT', 'genie'), ('WONTFIX', '2020-04-22 15:40:41 EDT', 'genie')]</t>
  </si>
  <si>
    <t>2005-05-11 13:00 EDT</t>
  </si>
  <si>
    <t>2005-05-11 14:26:13 EDT</t>
  </si>
  <si>
    <t>2007-06-14 10:46:35 EDT</t>
  </si>
  <si>
    <t>[('CREATED', '2005-05-11 13:00 EDT'), ('tobias_widmer', '2005-05-11 14:26:13 EDT', 'martinae'), ('enhancement', '2005-05-11 14:26:13 EDT', 'martinae'), ('[push down] annotation as member type results in wrong Import [refactoring]', '2006-05-29 06:10:23 EDT', 'tobias_widmer'), ('jdt-ui-inbox', '2007-06-14 10:46:35 EDT', 'martinae')]</t>
  </si>
  <si>
    <t>2005-05-23 08:47:12 EDT</t>
  </si>
  <si>
    <t>2005-05-30 09:06:29 EDT</t>
  </si>
  <si>
    <t>2005-05-11 13:05 EDT</t>
  </si>
  <si>
    <t>2005-05-12 04:42:06 EDT</t>
  </si>
  <si>
    <t>[('CREATED', '2005-05-11 13:05 EDT'), ('ASSIGNED', '2005-05-12 04:42:06 EDT', 'markus.kell.r'), ('3.1 RC1', '2005-05-12 04:42:06 EDT', 'markus.kell.r'), ('RESOLVED', '2005-05-23 08:47:12 EDT', 'markus.kell.r'), ('FIXED', '2005-05-23 08:47:12 EDT', 'markus.kell.r'), ('VERIFIED', '2005-05-30 09:06:29 EDT', 'daniel_megert')]</t>
  </si>
  <si>
    <t>2005-05-24 04:27:50 EDT</t>
  </si>
  <si>
    <t>2005-05-30 09:11:49 EDT</t>
  </si>
  <si>
    <t>2005-05-11 13:33 EDT</t>
  </si>
  <si>
    <t>2005-05-11 14:31:32 EDT</t>
  </si>
  <si>
    <t>[('CREATED', '2005-05-11 13:33 EDT'), ('dirk_baeumer', '2005-05-11 14:31:32 EDT', 'martinae'), ('RESOLVED', '2005-05-24 04:27:50 EDT', 'dirk_baeumer'), ('FIXED', '2005-05-24 04:27:50 EDT', 'dirk_baeumer'), ('3.1 RC1', '2005-05-24 04:27:50 EDT', 'dirk_baeumer'), ('VERIFIED', '2005-05-30 09:11:49 EDT', 'dirk_baeumer')]</t>
  </si>
  <si>
    <t>2005-05-17 05:54:58 EDT</t>
  </si>
  <si>
    <t>2005-05-27 11:25:27 EDT</t>
  </si>
  <si>
    <t>2005-05-11 13:41 EDT</t>
  </si>
  <si>
    <t>2005-05-11 13:44:48 EDT</t>
  </si>
  <si>
    <t>[('CREATED', '2005-05-11 13:41 EDT'), ('3.1 RC1', '2005-05-11 13:44:48 EDT', 'dirk_baeumer'), ('RESOLVED', '2005-05-17 05:54:58 EDT', 'tobias_widmer'), ('FIXED', '2005-05-17 05:54:58 EDT', 'tobias_widmer'), ('VERIFIED', '2005-05-27 11:25:27 EDT', 'tobias_widmer')]</t>
  </si>
  <si>
    <t>2008-04-26 17:42:11 EDT</t>
  </si>
  <si>
    <t>2005-05-11 13:44 EDT</t>
  </si>
  <si>
    <t>2005-05-19 04:29:31 EDT</t>
  </si>
  <si>
    <t>[('CREATED', '2005-05-11 13:44 EDT'), ('rfuhrer', '2005-05-19 04:29:31 EDT', 'dirk_baeumer'), ('[refactoring] Introduce Factory does not check for existing factory methods', '2005-05-19 04:29:31 EDT', 'dirk_baeumer'), ('jdt-ui-inbox', '2006-06-02 06:05:09 EDT', 'martinae'), ('[introduce factory] does not check for existing factory methods', '2006-06-02 06:05:09 EDT', 'martinae'), ('martin_aeschlimann', '2008-04-26 17:42:11 EDT', 'martinae'), ('RESOLVED', '2008-04-26 17:42:11 EDT', 'martinae'), ('contributed', '2008-04-26 17:42:11 EDT', 'martinae'), ('FIXED', '2008-04-26 17:42:11 EDT', 'martinae'), ('3.4 M7', '2008-04-26 17:42:11 EDT', 'martinae')]</t>
  </si>
  <si>
    <t>2005-05-12 05:46 EDT</t>
  </si>
  <si>
    <t>2005-05-12 12:07:34 EDT</t>
  </si>
  <si>
    <t>2018-12-27 04:40:10 EST</t>
  </si>
  <si>
    <t>[('CREATED', '2005-05-12 05:46 EDT'), ('jdt-ui-inbox', '2005-05-12 12:07:34 EDT', 'valentam'), ('UI', '2005-05-12 12:07:34 EDT', 'valentam'), ('JDT', '2005-05-12 12:07:34 EDT', 'valentam'), ('dirk_baeumer', '2005-05-13 05:57:26 EDT', 'martinae'), ('[refactoring] [ltk] Inappropriate status message if user vetoes file modification', '2006-04-05 11:30:51 EDT', 'dirk_baeumer'), ('tobias_widmer', '2006-04-05 11:30:51 EDT', 'dirk_baeumer'), ('[ltk] inappropriate status message if user vetoes file modification [refactoring]', '2006-05-29 06:10:52 EDT', 'tobias_widmer'), ('jdt-ui-inbox', '2007-06-14 10:44:20 EDT', 'martinae'), ('stalebug', '2018-12-27 04:40:10 EST', 'genie')]</t>
  </si>
  <si>
    <t>2005-05-13 05:15:20 EDT</t>
  </si>
  <si>
    <t>2005-05-30 07:00:44 EDT</t>
  </si>
  <si>
    <t>2005-05-12 09:03 EDT</t>
  </si>
  <si>
    <t>2005-05-13 05:12:55 EDT</t>
  </si>
  <si>
    <t>[('CREATED', '2005-05-12 09:03 EDT'), ('martin_aeschlimann', '2005-05-13 05:12:55 EDT', 'martinae'), ('RESOLVED', '2005-05-13 05:15:20 EDT', 'martinae'), ('FIXED', '2005-05-13 05:15:20 EDT', 'martinae'), ('3.1 RC1', '2005-05-13 05:15:20 EDT', 'martinae'), ('VERIFIED', '2005-05-30 07:00:44 EDT', 'daniel_megert')]</t>
  </si>
  <si>
    <t>2005-09-28 04:46:17 EDT</t>
  </si>
  <si>
    <t>2005-11-01 10:07:09 EST</t>
  </si>
  <si>
    <t>2005-09-27 14:32:51 EDT</t>
  </si>
  <si>
    <t>2005-05-12 11:28 EDT</t>
  </si>
  <si>
    <t>2005-05-13 05:55:46 EDT</t>
  </si>
  <si>
    <t>[('CREATED', '2005-05-12 11:28 EDT'), ('markus_keller', '2005-05-13 05:55:46 EDT', 'martinae'), ('martin_aeschlimann, markus_keller', '2005-05-13 06:08:16 EDT', 'markus.kell.r'), ('tobias_widmer', '2005-05-13 06:08:16 EDT', 'markus.kell.r'), ('phm', '2005-09-21 06:57:33 EDT', 'tobias_widmer'), ('RESOLVED', '2005-09-23 08:43:28 EDT', 'tobias_widmer'), ('FIXED', '2005-09-23 08:43:28 EDT', 'tobias_widmer'), ('3.2 M3', '2005-09-23 08:43:28 EDT', 'tobias_widmer'), ('tobias_widmer', '2005-09-27 14:32:51 EDT', 'markus.kell.r'), ('REOPENED', '2005-09-27 14:32:51 EDT', 'markus.kell.r'), ('---', '2005-09-27 14:32:51 EDT', 'markus.kell.r'), ('RESOLVED', '2005-09-28 04:46:17 EDT', 'tobias_widmer'), ('FIXED', '2005-09-28 04:46:17 EDT', 'tobias_widmer'), ('philip_mayer', '2005-09-30 04:42:05 EDT', 'markus.kell.r'), ('VERIFIED', '2005-11-01 10:07:09 EST', 'dirk_baeumer')]</t>
  </si>
  <si>
    <t>RESOLVED  DUPLICATE  of bug 99392</t>
  </si>
  <si>
    <t>2005-06-21 05:16:30 EDT</t>
  </si>
  <si>
    <t>2005-05-13 05:44 EDT</t>
  </si>
  <si>
    <t>2005-05-13 09:59:28 EDT</t>
  </si>
  <si>
    <t>[('CREATED', '2005-05-13 05:44 EDT'), ('tobias_widmer', '2005-05-13 09:59:28 EDT', 'martinae'), ('RESOLVED', '2005-06-21 05:16:30 EDT', 'tobias_widmer'), ('DUPLICATE', '2005-06-21 05:16:30 EDT', 'tobias_widmer')]</t>
  </si>
  <si>
    <t>94676</t>
  </si>
  <si>
    <t>2005-05-18 11:15:05 EDT</t>
  </si>
  <si>
    <t>2005-05-30 07:18:51 EDT</t>
  </si>
  <si>
    <t>2005-05-13 06:57 EDT</t>
  </si>
  <si>
    <t>2005-05-13 10:15:47 EDT</t>
  </si>
  <si>
    <t>[('CREATED', '2005-05-13 06:57 EDT'), ('tobias_widmer', '2005-05-13 10:15:47 EDT', 'martinae'), ('FIXED', '2005-05-18 11:15:05 EDT', 'tobias_widmer'), ('3.1 RC1', '2005-05-18 11:15:05 EDT', 'tobias_widmer'), ('dirk_baeumer', '2005-05-18 11:15:05 EDT', 'tobias_widmer'), ('94676', '2005-05-18 11:15:05 EDT', 'tobias_widmer'), ('RESOLVED', '2005-05-18 11:15:05 EDT', 'tobias_widmer'), ('VERIFIED', '2005-05-30 07:18:51 EDT', 'daniel_megert')]</t>
  </si>
  <si>
    <t>2005-05-24 05:26:16 EDT</t>
  </si>
  <si>
    <t>2005-05-30 07:03:06 EDT</t>
  </si>
  <si>
    <t>2005-05-13 10:17 EDT</t>
  </si>
  <si>
    <t>2005-05-17 05:09:19 EDT</t>
  </si>
  <si>
    <t>[('CREATED', '2005-05-13 10:17 EDT'), ('[refactoring] Change method signature refuses to operate on annotation member', '2005-05-17 05:09:19 EDT', 'dirk_baeumer'), ('3.1', '2005-05-17 05:09:19 EDT', 'dirk_baeumer'), ('markus_keller', '2005-05-22 12:48:39 EDT', 'dirk_baeumer'), ('FIXED', '2005-05-24 05:26:16 EDT', 'markus.kell.r'), ('3.1 RC1', '2005-05-24 05:26:16 EDT', 'markus.kell.r'), ('RESOLVED', '2005-05-24 05:26:16 EDT', 'markus.kell.r'), ('VERIFIED', '2005-05-30 07:03:06 EDT', 'markus.kell.r')]</t>
  </si>
  <si>
    <t>2005-05-17 05:11:21 EDT</t>
  </si>
  <si>
    <t>2005-05-13 10:45 EDT</t>
  </si>
  <si>
    <t>[('CREATED', '2005-05-13 10:45 EDT'), ('RESOLVED', '2005-05-17 05:11:21 EDT', 'dirk_baeumer'), ('WONTFIX', '2005-05-17 05:11:21 EDT', 'dirk_baeumer')]</t>
  </si>
  <si>
    <t>2005-05-24 08:17:16 EDT</t>
  </si>
  <si>
    <t>2005-05-30 06:53:58 EDT</t>
  </si>
  <si>
    <t>2005-05-13 10:53 EDT</t>
  </si>
  <si>
    <t>2005-05-17 05:12:30 EDT</t>
  </si>
  <si>
    <t>[('CREATED', '2005-05-13 10:53 EDT'), ('dirk_baeumer', '2005-05-17 05:12:30 EDT', 'dirk_baeumer'), ('[refactoring] Inline method on class with varargs constructor', '2005-05-17 05:12:30 EDT', 'dirk_baeumer'), ('3.1', '2005-05-17 05:12:30 EDT', 'dirk_baeumer'), ('3.1 RC1', '2005-05-24 08:07:36 EDT', 'dirk_baeumer'), ('FIXED', '2005-05-24 08:17:16 EDT', 'dirk_baeumer'), ('RESOLVED', '2005-05-24 08:17:16 EDT', 'dirk_baeumer'), ('VERIFIED', '2005-05-30 06:53:58 EDT', 'dirk_baeumer')]</t>
  </si>
  <si>
    <t>2005-05-18 11:26:39 EDT</t>
  </si>
  <si>
    <t>2005-05-30 06:39:13 EDT</t>
  </si>
  <si>
    <t>2005-05-13 11:24 EDT</t>
  </si>
  <si>
    <t>2005-05-17 05:14:20 EDT</t>
  </si>
  <si>
    <t>[('CREATED', '2005-05-13 11:24 EDT'), ('tobias_widmer', '2005-05-17 05:14:20 EDT', 'dirk_baeumer'), ('[refactoring] NPE from convert anonymous to nested inside enum', '2005-05-17 05:14:20 EDT', 'dirk_baeumer'), ('3.1 RC1', '2005-05-17 05:14:20 EDT', 'dirk_baeumer'), ('RESOLVED', '2005-05-18 11:26:39 EDT', 'tobias_widmer'), ('FIXED', '2005-05-18 11:26:39 EDT', 'tobias_widmer'), ('VERIFIED', '2005-05-30 06:39:13 EDT', 'tobias_widmer')]</t>
  </si>
  <si>
    <t>2005-05-19 07:08:50 EDT</t>
  </si>
  <si>
    <t>2005-05-30 06:39:37 EDT</t>
  </si>
  <si>
    <t>2005-05-13 11:56 EDT</t>
  </si>
  <si>
    <t>2005-05-17 05:17:13 EDT</t>
  </si>
  <si>
    <t>[('CREATED', '2005-05-13 11:56 EDT'), ('dirk_baeumer', '2005-05-17 05:17:13 EDT', 'dirk_baeumer'), ('tobias_widmer', '2005-05-17 05:17:13 EDT', 'dirk_baeumer'), ('[refactoring] Move member type to new file creates compile error', '2005-05-17 05:17:13 EDT', 'dirk_baeumer'), ('3.1', '2005-05-17 05:17:13 EDT', 'dirk_baeumer'), ('3.1 RC1', '2005-05-19 04:28:30 EDT', 'dirk_baeumer'), ('RESOLVED', '2005-05-19 07:08:50 EDT', 'tobias_widmer'), ('FIXED', '2005-05-19 07:08:50 EDT', 'tobias_widmer'), ('VERIFIED', '2005-05-30 06:39:37 EDT', 'tobias_widmer')]</t>
  </si>
  <si>
    <t>2005-05-19 09:43:26 EDT</t>
  </si>
  <si>
    <t>2005-05-30 06:39:58 EDT</t>
  </si>
  <si>
    <t>2005-05-13 12:02 EDT</t>
  </si>
  <si>
    <t>2005-05-17 05:17:43 EDT</t>
  </si>
  <si>
    <t>[('CREATED', '2005-05-13 12:02 EDT'), ('tobias_widmer', '2005-05-17 05:17:43 EDT', 'dirk_baeumer'), ('[refactoring] Move member type to new file fails on member of enum', '2005-05-17 05:17:43 EDT', 'dirk_baeumer'), ('3.1 RC1', '2005-05-17 05:17:43 EDT', 'dirk_baeumer'), ('FIXED', '2005-05-19 09:43:26 EDT', 'tobias_widmer'), ('RESOLVED', '2005-05-19 09:43:26 EDT', 'tobias_widmer'), ('VERIFIED', '2005-05-30 06:39:58 EDT', 'tobias_widmer')]</t>
  </si>
  <si>
    <t>2005-05-19 10:20:57 EDT</t>
  </si>
  <si>
    <t>2005-05-30 06:40:17 EDT</t>
  </si>
  <si>
    <t>2005-05-13 12:16 EDT</t>
  </si>
  <si>
    <t>2005-05-17 05:19:55 EDT</t>
  </si>
  <si>
    <t>[('CREATED', '2005-05-13 12:16 EDT'), ('tobias_widmer', '2005-05-17 05:19:55 EDT', 'dirk_baeumer'), ('[refactoring] Move member type to new file misses required container field', '2005-05-17 05:19:55 EDT', 'dirk_baeumer'), ('3.1 RC1', '2005-05-17 05:19:55 EDT', 'dirk_baeumer'), ('RESOLVED', '2005-05-19 10:20:57 EDT', 'tobias_widmer'), ('FIXED', '2005-05-19 10:20:57 EDT', 'tobias_widmer'), ('VERIFIED', '2005-05-30 06:40:17 EDT', 'tobias_widmer')]</t>
  </si>
  <si>
    <t>2007-11-30 05:01:16 EST</t>
  </si>
  <si>
    <t>2005-05-13 12:41 EDT</t>
  </si>
  <si>
    <t>2005-05-17 05:28:32 EDT</t>
  </si>
  <si>
    <t>[('CREATED', '2005-05-13 12:41 EDT'), ('tobias_widmer', '2005-05-17 05:28:32 EDT', 'dirk_baeumer'), ('[refactoring] Extract local variable fails in switch.', '2005-05-17 05:28:32 EDT', 'dirk_baeumer'), ('markus_keller', '2006-04-10 07:22:50 EDT', 'tobias_widmer'), ('[extract local] fails in switch', '2006-08-03 12:25:29 EDT', 'martinae'), ('martin_aeschlimann', '2007-11-30 05:01:16 EST', 'martinae'), ('RESOLVED', '2007-11-30 05:01:16 EST', 'martinae'), ('WORKSFORME', '2007-11-30 05:01:16 EST', 'martinae'), ('3.4 M4', '2007-11-30 05:01:16 EST', 'martinae')]</t>
  </si>
  <si>
    <t>2005-05-17 05:39:55 EDT</t>
  </si>
  <si>
    <t>2009-08-30 02:22:43 EDT</t>
  </si>
  <si>
    <t>2005-05-13 14:23 EDT</t>
  </si>
  <si>
    <t>2005-05-13 16:09:56 EDT</t>
  </si>
  <si>
    <t>[('CREATED', '2005-05-13 14:23 EDT'), ('jdt-ui-inbox', '2005-05-13 16:09:56 EDT', 'frederic_fusier'), ('UI', '2005-05-13 16:09:56 EDT', 'frederic_fusier'), ('RESOLVED', '2005-05-17 05:39:55 EDT', 'dirk_baeumer'), ('LATER', '2005-05-17 05:39:55 EDT', 'dirk_baeumer'), ('[refactoring] [rename] Should not offer to change method name to same name.', '2005-05-17 05:39:55 EDT', 'dirk_baeumer'), ('WONTFIX', '2009-08-30 02:22:43 EDT', 'denis.roy')]</t>
  </si>
  <si>
    <t>2005-05-18 05:35:22 EDT</t>
  </si>
  <si>
    <t>2005-05-27 11:31:04 EDT</t>
  </si>
  <si>
    <t>2005-05-16 13:13 EDT</t>
  </si>
  <si>
    <t>2005-05-17 04:45:07 EDT</t>
  </si>
  <si>
    <t>[('CREATED', '2005-05-16 13:13 EDT'), ('dirk_baeumer', '2005-05-17 04:45:07 EDT', 'dirk_baeumer'), ('[refactoring] [inline] Inlining method of generic class gives illegal result.', '2005-05-17 04:45:07 EDT', 'dirk_baeumer'), ('3.1 RC1', '2005-05-17 14:41:15 EDT', 'dirk_baeumer'), ('RESOLVED', '2005-05-18 05:35:22 EDT', 'dirk_baeumer'), ('FIXED', '2005-05-18 05:35:22 EDT', 'dirk_baeumer'), ('VERIFIED', '2005-05-27 11:31:04 EDT', 'tobias_widmer')]</t>
  </si>
  <si>
    <t>RESOLVED  DUPLICATE  of bug 82254</t>
  </si>
  <si>
    <t>2005-05-18 09:33:14 EDT</t>
  </si>
  <si>
    <t>2005-05-18 07:19 EDT</t>
  </si>
  <si>
    <t>[('CREATED', '2005-05-18 07:19 EDT'), ('RESOLVED', '2005-05-18 09:33:14 EDT', 'dirk_baeumer'), ('DUPLICATE', '2005-05-18 09:33:14 EDT', 'dirk_baeumer')]</t>
  </si>
  <si>
    <t>2005-05-26 11:22:20 EDT</t>
  </si>
  <si>
    <t>2009-08-30 02:15:29 EDT</t>
  </si>
  <si>
    <t>2005-05-19 07:17 EDT</t>
  </si>
  <si>
    <t>2005-05-19 09:49:12 EDT</t>
  </si>
  <si>
    <t>[('CREATED', '2005-05-19 07:17 EDT'), ('tip', '2005-05-19 09:49:12 EDT', 'dirk_baeumer'), ('RESOLVED', '2005-05-26 11:22:20 EDT', 'dirk_baeumer'), ('P4', '2005-05-26 11:22:20 EDT', 'dirk_baeumer'), ('LATER', '2005-05-26 11:22:20 EDT', 'dirk_baeumer'), ('[refactoring] Generalize Type should be available on method names', '2005-05-26 11:22:20 EDT', 'dirk_baeumer'), ('WONTFIX', '2009-08-30 02:15:29 EDT', 'denis.roy')]</t>
  </si>
  <si>
    <t>2005-05-26 05:10:54 EDT</t>
  </si>
  <si>
    <t>2005-05-30 10:48:12 EDT</t>
  </si>
  <si>
    <t>2005-05-19 08:37 EDT</t>
  </si>
  <si>
    <t>2005-05-19 09:46:47 EDT</t>
  </si>
  <si>
    <t>[('CREATED', '2005-05-19 08:37 EDT'), ('tip', '2005-05-19 09:46:47 EDT', 'dirk_baeumer'), ('3.1 RC1', '2005-05-19 09:46:47 EDT', 'dirk_baeumer'), ('1', '2005-05-25 12:22:42 EDT', 'tip'), ('1', '2005-05-25 12:22:42 EDT', 'tip'), ('RESOLVED', '2005-05-26 05:10:54 EDT', 'dirk_baeumer'), ('FIXED', '2005-05-26 05:10:54 EDT', 'dirk_baeumer'), ('VERIFIED', '2005-05-30 10:48:12 EDT', 'markus.kell.r')]</t>
  </si>
  <si>
    <t>471349 (view as bug list)</t>
  </si>
  <si>
    <t>2005-10-19 13:34:58 EDT</t>
  </si>
  <si>
    <t>2005-05-19 14:10 EDT</t>
  </si>
  <si>
    <t>2005-05-20 03:47:19 EDT</t>
  </si>
  <si>
    <t>2015-06-30 03:24:49 EDT</t>
  </si>
  <si>
    <t>[('CREATED', '2005-05-19 14:10 EDT'), ('jdt-ui-inbox', '2005-05-20 03:47:19 EDT', 'frederic_fusier'), ('UI', '2005-05-20 03:47:19 EDT', 'frederic_fusier'), ('tobias_widmer', '2005-05-20 04:17:32 EDT', 'dirk_baeumer'), ('[refactoring] Refactor: Extracting constant String of sum of Strings - not considered constant expression', '2005-05-20 04:17:32 EDT', 'dirk_baeumer'), ('WONTFIX', '2005-10-19 13:34:58 EDT', 'tobias_widmer'), ('RESOLVED', '2005-10-19 13:34:58 EDT', 'tobias_widmer'), ('zorzella', '2015-06-30 03:24:49 EDT', 'noopur_gupta')]</t>
  </si>
  <si>
    <t>2005-05-19 17:54:37 EDT</t>
  </si>
  <si>
    <t>2005-05-19 17:05 EDT</t>
  </si>
  <si>
    <t>[('CREATED', '2005-05-19 17:05 EDT'), ('RESOLVED', '2005-05-19 17:54:37 EDT', 'dirk_baeumer'), ('DUPLICATE', '2005-05-19 17:54:37 EDT', 'dirk_baeumer')]</t>
  </si>
  <si>
    <t>2005-05-25 12:20:27 EDT</t>
  </si>
  <si>
    <t>2005-05-27 10:13:02 EDT</t>
  </si>
  <si>
    <t>2005-05-20 07:33 EDT</t>
  </si>
  <si>
    <t>2005-05-25 12:19:19 EDT</t>
  </si>
  <si>
    <t>[('CREATED', '2005-05-20 07:33 EDT'), ('dirk_baeumer', '2005-05-25 12:19:19 EDT', 'dirk_baeumer'), ('3.1 RC1', '2005-05-25 12:20:11 EDT', 'dirk_baeumer'), ('RESOLVED', '2005-05-25 12:20:27 EDT', 'dirk_baeumer'), ('FIXED', '2005-05-25 12:20:27 EDT', 'dirk_baeumer'), ('VERIFIED', '2005-05-27 10:13:02 EDT', 'eclipse')]</t>
  </si>
  <si>
    <t>2006-06-09 06:05:34 EDT</t>
  </si>
  <si>
    <t>2005-05-20 11:09 EDT</t>
  </si>
  <si>
    <t>2005-05-27 10:27:18 EDT</t>
  </si>
  <si>
    <t>[('CREATED', '2005-05-20 11:09 EDT'), ('jdt-ui-inbox', '2005-05-27 10:27:18 EDT', 'jerome_lanneluc'), ('UI', '2005-05-27 10:27:18 EDT', 'jerome_lanneluc'), ('ASSIGNED', '2005-05-30 12:50:24 EDT', 'dirk_baeumer'), ('[package explorer] Project root as class folder', '2005-05-30 12:50:24 EDT', 'dirk_baeumer'), ('3.2', '2005-05-30 12:50:24 EDT', 'dirk_baeumer'), ('---', '2006-04-27 13:46:47 EDT', 'martinae'), ('RESOLVED', '2006-06-09 06:05:34 EDT', 'martinae'), ('WONTFIX', '2006-06-09 06:05:34 EDT', 'martinae')]</t>
  </si>
  <si>
    <t>2005-05-24 10:19:37 EDT</t>
  </si>
  <si>
    <t>2005-05-27 07:12:54 EDT</t>
  </si>
  <si>
    <t>2005-05-20 16:49 EDT</t>
  </si>
  <si>
    <t>2005-05-23 09:08:44 EDT</t>
  </si>
  <si>
    <t>[('CREATED', '2005-05-20 16:49 EDT'), ('tobias_widmer', '2005-05-23 09:08:44 EDT', 'dirk_baeumer'), ('[refactoring] Moving method with static import in body gives illegal result.', '2005-05-23 09:08:44 EDT', 'dirk_baeumer'), ('3.1 RC1', '2005-05-23 09:08:44 EDT', 'dirk_baeumer'), ('RESOLVED', '2005-05-24 10:19:37 EDT', 'tobias_widmer'), ('FIXED', '2005-05-24 10:19:37 EDT', 'tobias_widmer'), ('VERIFIED', '2005-05-27 07:12:54 EDT', 'eclipse')]</t>
  </si>
  <si>
    <t>2005-09-30 05:35:08 EDT</t>
  </si>
  <si>
    <t>2005-11-01 09:16:35 EST</t>
  </si>
  <si>
    <t>2005-09-29 10:04:47 EDT</t>
  </si>
  <si>
    <t>2005-05-23 11:10 EDT</t>
  </si>
  <si>
    <t>2005-05-24 03:41:36 EDT</t>
  </si>
  <si>
    <t>[('CREATED', '2005-05-23 11:10 EDT'), ('tobias_widmer', '2005-05-24 03:41:36 EDT', 'dirk_baeumer'), ('[refactoring] Move Member Type to New File unnecessarily changes visibility', '2005-05-24 03:41:36 EDT', 'dirk_baeumer'), ('phm', '2005-09-23 09:00:54 EDT', 'tobias_widmer'), ('tobias_widmer', '2005-09-23 13:03:57 EDT', 'eclipsetalk2'), ('RESOLVED', '2005-09-23 13:24:58 EDT', 'tobias_widmer'), ('FIXED', '2005-09-23 13:24:58 EDT', 'tobias_widmer'), ('3.2 M3', '2005-09-23 13:24:58 EDT', 'tobias_widmer'), ('REOPENED', '2005-09-29 10:04:47 EDT', 'markus.kell.r'), ('---', '2005-09-29 10:04:47 EDT', 'markus.kell.r'), ('philip_mayer', '2005-09-30 04:42:05 EDT', 'markus.kell.r'), ('NEW', '2005-09-30 04:42:05 EDT', 'markus.kell.r'), ('1', '2005-09-30 04:42:22 EDT', 'eclipsetalk2'), ('RESOLVED', '2005-09-30 05:35:08 EDT', 'tobias_widmer'), ('FIXED', '2005-09-30 05:35:08 EDT', 'tobias_widmer'), ('VERIFIED', '2005-11-01 09:16:35 EST', 'markus.kell.r')]</t>
  </si>
  <si>
    <t>2005-05-24 03:30:48 EDT</t>
  </si>
  <si>
    <t>2009-08-30 02:24:32 EDT</t>
  </si>
  <si>
    <t>2005-05-23 16:51 EDT</t>
  </si>
  <si>
    <t>2005-05-23 17:01:01 EDT</t>
  </si>
  <si>
    <t>[('CREATED', '2005-05-23 16:51 EDT'), ('jdt-ui-inbox', '2005-05-23 17:01:01 EDT', 'daniel_megert'), ('UI', '2005-05-23 17:01:01 EDT', 'daniel_megert'), ('[refactoring] [organize import] (3.1M7) Moving member type to new file adds invalid import.', '2005-05-24 03:30:48 EDT', 'dirk_baeumer'), ('RESOLVED', '2005-05-24 03:30:48 EDT', 'dirk_baeumer'), ('LATER', '2005-05-24 03:30:48 EDT', 'dirk_baeumer'), ('WONTFIX', '2009-08-30 02:24:32 EDT', 'denis.roy')]</t>
  </si>
  <si>
    <t>2005-05-24 09:04:54 EDT</t>
  </si>
  <si>
    <t>2005-05-27 06:16:11 EDT</t>
  </si>
  <si>
    <t>2005-05-24 08:57 EDT</t>
  </si>
  <si>
    <t>[('CREATED', '2005-05-24 08:57 EDT'), ('RESOLVED', '2005-05-24 09:04:54 EDT', 'tobias_widmer'), ('FIXED', '2005-05-24 09:04:54 EDT', 'tobias_widmer'), ('3.1 RC1', '2005-05-24 09:04:54 EDT', 'tobias_widmer'), ('VERIFIED', '2005-05-27 06:16:11 EDT', 'eclipse')]</t>
  </si>
  <si>
    <t>74759</t>
  </si>
  <si>
    <t>2006-02-06 11:56:45 EST</t>
  </si>
  <si>
    <t>2005-05-25 13:49 EDT</t>
  </si>
  <si>
    <t>2005-05-25 13:49:48 EDT</t>
  </si>
  <si>
    <t>[('CREATED', '2005-05-25 13:49 EDT'), ('3.2', '2005-05-25 13:49:48 EDT', 'dirk_baeumer'), ('74759', '2005-05-25 13:49:59 EDT', 'dirk_baeumer'), ('RESOLVED', '2006-02-06 11:56:45 EST', 'martinae'), ('FIXED', '2006-02-06 11:56:45 EST', 'martinae'), ('3.2 M5', '2006-02-06 11:56:45 EST', 'martinae')]</t>
  </si>
  <si>
    <t>2006-03-10 12:58:19 EST</t>
  </si>
  <si>
    <t>2005-05-26 11:04 EDT</t>
  </si>
  <si>
    <t>2005-05-30 13:00:22 EDT</t>
  </si>
  <si>
    <t>[('CREATED', '2005-05-26 11:04 EDT'), ('tobias_widmer', '2005-05-30 13:00:22 EDT', 'dirk_baeumer'), ('3.2', '2005-05-30 13:00:22 EDT', 'dirk_baeumer'), ('3.2 M6', '2006-03-10 12:58:19 EST', 'tobias_widmer'), ('RESOLVED', '2006-03-10 12:58:19 EST', 'tobias_widmer'), ('FIXED', '2006-03-10 12:58:19 EST', 'tobias_widmer')]</t>
  </si>
  <si>
    <t>97245 (view as bug list)</t>
  </si>
  <si>
    <t>2005-06-07 14:59:01 EDT</t>
  </si>
  <si>
    <t>2005-06-09 12:58:09 EDT</t>
  </si>
  <si>
    <t>2005-05-26 17:46 EDT</t>
  </si>
  <si>
    <t>2005-05-26 17:47:07 EDT</t>
  </si>
  <si>
    <t>[('CREATED', '2005-05-26 17:46 EDT'), ('3.1 RC2', '2005-05-26 17:47:07 EDT', 'dirk_baeumer'), ('jerome_lanneluc', '2005-05-30 10:01:54 EDT', 'dirk_baeumer'), ('ASSIGNED', '2005-06-03 04:22:10 EDT', 'markus.kell.r'), ('RESOLVED', '2005-06-07 14:59:01 EDT', 'markus.kell.r'), ('FIXED', '2005-06-07 14:59:01 EDT', 'markus.kell.r'), ('VERIFIED', '2005-06-09 12:58:09 EDT', 'dirk_baeumer')]</t>
  </si>
  <si>
    <t>2005-09-05 05:44:39 EDT</t>
  </si>
  <si>
    <t>2005-09-20 04:09:25 EDT</t>
  </si>
  <si>
    <t>2005-05-27 07:11 EDT</t>
  </si>
  <si>
    <t>2005-05-27 09:47:56 EDT</t>
  </si>
  <si>
    <t>[('CREATED', '2005-05-27 07:11 EDT'), ('tobias_widmer', '2005-05-27 09:47:56 EDT', 'dirk_baeumer'), ('[refactoring] Convert anonymous: generates unnecessary call to super()', '2005-05-27 09:47:56 EDT', 'dirk_baeumer'), ('dirk_baeumer', '2005-05-27 09:51:38 EDT', 'tobias_widmer'), ('RESOLVED', '2005-09-05 05:44:39 EDT', 'tobias_widmer'), ('FIXED', '2005-09-05 05:44:39 EDT', 'tobias_widmer'), ('3.2 M2', '2005-09-05 05:44:39 EDT', 'tobias_widmer'), ('VERIFIED', '2005-09-20 04:09:25 EDT', 'tobias_widmer')]</t>
  </si>
  <si>
    <t>RESOLVED  DUPLICATE  of bug 109972</t>
  </si>
  <si>
    <t>2006-03-28 06:43:44 EST</t>
  </si>
  <si>
    <t>2005-05-27 09:53 EDT</t>
  </si>
  <si>
    <t>2005-05-30 13:18:55 EDT</t>
  </si>
  <si>
    <t>[('CREATED', '2005-05-27 09:53 EDT'), ('markus_keller', '2005-05-30 13:18:55 EDT', 'dirk_baeumer'), ('[package explorer] Internal error during RefactoringAvailabilityTester', '2005-05-30 13:18:55 EDT', 'dirk_baeumer'), ('RESOLVED', '2006-03-28 06:43:44 EST', 'martinae'), ('DUPLICATE', '2006-03-28 06:43:44 EST', 'martinae')]</t>
  </si>
  <si>
    <t>2005-05-27 12:09:54 EDT</t>
  </si>
  <si>
    <t>2009-08-30 02:40:10 EDT</t>
  </si>
  <si>
    <t>2005-05-27 10:51 EDT</t>
  </si>
  <si>
    <t>2005-05-27 11:29:37 EDT</t>
  </si>
  <si>
    <t>[('CREATED', '2005-05-27 10:51 EDT'), ('jdt-ui-inbox', '2005-05-27 11:29:37 EDT', 'eclipse'), ('UI', '2005-05-27 11:29:37 EDT', 'eclipse'), ('JDT', '2005-05-27 11:29:37 EDT', 'eclipse'), ('RESOLVED', '2005-05-27 12:09:54 EDT', 'dirk_baeumer'), ('P4', '2005-05-27 12:09:54 EDT', 'dirk_baeumer'), ('LATER', '2005-05-27 12:09:54 EDT', 'dirk_baeumer'), ('[refactoring] Refactoring Message-classes incomplete', '2005-05-27 12:09:54 EDT', 'dirk_baeumer'), ('enhancement', '2005-05-27 12:09:54 EDT', 'dirk_baeumer'), ('WONTFIX', '2009-08-30 02:40:10 EDT', 'webmaster')]</t>
  </si>
  <si>
    <t>2005-05-31 11:49:37 EDT</t>
  </si>
  <si>
    <t>2005-06-09 13:02:55 EDT</t>
  </si>
  <si>
    <t>2005-05-27 12:46 EDT</t>
  </si>
  <si>
    <t>2005-05-27 13:03:07 EDT</t>
  </si>
  <si>
    <t>[('CREATED', '2005-05-27 12:46 EDT'), ('dirk_baeumer', '2005-05-27 13:03:07 EDT', 'dirk_baeumer'), ('tobias_widmer', '2005-05-27 13:03:07 EDT', 'dirk_baeumer'), ('3.1 RC2', '2005-05-30 03:30:11 EDT', 'dirk_baeumer'), ('RESOLVED', '2005-05-31 11:49:37 EDT', 'tobias_widmer'), ('FIXED', '2005-05-31 11:49:37 EDT', 'tobias_widmer'), ('VERIFIED', '2005-06-09 13:02:55 EDT', 'dirk_baeumer')]</t>
  </si>
  <si>
    <t>2005-05-27 13:30:52 EDT</t>
  </si>
  <si>
    <t>2009-08-30 02:24:30 EDT</t>
  </si>
  <si>
    <t>2005-05-27 13:16 EDT</t>
  </si>
  <si>
    <t>2005-05-27 13:21:55 EDT</t>
  </si>
  <si>
    <t>[('CREATED', '2005-05-27 13:16 EDT'), ('dirk_baeumer', '2005-05-27 13:21:55 EDT', 'dirk_baeumer'), ('[refactoring] [general issue] Undo menu entry for Extract Method is not readable [refactoring]', '2005-05-27 13:21:55 EDT', 'dirk_baeumer'), ('RESOLVED', '2005-05-27 13:30:52 EDT', 'dirk_baeumer'), ('LATER', '2005-05-27 13:30:52 EDT', 'dirk_baeumer'), ('WONTFIX', '2009-08-30 02:24:30 EDT', 'denis.roy'), ('jdt-ui-inbox', '2009-08-30 02:24:30 EDT', 'denis.roy')]</t>
  </si>
  <si>
    <t>2005-05-30 02:58:11 EDT</t>
  </si>
  <si>
    <t>2009-08-30 02:21:25 EDT</t>
  </si>
  <si>
    <t>2005-05-29 10:03 EDT</t>
  </si>
  <si>
    <t>[('CREATED', '2005-05-29 10:03 EDT'), ('RESOLVED', '2005-05-30 02:58:11 EDT', 'dirk_baeumer'), ('P4', '2005-05-30 02:58:11 EDT', 'dirk_baeumer'), ('LATER', '2005-05-30 02:58:11 EDT', 'dirk_baeumer'), ('[refactoring] [general issue] rename in package explorer not "in-place"', '2005-05-30 02:58:11 EDT', 'dirk_baeumer'), ('WONTFIX', '2009-08-30 02:21:25 EDT', 'denis.roy')]</t>
  </si>
  <si>
    <t>2005-06-09 13:28:12 EDT</t>
  </si>
  <si>
    <t>2005-06-10 10:13:58 EDT</t>
  </si>
  <si>
    <t>2005-05-30 06:00 EDT</t>
  </si>
  <si>
    <t>2005-06-01 06:20:09 EDT</t>
  </si>
  <si>
    <t>[('CREATED', '2005-05-30 06:00 EDT'), ('dirk_baeumer', '2005-06-01 06:20:09 EDT', 'dirk_baeumer'), ('markus_keller', '2005-06-01 06:20:09 EDT', 'dirk_baeumer'), ('[refactoring] Infer Generic Type Arguments on primitive type arrays not working', '2005-06-03 09:14:10 EDT', 'dirk_baeumer'), ('RESOLVED', '2005-06-09 13:28:12 EDT', 'markus.kell.r'), ('WORKSFORME', '2005-06-09 13:28:12 EDT', 'markus.kell.r'), ('3.1 RC2', '2005-06-09 13:28:12 EDT', 'markus.kell.r'), ('VERIFIED', '2005-06-10 10:13:58 EDT', 'tobias_widmer')]</t>
  </si>
  <si>
    <t>94686 (view as bug list)</t>
  </si>
  <si>
    <t>2005-06-09 04:07:34 EDT</t>
  </si>
  <si>
    <t>2005-06-09 13:31:17 EDT</t>
  </si>
  <si>
    <t>2005-05-30 06:02 EDT</t>
  </si>
  <si>
    <t>2005-05-30 17:19:43 EDT</t>
  </si>
  <si>
    <t>[('CREATED', '2005-05-30 06:02 EDT'), ('markus_keller', '2005-05-30 17:19:43 EDT', 'dirk_baeumer'), ('[refactoring] Infer Generic Type Arguments NullPE', '2005-05-30 17:19:43 EDT', 'dirk_baeumer'), ('3.1 RC2', '2005-05-30 17:19:43 EDT', 'dirk_baeumer'), ('ASSIGNED', '2005-06-01 10:08:05 EDT', 'markus.kell.r'), ('dirk_baeumer', '2005-06-01 10:08:05 EDT', 'markus.kell.r'), ('[refactoring] Infer Generic Type Arguments NullPE with missing bindings', '2005-06-08 04:09:34 EDT', 'markus.kell.r'), ('RESOLVED', '2005-06-09 04:07:34 EDT', 'markus.kell.r'), ('FIXED', '2005-06-09 04:07:34 EDT', 'markus.kell.r'), ('VERIFIED', '2005-06-09 13:31:17 EDT', 'dirk_baeumer')]</t>
  </si>
  <si>
    <t>94160</t>
  </si>
  <si>
    <t>2005-06-06 05:17:31 EDT</t>
  </si>
  <si>
    <t>2005-06-09 13:37:45 EDT</t>
  </si>
  <si>
    <t>2005-05-30 06:07 EDT</t>
  </si>
  <si>
    <t>2005-05-30 17:21:53 EDT</t>
  </si>
  <si>
    <t>[('CREATED', '2005-05-30 06:07 EDT'), ('dirk_baeumer', '2005-05-30 17:21:53 EDT', 'dirk_baeumer'), ('tobias_widmer', '2005-05-30 17:21:53 EDT', 'dirk_baeumer'), ('[refactoring] JavaModelException when executing Pull Up in generic type', '2005-05-30 17:21:53 EDT', 'dirk_baeumer'), ('3.1 RC2', '2005-05-30 17:21:53 EDT', 'dirk_baeumer'), ('94160', '2005-06-02 10:35:14 EDT', 'tobias_widmer'), ('RESOLVED', '2005-06-06 05:17:31 EDT', 'tobias_widmer'), ('FIXED', '2005-06-06 05:17:31 EDT', 'tobias_widmer'), ('VERIFIED', '2005-06-09 13:37:45 EDT', 'dirk_baeumer')]</t>
  </si>
  <si>
    <t>2006-04-06 11:07:26 EDT</t>
  </si>
  <si>
    <t>2005-05-30 06:37 EDT</t>
  </si>
  <si>
    <t>2005-05-30 17:26:40 EDT</t>
  </si>
  <si>
    <t>[('CREATED', '2005-05-30 06:37 EDT'), ('tobias_widmer', '2005-05-30 17:26:40 EDT', 'dirk_baeumer'), ('Push [refactoring] Down into java14 project does not convert static imports, varargs', '2005-05-30 17:26:40 EDT', 'dirk_baeumer'), ('3.2', '2005-05-30 17:26:40 EDT', 'dirk_baeumer'), ('FIXED', '2006-04-06 11:07:26 EDT', 'tobias_widmer'), ('3.2 RC1', '2006-04-06 11:07:26 EDT', 'tobias_widmer'), ('RESOLVED', '2006-04-06 11:07:26 EDT', 'tobias_widmer')]</t>
  </si>
  <si>
    <t>2006-01-11 12:22:30 EST</t>
  </si>
  <si>
    <t>2005-05-30 06:48 EDT</t>
  </si>
  <si>
    <t>2005-05-30 17:27:52 EDT</t>
  </si>
  <si>
    <t>[('CREATED', '2005-05-30 06:48 EDT'), ('3.2', '2005-05-30 17:27:52 EDT', 'dirk_baeumer'), ('tobias_widmer', '2005-05-30 17:27:52 EDT', 'dirk_baeumer'), ('[refactoring] Pull Up creates error when not deleting method and enable @Override errors', '2005-05-30 17:27:52 EDT', 'dirk_baeumer'), ('markus_keller', '2005-11-01 10:53:58 EST', 'markus.kell.r'), ('RESOLVED', '2006-01-11 12:22:30 EST', 'tobias_widmer'), ('FIXED', '2006-01-11 12:22:30 EST', 'tobias_widmer'), ('3.2 M5', '2006-01-11 12:22:30 EST', 'tobias_widmer')]</t>
  </si>
  <si>
    <t>2005-06-03 06:10:42 EDT</t>
  </si>
  <si>
    <t>2005-06-10 08:13:27 EDT</t>
  </si>
  <si>
    <t>2005-05-30 07:03 EDT</t>
  </si>
  <si>
    <t>2005-05-30 17:55:31 EDT</t>
  </si>
  <si>
    <t>[('CREATED', '2005-05-30 07:03 EDT'), ('3.1 RC2', '2005-05-30 17:55:31 EDT', 'dirk_baeumer'), ('susan_franklin', '2005-05-30 17:55:31 EDT', 'dirk_baeumer'), ('critical', '2005-05-30 17:55:31 EDT', 'dirk_baeumer'), ('P2', '2005-05-30 17:55:31 EDT', 'dirk_baeumer'), ('[undo/redo] move enum leaves undo stack in corrupt state', '2005-05-30 17:55:31 EDT', 'dirk_baeumer'), ('tobias_widmer', '2005-05-30 17:55:52 EDT', 'dirk_baeumer'), ('dirk_baeumer', '2005-06-01 06:23:40 EDT', 'dirk_baeumer'), ('RESOLVED', '2005-06-03 06:10:42 EDT', 'dirk_baeumer'), ('FIXED', '2005-06-03 06:10:42 EDT', 'dirk_baeumer'), ('VERIFIED', '2005-06-10 08:13:27 EDT', 'daniel_megert')]</t>
  </si>
  <si>
    <t>2005-10-19 13:37:32 EDT</t>
  </si>
  <si>
    <t>2005-05-30 07:06 EDT</t>
  </si>
  <si>
    <t>2005-06-01 06:29:43 EDT</t>
  </si>
  <si>
    <t>[('CREATED', '2005-05-30 07:06 EDT'), ('dirk_baeumer', '2005-06-01 06:29:43 EDT', 'dirk_baeumer'), ('tobias_widmer', '2005-06-01 06:29:43 EDT', 'dirk_baeumer'), ('[refactoring] Pull Up enum works, but not Push Down', '2005-06-01 06:29:43 EDT', 'dirk_baeumer'), ('RESOLVED', '2005-10-19 13:37:32 EDT', 'tobias_widmer'), ('WONTFIX', '2005-10-19 13:37:32 EDT', 'tobias_widmer')]</t>
  </si>
  <si>
    <t>2005-06-01 14:29:16 EDT</t>
  </si>
  <si>
    <t>2005-06-09 11:35:04 EDT</t>
  </si>
  <si>
    <t>2005-05-30 08:03 EDT</t>
  </si>
  <si>
    <t>2005-06-01 06:32:07 EDT</t>
  </si>
  <si>
    <t>[('CREATED', '2005-05-30 08:03 EDT'), ('markus_keller', '2005-06-01 06:32:07 EDT', 'dirk_baeumer'), ('dirk_baeumer', '2005-06-01 08:35:37 EDT', 'markus.kell.r'), ('ASSIGNED', '2005-06-01 08:35:37 EDT', 'markus.kell.r'), ('trivial', '2005-06-01 12:44:40 EDT', 'dirk_baeumer'), ('RESOLVED', '2005-06-01 14:29:16 EDT', 'markus.kell.r'), ('FIXED', '2005-06-01 14:29:16 EDT', 'markus.kell.r'), ('3.1 RC2', '2005-06-01 14:29:16 EDT', 'markus.kell.r'), ('VERIFIED', '2005-06-09 11:35:04 EDT', 'tobias_widmer')]</t>
  </si>
  <si>
    <t>2005-06-09 08:40:19 EDT</t>
  </si>
  <si>
    <t>2005-06-10 06:13:32 EDT</t>
  </si>
  <si>
    <t>2005-05-30 09:03 EDT</t>
  </si>
  <si>
    <t>2005-06-01 06:39:16 EDT</t>
  </si>
  <si>
    <t>[('CREATED', '2005-05-30 09:03 EDT'), ('tobias_widmer', '2005-06-01 06:39:16 EDT', 'dirk_baeumer'), ('[refactoring] Use supertype where possible: does not work for generic type', '2005-06-01 06:39:16 EDT', 'dirk_baeumer'), ('3.2', '2005-06-01 06:39:16 EDT', 'dirk_baeumer'), ('dirk_baeumer', '2005-06-01 08:41:07 EDT', 'tobias_widmer'), ('1', '2005-06-09 08:39:46 EDT', 'tobias_widmer'), ('RESOLVED', '2005-06-09 08:40:19 EDT', 'tobias_widmer'), ('FIXED', '2005-06-09 08:40:19 EDT', 'tobias_widmer'), ('3.1 RC2', '2005-06-09 08:40:19 EDT', 'tobias_widmer'), ('VERIFIED', '2005-06-10 06:13:32 EDT', 'dirk_baeumer')]</t>
  </si>
  <si>
    <t>RESOLVED  DUPLICATE  of bug 96889</t>
  </si>
  <si>
    <t>2005-05-30 10:01:54 EDT</t>
  </si>
  <si>
    <t>2005-05-30 09:47 EDT</t>
  </si>
  <si>
    <t>[('CREATED', '2005-05-30 09:47 EDT'), ('RESOLVED', '2005-05-30 10:01:54 EDT', 'dirk_baeumer'), ('DUPLICATE', '2005-05-30 10:01:54 EDT', 'dirk_baeumer')]</t>
  </si>
  <si>
    <t>2005-10-13 15:39:50 EDT</t>
  </si>
  <si>
    <t>2005-11-01 04:55:04 EST</t>
  </si>
  <si>
    <t>2005-05-30 10:19 EDT</t>
  </si>
  <si>
    <t>2005-06-01 06:44:08 EDT</t>
  </si>
  <si>
    <t>[('CREATED', '2005-05-30 10:19 EDT'), (nan, '2005-06-01 06:44:08 EDT', 'dirk_baeumer'), ('markus_keller', '2005-06-01 06:44:08 EDT', 'dirk_baeumer'), ('[refactoring] Infer type argument misses cast removal opportunity', '2005-06-01 06:44:08 EDT', 'dirk_baeumer'), ('P2', '2005-09-22 06:39:24 EDT', 'dirk_baeumer'), ('3.2 M3', '2005-09-22 06:39:24 EDT', 'dirk_baeumer'), ('ASSIGNED', '2005-10-04 04:36:42 EDT', 'markus.kell.r'), ('RESOLVED', '2005-10-13 15:39:50 EDT', 'markus.kell.r'), ('FIXED', '2005-10-13 15:39:50 EDT', 'markus.kell.r'), ('VERIFIED', '2005-11-01 04:55:04 EST', 'tobias_widmer')]</t>
  </si>
  <si>
    <t>2007-11-01 05:01:35 EDT</t>
  </si>
  <si>
    <t>2005-05-30 11:00 EDT</t>
  </si>
  <si>
    <t>2005-06-01 06:51:25 EDT</t>
  </si>
  <si>
    <t>[('CREATED', '2005-05-30 11:00 EDT'), ('ASSIGNED', '2005-06-01 06:51:25 EDT', 'dirk_baeumer'), ('[general issue] Two warning dialogs before sort members', '2005-06-01 06:51:25 EDT', 'dirk_baeumer'), ('[sort members] Two warning dialogs before sort members', '2006-06-16 04:52:18 EDT', 'martinae'), ('verdy_p', '2007-10-31 14:52:56 EDT', 'verdy_p'), ('benno_baumgartner', '2007-11-01 05:01:35 EDT', 'benno.baumgartner'), ('RESOLVED', '2007-11-01 05:01:35 EDT', 'benno.baumgartner'), ('WORKSFORME', '2007-11-01 05:01:35 EDT', 'benno.baumgartner')]</t>
  </si>
  <si>
    <t>2005-07-04 06:31:56 EDT</t>
  </si>
  <si>
    <t>2005-05-30 11:11 EDT</t>
  </si>
  <si>
    <t>2005-06-01 07:00:19 EDT</t>
  </si>
  <si>
    <t>[('CREATED', '2005-05-30 11:11 EDT'), ('tip', '2005-06-01 07:00:19 EDT', 'dirk_baeumer'), ('3.1 RC2', '2005-06-01 07:00:33 EDT', 'dirk_baeumer'), ('tobias_widmer', '2005-06-06 08:42:00 EDT', 'dirk_baeumer'), ('[refactoring] Generalize Type throws NPE', '2005-06-06 08:42:00 EDT', 'dirk_baeumer'), ('dirk_baeumer', '2005-06-06 10:36:40 EDT', 'tobias_widmer'), ('3.2', '2005-06-07 08:01:40 EDT', 'dirk_baeumer'), ('RESOLVED', '2005-07-04 06:31:56 EDT', 'tobias_widmer'), ('FIXED', '2005-07-04 06:31:56 EDT', 'tobias_widmer')]</t>
  </si>
  <si>
    <t>2006-06-16 09:57:00 EDT</t>
  </si>
  <si>
    <t>2006-08-10 06:25:34 EDT</t>
  </si>
  <si>
    <t>2005-06-01 08:46:08 EDT</t>
  </si>
  <si>
    <t>[('CREATED', '2005-05-30 11:11 EDT'), ('ASSIGNED', '2005-06-01 08:46:08 EDT', 'dirk_baeumer'), ('[refactoring] Use Supertype Refactoring and Refactor menu not available in class file editor [refactoring]', '2005-06-01 08:46:08 EDT', 'dirk_baeumer'), ('tobias_widmer', '2006-06-16 04:54:25 EDT', 'martinae'), ('NEW', '2006-06-16 04:54:25 EDT', 'martinae'), ('[use supertype] Use Supertype Refactoring and Refactor menu not available in class file editor', '2006-06-16 04:54:25 EDT', 'martinae'), ('RESOLVED', '2006-06-16 09:57:00 EDT', 'tobias_widmer'), ('FIXED', '2006-06-16 09:57:00 EDT', 'tobias_widmer'), ('[use supertype] Use Supertype Refactoring and Refactor menu not available in class file editor [refactoring]', '2006-06-16 09:57:00 EDT', 'tobias_widmer'), ('3.3 M1', '2006-06-16 09:57:00 EDT', 'tobias_widmer'), ('VERIFIED', '2006-08-10 06:25:34 EDT', 'benno.baumgartner')]</t>
  </si>
  <si>
    <t>2005-06-08 12:34:06 EDT</t>
  </si>
  <si>
    <t>2005-06-10 07:04:02 EDT</t>
  </si>
  <si>
    <t>2005-05-30 12:21 EDT</t>
  </si>
  <si>
    <t>2005-05-31 04:05:52 EDT</t>
  </si>
  <si>
    <t>[('CREATED', '2005-05-30 12:21 EDT'), ('markus_keller', '2005-05-31 04:05:52 EDT', 'dirk_baeumer'), ('3.1 RC2', '2005-05-31 04:05:52 EDT', 'dirk_baeumer'), ('RESOLVED', '2005-06-08 12:34:06 EDT', 'markus.kell.r'), ('FIXED', '2005-06-08 12:34:06 EDT', 'markus.kell.r'), ('[5.0] Unexspected error in Infer Type Arguments refactoring with varargs [refactoring]', '2005-06-08 12:34:06 EDT', 'markus.kell.r'), ('VERIFIED', '2005-06-10 07:04:02 EDT', 'dirk_baeumer')]</t>
  </si>
  <si>
    <t>99595 (view as bug list)</t>
  </si>
  <si>
    <t>2005-05-30 12:41 EDT</t>
  </si>
  <si>
    <t>2005-06-01 08:50:31 EDT</t>
  </si>
  <si>
    <t>2019-09-29 02:17:50 EDT</t>
  </si>
  <si>
    <t>[('CREATED', '2005-05-30 12:41 EDT'), ('dirk_baeumer', '2005-06-01 08:50:31 EDT', 'dirk_baeumer'), ('markus_keller', '2005-06-13 19:02:16 EDT', 'dirk_baeumer'), ('jdt-ui-inbox', '2006-06-02 05:52:08 EDT', 'martinae'), ('[refactoring] wizard does not layout correctly using bold heavy fonts', '2006-06-02 05:52:08 EDT', 'martinae'), ('stalebug', '2019-09-29 02:17:50 EDT', 'genie')]</t>
  </si>
  <si>
    <t>97322</t>
  </si>
  <si>
    <t>2005-06-06 10:17:34 EDT</t>
  </si>
  <si>
    <t>2005-06-09 11:45:09 EDT</t>
  </si>
  <si>
    <t>2005-05-30 13:26 EDT</t>
  </si>
  <si>
    <t>2005-05-30 13:26:43 EDT</t>
  </si>
  <si>
    <t>[('CREATED', '2005-05-30 13:26 EDT'), ('97322', '2005-05-30 13:26:43 EDT', 'markus.kell.r'), ('RESOLVED', '2005-06-06 10:17:34 EDT', 'markus.kell.r'), ('WORKSFORME', '2005-06-06 10:17:34 EDT', 'markus.kell.r'), ('3.1 RC2', '2005-06-06 10:17:34 EDT', 'markus.kell.r'), ('VERIFIED', '2005-06-09 11:45:09 EDT', 'tobias_widmer')]</t>
  </si>
  <si>
    <t>2005-06-10 09:31:54 EDT</t>
  </si>
  <si>
    <t>2005-06-10 15:54:25 EDT</t>
  </si>
  <si>
    <t>2005-06-10 08:16:20 EDT</t>
  </si>
  <si>
    <t>2005-05-31 04:05 EDT</t>
  </si>
  <si>
    <t>2005-05-31 05:45:25 EDT</t>
  </si>
  <si>
    <t>[('CREATED', '2005-05-31 04:05 EDT'), ('tobias_widmer', '2005-05-31 05:45:25 EDT', 'dirk_baeumer'), ('3.1 RC2', '2005-05-31 05:45:25 EDT', 'dirk_baeumer'), ('Moving of types inside itself should be prohibited [reorg][refactoring]', '2005-05-31 13:06:59 EDT', 'tobias_widmer'), ('RESOLVED', '2005-06-06 12:38:58 EDT', 'tobias_widmer'), ('FIXED', '2005-06-06 12:38:58 EDT', 'tobias_widmer'), ('REOPENED', '2005-06-10 08:16:20 EDT', 'dirk_baeumer'), ('---', '2005-06-10 08:16:20 EDT', 'dirk_baeumer'), ('RESOLVED', '2005-06-10 09:31:54 EDT', 'dirk_baeumer'), ('FIXED', '2005-06-10 09:31:54 EDT', 'dirk_baeumer'), ('VERIFIED', '2005-06-10 15:54:25 EDT', 'dirk_baeumer')]</t>
  </si>
  <si>
    <t>2005-06-01 08:39:01 EDT</t>
  </si>
  <si>
    <t>2005-06-10 06:18:59 EDT</t>
  </si>
  <si>
    <t>2005-05-31 04:21 EDT</t>
  </si>
  <si>
    <t>2005-05-31 05:43:58 EDT</t>
  </si>
  <si>
    <t>[('CREATED', '2005-05-31 04:21 EDT'), ('markus_keller', '2005-05-31 05:43:58 EDT', 'dirk_baeumer'), ('3.1 RC2', '2005-05-31 05:43:58 EDT', 'dirk_baeumer'), ('RESOLVED', '2005-06-01 08:39:01 EDT', 'markus.kell.r'), ('FIXED', '2005-06-01 08:39:01 EDT', 'markus.kell.r'), ('VERIFIED', '2005-06-10 06:18:59 EDT', 'tobias_widmer')]</t>
  </si>
  <si>
    <t>120642 (view as bug list)</t>
  </si>
  <si>
    <t>2006-01-10 05:43:00 EST</t>
  </si>
  <si>
    <t>2005-11-01 08:50:22 EST</t>
  </si>
  <si>
    <t>2005-05-31 05:56 EDT</t>
  </si>
  <si>
    <t>2005-06-01 08:55:03 EDT</t>
  </si>
  <si>
    <t>[('CREATED', '2005-05-31 05:56 EDT'), ('tobias_widmer', '2005-06-01 08:55:03 EDT', 'dirk_baeumer'), ('3.2', '2005-06-01 08:55:03 EDT', 'dirk_baeumer'), ('RESOLVED', '2005-10-19 13:29:46 EDT', 'tobias_widmer'), ('FIXED', '2005-10-19 13:29:46 EDT', 'tobias_widmer'), ('3.2 M3', '2005-10-19 13:29:46 EDT', 'tobias_widmer'), ('philip_mayer', '2005-11-01 08:50:22 EST', 'markus.kell.r'), ('REOPENED', '2005-11-01 08:50:22 EST', 'markus.kell.r'), ('---', '2005-11-01 08:50:22 EST', 'markus.kell.r'), ('3.2 M4', '2005-11-03 04:23:42 EST', 'markus.kell.r'), ('N.Metchev', '2005-11-03 05:46:39 EST', 'nikolaymetchev'), ('3.2 M5', '2005-12-09 04:20:53 EST', 'tobias_widmer'), ('mmo', '2005-12-14 11:24:23 EST', 'tobias_widmer'), ('philip_mayer', '2005-12-15 06:41:18 EST', 'tobias_widmer'), ('NEW', '2005-12-15 06:41:18 EST', 'tobias_widmer'), ('ASSIGNED', '2005-12-15 08:04:40 EST', 'eclipsetalk2'), ('tobias_widmer', '2005-12-15 09:58:03 EST', 'eclipsetalk2'), ('RESOLVED', '2006-01-10 05:43:00 EST', 'tobias_widmer'), ('FIXED', '2006-01-10 05:43:00 EST', 'tobias_widmer')]</t>
  </si>
  <si>
    <t>97414</t>
  </si>
  <si>
    <t>2005-06-07 05:18:33 EDT</t>
  </si>
  <si>
    <t>2005-06-09 11:35:34 EDT</t>
  </si>
  <si>
    <t>2005-05-31 06:32 EDT</t>
  </si>
  <si>
    <t>2005-05-31 14:04:54 EDT</t>
  </si>
  <si>
    <t>[('CREATED', '2005-05-31 06:32 EDT'), ('3.1 RC2', '2005-05-31 14:04:54 EDT', 'dirk_baeumer'), ('97414', '2005-06-01 02:50:13 EDT', 'daniel_megert'), ('tobias_widmer', '2005-06-06 08:37:56 EDT', 'dirk_baeumer'), ('FIXED', '2005-06-07 05:18:33 EDT', 'tobias_widmer'), ('RESOLVED', '2005-06-07 05:18:33 EDT', 'tobias_widmer'), ('VERIFIED', '2005-06-09 11:35:34 EDT', 'tobias_widmer')]</t>
  </si>
  <si>
    <t>2005-06-01 05:45:21 EDT</t>
  </si>
  <si>
    <t>2005-06-10 08:47:06 EDT</t>
  </si>
  <si>
    <t>2005-05-31 07:14 EDT</t>
  </si>
  <si>
    <t>2005-05-31 13:58:59 EDT</t>
  </si>
  <si>
    <t>[('CREATED', '2005-05-31 07:14 EDT'), ('dirk_baeumer', '2005-05-31 13:58:59 EDT', 'dirk_baeumer'), ('tobias_widmer', '2005-05-31 13:58:59 EDT', 'dirk_baeumer'), ('3.1 RC2', '2005-06-01 05:45:21 EDT', 'tobias_widmer'), ('RESOLVED', '2005-06-01 05:45:21 EDT', 'tobias_widmer'), ('FIXED', '2005-06-01 05:45:21 EDT', 'tobias_widmer'), ('VERIFIED', '2005-06-10 08:47:06 EDT', 'dirk_baeumer')]</t>
  </si>
  <si>
    <t>99315 (view as bug list)</t>
  </si>
  <si>
    <t>2005-06-10 08:53:37 EDT</t>
  </si>
  <si>
    <t>2005-06-10 16:01:18 EDT</t>
  </si>
  <si>
    <t>2005-06-10 06:36:45 EDT</t>
  </si>
  <si>
    <t>2005-05-31 09:36 EDT</t>
  </si>
  <si>
    <t>2005-05-31 13:45:53 EDT</t>
  </si>
  <si>
    <t>[('CREATED', '2005-05-31 09:36 EDT'), ('dirk_baeumer', '2005-05-31 13:45:53 EDT', 'dirk_baeumer'), ('P2', '2005-05-31 13:45:53 EDT', 'dirk_baeumer'), ('tobias_widmer', '2005-06-06 09:18:46 EDT', 'dirk_baeumer'), ('P3', '2005-06-06 09:18:46 EDT', 'dirk_baeumer'), ('dirk_baeumer', '2005-06-09 06:12:00 EDT', 'tobias_widmer'), ('3.1 RC2', '2005-06-09 06:12:00 EDT', 'tobias_widmer'), ('RESOLVED', '2005-06-09 08:50:34 EDT', 'tobias_widmer'), ('FIXED', '2005-06-09 08:50:34 EDT', 'tobias_widmer'), ('VERIFIED', '2005-06-10 05:35:13 EDT', 'tobias_widmer'), ('REOPENED', '2005-06-10 06:36:45 EDT', 'tobias_widmer'), ('---', '2005-06-10 06:36:45 EDT', 'tobias_widmer'), ('RESOLVED', '2005-06-10 08:53:37 EDT', 'tobias_widmer'), ('FIXED', '2005-06-10 08:53:37 EDT', 'tobias_widmer'), ('VERIFIED', '2005-06-10 16:01:18 EDT', 'dirk_baeumer')]</t>
  </si>
  <si>
    <t>2005-06-09 08:57:13 EDT</t>
  </si>
  <si>
    <t>2005-06-10 05:05:09 EDT</t>
  </si>
  <si>
    <t>2005-05-31 10:03 EDT</t>
  </si>
  <si>
    <t>2005-05-31 13:45:00 EDT</t>
  </si>
  <si>
    <t>[('CREATED', '2005-05-31 10:03 EDT'), ('dirk_baeumer', '2005-05-31 13:45:00 EDT', 'dirk_baeumer'), ('[refactoring] Extract method from generic method', '2005-05-31 13:45:00 EDT', 'dirk_baeumer'), ('RESOLVED', '2005-06-09 08:57:13 EDT', 'dirk_baeumer'), ('FIXED', '2005-06-09 08:57:13 EDT', 'dirk_baeumer'), ('3.1 RC2', '2005-06-09 08:57:13 EDT', 'dirk_baeumer'), ('VERIFIED', '2005-06-10 05:05:09 EDT', 'tobias_widmer')]</t>
  </si>
  <si>
    <t>2005-06-07 06:37:33 EDT</t>
  </si>
  <si>
    <t>2005-06-10 06:02:03 EDT</t>
  </si>
  <si>
    <t>2005-05-31 11:01 EDT</t>
  </si>
  <si>
    <t>2005-06-01 08:59:10 EDT</t>
  </si>
  <si>
    <t>[('CREATED', '2005-05-31 11:01 EDT'), ('rfuhrer', '2005-06-01 08:59:10 EDT', 'dirk_baeumer'), ('[refactoring] Introduce factory fails for bounded type parameters', '2005-06-01 08:59:10 EDT', 'dirk_baeumer'), ('3.1 RC2', '2005-06-06 11:28:31 EDT', 'dirk_baeumer'), ('RESOLVED', '2005-06-07 06:37:33 EDT', 'dirk_baeumer'), ('FIXED', '2005-06-07 06:37:33 EDT', 'dirk_baeumer'), ('VERIFIED', '2005-06-10 06:02:03 EDT', 'tobias_widmer')]</t>
  </si>
  <si>
    <t>2006-03-03 06:21:31 EST</t>
  </si>
  <si>
    <t>2005-05-31 11:18 EDT</t>
  </si>
  <si>
    <t>2005-05-31 13:39:48 EDT</t>
  </si>
  <si>
    <t>[('CREATED', '2005-05-31 11:18 EDT'), ('tobias_widmer', '2005-05-31 13:39:48 EDT', 'dirk_baeumer'), ('[refactoring] [move] Move method to generic type', '2005-05-31 13:39:48 EDT', 'dirk_baeumer'), ('3.2', '2005-05-31 13:39:48 EDT', 'dirk_baeumer'), ('RESOLVED', '2006-03-03 06:21:31 EST', 'tobias_widmer'), ('FIXED', '2006-03-03 06:21:31 EST', 'tobias_widmer'), ('3.2 M6', '2006-03-03 06:21:31 EST', 'tobias_widmer')]</t>
  </si>
  <si>
    <t>2005-06-03 11:59:35 EDT</t>
  </si>
  <si>
    <t>2005-06-10 09:09:17 EDT</t>
  </si>
  <si>
    <t>2005-05-31 11:25 EDT</t>
  </si>
  <si>
    <t>2005-06-01 09:02:14 EDT</t>
  </si>
  <si>
    <t>[('CREATED', '2005-05-31 11:25 EDT'), ('dirk_baeumer', '2005-06-01 09:02:14 EDT', 'dirk_baeumer'), ('tobias_widmer', '2005-06-01 09:02:14 EDT', 'dirk_baeumer'), ('[refactoring] Move member type to new file creates doubled type params', '2005-06-01 09:02:14 EDT', 'dirk_baeumer'), ('RESOLVED', '2005-06-03 11:59:35 EDT', 'tobias_widmer'), ('FIXED', '2005-06-03 11:59:35 EDT', 'tobias_widmer'), ('3.1 RC2', '2005-06-03 11:59:35 EDT', 'tobias_widmer'), ('VERIFIED', '2005-06-10 09:09:17 EDT', 'eclipse')]</t>
  </si>
  <si>
    <t>2020-03-15 17:02:54 EDT</t>
  </si>
  <si>
    <t>2005-05-31 11:40 EDT</t>
  </si>
  <si>
    <t>2005-05-31 13:32:51 EDT</t>
  </si>
  <si>
    <t>[('CREATED', '2005-05-31 11:40 EDT'), ('dirk_baeumer', '2005-05-31 13:32:51 EDT', 'dirk_baeumer'), ('[refactoring] undo/redo fails after quickly undoing many refactorings', '2005-05-31 13:32:51 EDT', 'dirk_baeumer'), ('jdt-ui-inbox', '2006-06-02 06:07:01 EDT', 'martinae'), ('stalebug', '2020-03-15 17:02:54 EDT', 'genie'), ('WONTFIX', '2020-03-15 17:02:54 EDT', 'genie'), ('CLOSED', '2020-03-15 17:02:54 EDT', 'genie')]</t>
  </si>
  <si>
    <t>2005-06-01 14:20:55 EDT</t>
  </si>
  <si>
    <t>2005-06-10 09:18:45 EDT</t>
  </si>
  <si>
    <t>2005-05-31 12:09 EDT</t>
  </si>
  <si>
    <t>2005-05-31 13:23:17 EDT</t>
  </si>
  <si>
    <t>[('CREATED', '2005-05-31 12:09 EDT'), ('markus_keller', '2005-05-31 13:23:17 EDT', 'dirk_baeumer'), ('3.1 RC2', '2005-05-31 13:23:17 EDT', 'dirk_baeumer'), ('RESOLVED', '2005-06-01 14:20:55 EDT', 'markus.kell.r'), ('FIXED', '2005-06-01 14:20:55 EDT', 'markus.kell.r'), ('VERIFIED', '2005-06-10 09:18:45 EDT', 'eclipse')]</t>
  </si>
  <si>
    <t>2005-11-23 07:12:08 EST</t>
  </si>
  <si>
    <t>2005-05-31 19:23 EDT</t>
  </si>
  <si>
    <t>2005-06-01 05:26:08 EDT</t>
  </si>
  <si>
    <t>[('CREATED', '2005-05-31 19:23 EDT'), ('dirk_baeumer', '2005-06-01 05:26:08 EDT', 'dirk_baeumer'), ('markus_keller', '2005-06-01 05:26:08 EDT', 'dirk_baeumer'), ('[refactoring] [rename] Exception attempting to rename linked binary project resources --&gt; provide details to user', '2005-06-01 05:26:08 EDT', 'dirk_baeumer'), ('dirk_baeumer', '2005-06-06 09:20:44 EDT', 'markus.kell.r'), ('markus_keller', '2005-06-06 09:20:44 EDT', 'markus.kell.r'), (nan, '2005-11-23 07:10:05 EST', 'markus.kell.r'), ('markus_keller', '2005-11-23 07:10:05 EST', 'markus.kell.r'), ('3.2 M4', '2005-11-23 07:10:05 EST', 'markus.kell.r'), ('RESOLVED', '2005-11-23 07:12:08 EST', 'markus.kell.r'), ('FIXED', '2005-11-23 07:12:08 EST', 'markus.kell.r')]</t>
  </si>
  <si>
    <t>2005-06-01 05:32:41 EDT</t>
  </si>
  <si>
    <t>2005-06-01 04:09 EDT</t>
  </si>
  <si>
    <t>2005-06-01 05:19:58 EDT</t>
  </si>
  <si>
    <t>[('CREATED', '2005-06-01 04:09 EDT'), ('tobias_widmer', '2005-06-01 05:19:58 EDT', 'dirk_baeumer'), ('[refactoring] Convert Local Variable to Field is not proposing correct Name', '2005-06-01 05:19:58 EDT', 'dirk_baeumer'), ('RESOLVED', '2005-06-01 05:32:41 EDT', 'tobias_widmer'), ('WORKSFORME', '2005-06-01 05:32:41 EDT', 'tobias_widmer')]</t>
  </si>
  <si>
    <t>2005-06-01 11:04 EDT</t>
  </si>
  <si>
    <t>2005-06-01 11:52:25 EDT</t>
  </si>
  <si>
    <t>2012-01-15 18:33:05 EST</t>
  </si>
  <si>
    <t>[('CREATED', '2005-06-01 11:04 EDT'), ('dirk_baeumer', '2005-06-01 11:52:25 EDT', 'dirk_baeumer'), ('enhancement', '2005-06-01 11:52:25 EDT', 'dirk_baeumer'), ('[refactoring] Extract method should offer variables to be made parameters', '2005-06-01 11:52:25 EDT', 'dirk_baeumer'), ('[refactoring] [extract method] Extract method should offer variables to be made parameters', '2006-04-05 13:45:01 EDT', 'dirk_baeumer'), ('jdt-ui-inbox', '2006-06-02 06:09:28 EDT', 'martinae'), ('[extract method] offer variables to be made parameters', '2006-06-02 06:09:28 EDT', 'martinae'), ('ASSIGNED', '2006-08-02 13:05:59 EDT', 'martinae'), ('reprogrammer', '2012-01-15 18:33:05 EST', 'reprogrammer')]</t>
  </si>
  <si>
    <t>2005-06-01 14:31 EDT</t>
  </si>
  <si>
    <t>2005-06-07 07:06:47 EDT</t>
  </si>
  <si>
    <t>2019-12-26 15:31:20 EST</t>
  </si>
  <si>
    <t>[('CREATED', '2005-06-01 14:31 EDT'), ('dirk_baeumer', '2005-06-07 07:06:47 EDT', 'dirk_baeumer'), ('[refactoring] Dragging file back from source folder to original package gives confusing warning', '2005-06-07 07:07:00 EDT', 'dirk_baeumer'), ('tobias_widmer', '2006-04-05 13:46:40 EDT', 'dirk_baeumer'), ('[refactoring] [move] Dragging file back from source folder to original package gives confusing warning', '2006-04-05 13:46:40 EDT', 'dirk_baeumer'), ('[reorg] dragging file back from source folder to original package gives confusing warning [refactoring]', '2006-05-29 06:12:58 EDT', 'tobias_widmer'), ('jdt-ui-inbox', '2007-06-14 10:47:19 EDT', 'martinae'), ('stalebug', '2019-12-26 15:31:20 EST', 'genie')]</t>
  </si>
  <si>
    <t>2005-06-03 09:24:07 EDT</t>
  </si>
  <si>
    <t>2005-06-02 12:17 EDT</t>
  </si>
  <si>
    <t>2005-06-02 12:32:13 EDT</t>
  </si>
  <si>
    <t>[('CREATED', '2005-06-02 12:17 EDT'), ('jdt-ui-inbox', '2005-06-02 12:32:13 EDT', 'frederic_fusier'), ('UI', '2005-06-02 12:32:13 EDT', 'frederic_fusier'), ('RESOLVED', '2005-06-03 09:24:07 EDT', 'dirk_baeumer'), ('WORKSFORME', '2005-06-03 09:24:07 EDT', 'dirk_baeumer')]</t>
  </si>
  <si>
    <t>RESOLVED  DUPLICATE  of bug 43172</t>
  </si>
  <si>
    <t>2005-06-03 04:28:35 EDT</t>
  </si>
  <si>
    <t>2005-06-03 03:00 EDT</t>
  </si>
  <si>
    <t>[('CREATED', '2005-06-03 03:00 EDT'), ('RESOLVED', '2005-06-03 04:28:35 EDT', 'dirk_baeumer'), ('DUPLICATE', '2005-06-03 04:28:35 EDT', 'dirk_baeumer')]</t>
  </si>
  <si>
    <t>2005-06-06 04:45:54 EDT</t>
  </si>
  <si>
    <t>2005-06-10 12:22:06 EDT</t>
  </si>
  <si>
    <t>2005-06-03 10:17 EDT</t>
  </si>
  <si>
    <t>2005-06-03 11:43:05 EDT</t>
  </si>
  <si>
    <t>[('CREATED', '2005-06-03 10:17 EDT'), ('dirk_baeumer', '2005-06-03 11:43:05 EDT', 'dirk_baeumer'), ('3.1 RC2', '2005-06-03 11:43:05 EDT', 'dirk_baeumer'), ('tobias_widmer', '2005-06-06 04:04:19 EDT', 'dirk_baeumer'), ('RESOLVED', '2005-06-06 04:45:54 EDT', 'tobias_widmer'), ('FIXED', '2005-06-06 04:45:54 EDT', 'tobias_widmer'), ('VERIFIED', '2005-06-10 12:22:06 EDT', 'tobias_widmer')]</t>
  </si>
  <si>
    <t>2005-08-29 06:52:50 EDT</t>
  </si>
  <si>
    <t>2005-06-03 14:28 EDT</t>
  </si>
  <si>
    <t>2005-06-06 04:06:06 EDT</t>
  </si>
  <si>
    <t>[('CREATED', '2005-06-03 14:28 EDT'), ('jdt-ui-inbox', '2005-06-06 04:06:06 EDT', 'philippe_mulet'), ('UI', '2005-06-06 04:06:06 EDT', 'philippe_mulet'), ('tobias_widmer', '2005-06-06 08:49:14 EDT', 'dirk_baeumer'), ('dirk_baeumer', '2005-06-06 12:31:21 EDT', 'tobias_widmer'), ('tobias_widmer', '2005-06-06 12:31:21 EDT', 'tobias_widmer'), ('3.2', '2005-06-07 04:34:05 EDT', 'dirk_baeumer'), (nan, '2005-06-27 09:44:37 EDT', 'tobias_widmer'), ('RESOLVED', '2005-08-29 06:52:50 EDT', 'tobias_widmer'), ('FIXED', '2005-08-29 06:52:50 EDT', 'tobias_widmer')]</t>
  </si>
  <si>
    <t>2005-06-06 10:05:44 EDT</t>
  </si>
  <si>
    <t>2005-06-10 06:50:00 EDT</t>
  </si>
  <si>
    <t>2005-06-03 18:17 EDT</t>
  </si>
  <si>
    <t>2005-06-03 20:45:39 EDT</t>
  </si>
  <si>
    <t>[('CREATED', '2005-06-03 18:17 EDT'), ('jdt-ui-inbox', '2005-06-03 20:45:39 EDT', 'Olivier_Thomann'), ('UI', '2005-06-03 20:45:39 EDT', 'Olivier_Thomann'), ('markus_keller', '2005-06-04 12:48:55 EDT', 'dirk_baeumer'), ('3.1 RC2', '2005-06-04 12:48:55 EDT', 'dirk_baeumer'), ('RESOLVED', '2005-06-06 10:05:44 EDT', 'markus.kell.r'), ('FIXED', '2005-06-06 10:05:44 EDT', 'markus.kell.r'), ('VERIFIED', '2005-06-10 06:50:00 EDT', 'tobias_widmer')]</t>
  </si>
  <si>
    <t>2005-06-07 09:44:15 EDT</t>
  </si>
  <si>
    <t>2005-06-10 08:47:46 EDT</t>
  </si>
  <si>
    <t>2005-06-06 04:03 EDT</t>
  </si>
  <si>
    <t>2005-06-07 06:51:16 EDT</t>
  </si>
  <si>
    <t>[('CREATED', '2005-06-06 04:03 EDT'), ('tobias_widmer', '2005-06-07 06:51:16 EDT', 'dirk_baeumer'), ('tobias_widmer', '2005-06-07 09:39:19 EDT', 'tobias_widmer'), ('3.1 RC2', '2005-06-07 09:39:19 EDT', 'tobias_widmer'), ('FIXED', '2005-06-07 09:44:15 EDT', 'tobias_widmer'), ('RESOLVED', '2005-06-07 09:44:15 EDT', 'tobias_widmer'), ('VERIFIED', '2005-06-10 08:47:46 EDT', 'eclipse')]</t>
  </si>
  <si>
    <t>2007-02-16 04:21:19 EST</t>
  </si>
  <si>
    <t>2005-06-06 04:08 EDT</t>
  </si>
  <si>
    <t>2005-06-06 08:48:20 EDT</t>
  </si>
  <si>
    <t>[('CREATED', '2005-06-06 04:08 EDT'), ('tobias_widmer', '2005-06-06 08:48:20 EDT', 'dirk_baeumer'), ('[convert anonymous] forgets to add imports [refactoring]', '2006-05-29 06:16:53 EDT', 'tobias_widmer'), ('martin_aeschlimann', '2007-02-16 04:21:03 EST', 'martinae'), ('FIXED', '2007-02-16 04:21:19 EST', 'martinae'), ('3.3', '2007-02-16 04:21:19 EST', 'martinae'), ('RESOLVED', '2007-02-16 04:21:19 EST', 'martinae')]</t>
  </si>
  <si>
    <t>2005-06-08 04:06:12 EDT</t>
  </si>
  <si>
    <t>2005-06-09 11:41:19 EDT</t>
  </si>
  <si>
    <t>2005-06-06 06:20 EDT</t>
  </si>
  <si>
    <t>2005-06-07 12:27:53 EDT</t>
  </si>
  <si>
    <t>[('CREATED', '2005-06-06 06:20 EDT'), ('dirk_baeumer', '2005-06-07 12:27:53 EDT', 'dirk_baeumer'), ('RESOLVED', '2005-06-08 04:06:12 EDT', 'dirk_baeumer'), ('FIXED', '2005-06-08 04:06:12 EDT', 'dirk_baeumer'), ('[refactoring] Extract method: only one change offered in preview pane', '2005-06-08 04:06:12 EDT', 'dirk_baeumer'), ('3.1 RC2', '2005-06-08 04:06:12 EDT', 'dirk_baeumer'), ('VERIFIED', '2005-06-09 11:41:19 EDT', 'tobias_widmer')]</t>
  </si>
  <si>
    <t>2005-08-28 10:27:38 EDT</t>
  </si>
  <si>
    <t>2005-06-06 20:17:08 EDT</t>
  </si>
  <si>
    <t>2005-06-07 00:44:10 EDT</t>
  </si>
  <si>
    <t>2005-06-06 12:28 EDT</t>
  </si>
  <si>
    <t>2005-06-06 17:41:52 EDT</t>
  </si>
  <si>
    <t>[('CREATED', '2005-06-06 12:28 EDT'), ('dirk_baeumer', '2005-06-06 17:41:52 EDT', 'dirk_baeumer'), ('platform-cvs-inbox', '2005-06-06 17:41:52 EDT', 'dirk_baeumer'), ('CVS', '2005-06-06 17:41:52 EDT', 'dirk_baeumer'), ('Platform', '2005-06-06 17:41:52 EDT', 'dirk_baeumer'), ('RESOLVED', '2005-06-06 20:17:08 EDT', 'valentam'), ('WONTFIX', '2005-06-06 20:17:08 EDT', 'valentam'), ('REOPENED', '2005-06-07 00:44:10 EDT', 'eclipse'), ('---', '2005-06-07 00:44:10 EDT', 'eclipse'), ('UI', '2005-06-07 06:33:38 EDT', 'dirk_baeumer'), ('JDT', '2005-06-07 06:33:38 EDT', 'dirk_baeumer'), ('jdt-ui-inbox', '2005-06-07 06:33:47 EDT', 'dirk_baeumer'), ('NEW', '2005-06-07 06:33:47 EDT', 'dirk_baeumer'), (nan, '2005-06-07 06:33:57 EDT', 'dirk_baeumer'), ('Michael_Valenta', '2005-06-07 09:11:25 EDT', 'valentam'), ('ASSIGNED', '2005-06-08 16:32:10 EDT', 'dirk_baeumer'), ('RESOLVED', '2005-08-28 10:27:38 EDT', 'eclipse'), ('WORKSFORME', '2005-08-28 10:27:38 EDT', 'eclipse')]</t>
  </si>
  <si>
    <t>2006-04-03 18:07:03 EDT</t>
  </si>
  <si>
    <t>2005-06-06 16:52 EDT</t>
  </si>
  <si>
    <t>2006-03-31 08:54:05 EST</t>
  </si>
  <si>
    <t>[('CREATED', '2005-06-06 16:52 EDT'), ('jdt-ui-inbox', '2006-03-31 08:54:05 EST', 'frederic_fusier'), ('UI', '2006-03-31 08:54:05 EST', 'frederic_fusier'), ('RESOLVED', '2006-04-03 18:07:03 EDT', 'martinae'), ('FIXED', '2006-04-03 18:07:03 EDT', 'martinae'), ('3.2 M6', '2006-04-03 18:07:03 EDT', 'martinae')]</t>
  </si>
  <si>
    <t>2006-03-28 06:44:22 EST</t>
  </si>
  <si>
    <t>2006-03-28 06:44:13 EST</t>
  </si>
  <si>
    <t>2005-06-07 14:05 EDT</t>
  </si>
  <si>
    <t>2005-06-07 15:02:52 EDT</t>
  </si>
  <si>
    <t>[('CREATED', '2005-06-07 14:05 EDT'), ('jerome_lanneluc', '2005-06-07 15:02:52 EDT', 'philippe_mulet'), ('UI', '2005-06-07 16:03:19 EDT', 'jerome_lanneluc'), ('jdt-ui-inbox', '2005-06-07 16:03:19 EDT', 'jerome_lanneluc'), ('andre_weinand', '2005-06-08 13:13:42 EDT', 'dirk_baeumer'), ('normal', '2005-06-08 16:09:25 EDT', 'dirk_baeumer'), ('RESOLVED', '2005-06-13 19:10:48 EDT', 'dirk_baeumer'), ('REMIND', '2005-06-13 19:10:48 EDT', 'dirk_baeumer'), ('REOPENED', '2006-03-28 06:44:13 EST', 'martinae'), ('---', '2006-03-28 06:44:13 EST', 'martinae'), ('RESOLVED', '2006-03-28 06:44:22 EST', 'martinae'), ('DUPLICATE', '2006-03-28 06:44:22 EST', 'martinae')]</t>
  </si>
  <si>
    <t>2006-04-07 06:56:46 EDT</t>
  </si>
  <si>
    <t>2005-06-07 18:52 EDT</t>
  </si>
  <si>
    <t>2005-06-07 18:54:30 EDT</t>
  </si>
  <si>
    <t>[('CREATED', '2005-06-07 18:52 EDT'), ('Bug.java', '2005-06-07 18:54:30 EDT', 'bmiller'), ('dirk_baeumer', '2005-06-13 19:11:28 EDT', 'dirk_baeumer'), ('[refactoring] Inlining method results in compiler errors.', '2005-06-13 19:11:28 EDT', 'dirk_baeumer'), ('RESOLVED', '2006-04-07 06:56:46 EDT', 'dirk_baeumer'), ('FIXED', '2006-04-07 06:56:46 EDT', 'dirk_baeumer'), ('3.2 RC1', '2006-04-07 06:56:46 EDT', 'dirk_baeumer')]</t>
  </si>
  <si>
    <t>2005-06-09 09:26:03 EDT</t>
  </si>
  <si>
    <t>2005-06-10 05:14:57 EDT</t>
  </si>
  <si>
    <t>2005-06-09 04:36 EDT</t>
  </si>
  <si>
    <t>2005-06-09 04:45:10 EDT</t>
  </si>
  <si>
    <t>[('CREATED', '2005-06-09 04:36 EDT'), ('martin_aeschlimann', '2005-06-09 04:45:10 EDT', 'daniel_megert'), ('UI', '2005-06-09 04:45:10 EDT', 'daniel_megert'), ('dirk_baeumer', '2005-06-09 05:57:20 EDT', 'martinae'), ('RESOLVED', '2005-06-09 09:26:03 EDT', 'dirk_baeumer'), ('FIXED', '2005-06-09 09:26:03 EDT', 'dirk_baeumer'), ('3.1 RC2', '2005-06-09 09:26:03 EDT', 'dirk_baeumer'), ('VERIFIED', '2005-06-10 05:14:57 EDT', 'tobias_widmer')]</t>
  </si>
  <si>
    <t>2005-06-09 11:33:26 EDT</t>
  </si>
  <si>
    <t>2005-06-10 05:37:09 EDT</t>
  </si>
  <si>
    <t>2005-06-09 04:46 EDT</t>
  </si>
  <si>
    <t>2005-06-09 11:32:42 EDT</t>
  </si>
  <si>
    <t>[('CREATED', '2005-06-09 04:46 EDT'), ('dirk_baeumer', '2005-06-09 11:32:42 EDT', 'dirk_baeumer'), ('RESOLVED', '2005-06-09 11:33:26 EDT', 'dirk_baeumer'), ('FIXED', '2005-06-09 11:33:26 EDT', 'dirk_baeumer'), ('3.1 RC2', '2005-06-09 11:33:26 EDT', 'dirk_baeumer'), ('VERIFIED', '2005-06-10 05:37:09 EDT', 'markus.kell.r')]</t>
  </si>
  <si>
    <t>2005-06-09 06:09 EDT</t>
  </si>
  <si>
    <t>2005-06-09 09:53:12 EDT</t>
  </si>
  <si>
    <t>2019-09-10 07:10:47 EDT</t>
  </si>
  <si>
    <t>[('CREATED', '2005-06-09 06:09 EDT'), ('markus_keller', '2005-06-09 09:53:12 EDT', 'dirk_baeumer'), ('3.2', '2005-06-09 09:53:12 EDT', 'dirk_baeumer'), ('ASSIGNED', '2005-06-09 10:43:02 EDT', 'markus.kell.r'), ('3.3', '2006-04-28 09:59:38 EDT', 'markus.kell.r'), ('[refactoring] CompilationUnitRewrite silently fails with multiple createChange calls', '2006-06-08 11:49:27 EDT', 'markus.kell.r'), ('3.4', '2007-05-09 20:04:01 EDT', 'markus.kell.r'), ('3.5', '2008-05-10 12:15:10 EDT', 'markus.kell.r'), ('---', '2009-05-06 07:10:56 EDT', 'markus.kell.r'), ('stalebug', '2019-09-10 07:10:47 EDT', 'genie')]</t>
  </si>
  <si>
    <t>2005-06-09 13:37 EDT</t>
  </si>
  <si>
    <t>2006-05-29 06:17:51 EDT</t>
  </si>
  <si>
    <t>2020-06-06 13:18:02 EDT</t>
  </si>
  <si>
    <t>[('CREATED', '2005-06-09 13:37 EDT'), ('[pull up]compile errors in the presens of generics [refactoring]', '2006-05-29 06:17:51 EDT', 'tobias_widmer'), ('[pull up] compile errors in the presens of generics [refactoring]', '2006-05-29 06:18:36 EDT', 'tobias_widmer'), ('jdt-ui-inbox', '2007-06-14 10:46:03 EDT', 'martinae'), ('stalebug', '2020-06-06 13:18:02 EDT', 'genie')]</t>
  </si>
  <si>
    <t>RESOLVED  DUPLICATE  of bug 97468</t>
  </si>
  <si>
    <t>2005-06-10 09:00:03 EDT</t>
  </si>
  <si>
    <t>2005-06-10 04:50 EDT</t>
  </si>
  <si>
    <t>2005-06-10 04:50:59 EDT</t>
  </si>
  <si>
    <t>[('CREATED', '2005-06-10 04:50 EDT'), ('3.2', '2005-06-10 04:50:59 EDT', 'tobias_widmer'), ('RESOLVED', '2005-06-10 09:00:03 EDT', 'tobias_widmer'), ('DUPLICATE', '2005-06-10 09:00:03 EDT', 'tobias_widmer'), ('3.1 RC2', '2005-06-10 09:00:03 EDT', 'tobias_widmer')]</t>
  </si>
  <si>
    <t>RESOLVED  DUPLICATE  of bug 99339</t>
  </si>
  <si>
    <t>2005-06-10 13:44:37 EDT</t>
  </si>
  <si>
    <t>2005-06-10 13:44:14 EDT</t>
  </si>
  <si>
    <t>2005-06-10 06:01 EDT</t>
  </si>
  <si>
    <t>2005-06-10 13:43:25 EDT</t>
  </si>
  <si>
    <t>[('CREATED', '2005-06-10 06:01 EDT'), ('RESOLVED', '2005-06-10 13:43:25 EDT', 'dirk_baeumer'), ('DUPLICATE', '2005-06-10 13:43:25 EDT', 'dirk_baeumer'), ('REOPENED', '2005-06-10 13:44:14 EDT', 'dirk_baeumer'), ('---', '2005-06-10 13:44:14 EDT', 'dirk_baeumer'), ('RESOLVED', '2005-06-10 13:44:37 EDT', 'dirk_baeumer'), ('DUPLICATE', '2005-06-10 13:44:37 EDT', 'dirk_baeumer')]</t>
  </si>
  <si>
    <t>2005-06-10 06:41 EDT</t>
  </si>
  <si>
    <t>2005-06-10 07:51:21 EDT</t>
  </si>
  <si>
    <t>2006-06-16 05:20:31 EDT</t>
  </si>
  <si>
    <t>[('CREATED', '2005-06-10 06:41 EDT'), ('ASSIGNED', '2005-06-10 07:51:21 EDT', 'dirk_baeumer'), ('[refactoring] Change Method Signature should support conversion of vararg to simple parameter [refactoring]', '2005-06-10 07:51:21 EDT', 'dirk_baeumer'), ('markus_keller', '2006-06-16 05:08:40 EDT', 'martinae'), ('NEW', '2006-06-16 05:08:40 EDT', 'martinae'), ('[change method signature] support conversion of vararg to simple parameter', '2006-06-16 05:08:40 EDT', 'martinae'), ('ASSIGNED', '2006-06-16 05:20:31 EDT', 'markus.kell.r')]</t>
  </si>
  <si>
    <t>99323 99382 (view as bug list)</t>
  </si>
  <si>
    <t>2005-06-10 08:55:43 EDT</t>
  </si>
  <si>
    <t>2005-06-10 16:07:56 EDT</t>
  </si>
  <si>
    <t>2005-06-10 08:06 EDT</t>
  </si>
  <si>
    <t>2005-06-10 08:07:01 EDT</t>
  </si>
  <si>
    <t>[('CREATED', '2005-06-10 08:06 EDT'), ('3.1 RC2', '2005-06-10 08:07:01 EDT', 'tobias_widmer'), ('RESOLVED', '2005-06-10 08:55:43 EDT', 'tobias_widmer'), ('FIXED', '2005-06-10 08:55:43 EDT', 'tobias_widmer'), ('grant_gayed', '2005-06-10 11:34:40 EDT', 'dirk_baeumer'), ('dirk_baeumer', '2005-06-10 13:44:37 EDT', 'dirk_baeumer'), ('VERIFIED', '2005-06-10 16:07:56 EDT', 'dirk_baeumer')]</t>
  </si>
  <si>
    <t>2006-03-22 06:27:03 EST</t>
  </si>
  <si>
    <t>2005-06-10 09:08 EDT</t>
  </si>
  <si>
    <t>2005-06-13 19:15:02 EDT</t>
  </si>
  <si>
    <t>[('CREATED', '2005-06-10 09:08 EDT'), ('tobias_widmer', '2005-06-13 19:15:02 EDT', 'dirk_baeumer'), (nan, '2005-06-17 08:29:31 EDT', 'dirk_baeumer'), ('tobias_widmer', '2005-06-17 08:29:31 EDT', 'dirk_baeumer'), ('3.2', '2005-06-17 08:29:31 EDT', 'dirk_baeumer'), ('N.Metchev', '2005-11-03 05:47:00 EST', 'nikolaymetchev'), ('RESOLVED', '2006-03-22 06:27:03 EST', 'tobias_widmer'), ('FIXED', '2006-03-22 06:27:03 EST', 'tobias_widmer'), ('3.2 M6', '2006-03-22 06:27:03 EST', 'tobias_widmer')]</t>
  </si>
  <si>
    <t>2005-06-10 11:34:40 EDT</t>
  </si>
  <si>
    <t>2005-06-10 11:28 EDT</t>
  </si>
  <si>
    <t>[('CREATED', '2005-06-10 11:28 EDT'), ('RESOLVED', '2005-06-10 11:34:40 EDT', 'dirk_baeumer'), ('DUPLICATE', '2005-06-10 11:34:40 EDT', 'dirk_baeumer')]</t>
  </si>
  <si>
    <t>95092 (view as bug list)</t>
  </si>
  <si>
    <t>2005-06-15 12:48:40 EDT</t>
  </si>
  <si>
    <t>2005-06-17 05:38:52 EDT</t>
  </si>
  <si>
    <t>2005-06-10 11:54 EDT</t>
  </si>
  <si>
    <t>2005-06-13 19:05:27 EDT</t>
  </si>
  <si>
    <t>[('CREATED', '2005-06-10 11:54 EDT'), ('tobias_widmer', '2005-06-13 19:05:27 EDT', 'dirk_baeumer'), ('[refactoring] Use Supertype Where Possible... leaves dialog open', '2005-06-13 19:05:40 EDT', 'dirk_baeumer'), ('tobias_widmer', '2005-06-15 09:01:08 EDT', 'tobias_widmer'), ('ASSIGNED', '2005-06-15 09:01:08 EDT', 'tobias_widmer'), ('3.1 RC3', '2005-06-15 10:53:49 EDT', 'dirk_baeumer'), ('RESOLVED', '2005-06-15 12:48:40 EDT', 'tobias_widmer'), ('FIXED', '2005-06-15 12:48:40 EDT', 'tobias_widmer'), ('VERIFIED', '2005-06-17 05:38:52 EDT', 'dirk_baeumer'), ('saff', '2005-06-21 05:16:30 EDT', 'tobias_widmer')]</t>
  </si>
  <si>
    <t>286632 (view as bug list)</t>
  </si>
  <si>
    <t>2005-06-12 06:23:34 EDT</t>
  </si>
  <si>
    <t>2009-08-17 09:32:16 EDT</t>
  </si>
  <si>
    <t>2005-06-11 11:23 EDT</t>
  </si>
  <si>
    <t>2005-06-11 12:50:49 EDT</t>
  </si>
  <si>
    <t>2009-08-17 09:32:30 EDT</t>
  </si>
  <si>
    <t>[('CREATED', '2005-06-11 11:23 EDT'), ('jdt-ui-inbox', '2005-06-11 12:50:49 EDT', 'Olivier_Thomann'), ('UI', '2005-06-11 12:50:49 EDT', 'Olivier_Thomann'), ('[organize import] Add option to prevent addition of imports for Nested Types', '2005-06-12 06:23:34 EDT', 'dirk_baeumer'), ('RESOLVED', '2005-06-12 06:23:34 EDT', 'dirk_baeumer'), ('P4', '2005-06-12 06:23:34 EDT', 'dirk_baeumer'), ('LATER', '2005-06-12 06:23:34 EDT', 'dirk_baeumer'), ('jlp', '2009-08-17 09:30:49 EDT', 'markus.kell.r'), ('markus_keller', '2009-08-17 09:32:16 EDT', 'markus.kell.r'), ('REOPENED', '2009-08-17 09:32:16 EDT', 'markus.kell.r'), ('P5', '2009-08-17 09:32:16 EDT', 'markus.kell.r'), ('---', '2009-08-17 09:32:16 EDT', 'markus.kell.r'), ('[organize import] Add option to prevent addition of imports for nested types', '2009-08-17 09:32:16 EDT', 'markus.kell.r'), ('ASSIGNED', '2009-08-17 09:32:30 EDT', 'markus.kell.r')]</t>
  </si>
  <si>
    <t>2020-03-29 05:40:58 EDT</t>
  </si>
  <si>
    <t>2005-06-13 05:14 EDT</t>
  </si>
  <si>
    <t>2005-06-13 05:16:27 EDT</t>
  </si>
  <si>
    <t>[('CREATED', '2005-06-13 05:14 EDT'), ('markus_keller', '2005-06-13 05:16:27 EDT', 'dirk_baeumer'), ('[refactoring] Infre type arguments: open issues when converting code', '2005-06-13 19:29:37 EDT', 'dirk_baeumer'), ('markus_keller', '2005-06-16 09:24:17 EDT', 'markus.kell.r'), ('3.2', '2005-06-16 09:24:17 EDT', 'markus.kell.r'), ('ASSIGNED', '2006-04-28 10:13:54 EDT', 'markus.kell.r'), ('3.3', '2006-04-28 10:13:54 EDT', 'markus.kell.r'), ('[Infer Type Arguments] open issues when converting code', '2006-05-30 11:41:16 EDT', 'markus.kell.r'), ('3.4', '2007-05-11 18:50:06 EDT', 'markus.kell.r'), ('3.5', '2008-05-10 12:17:17 EDT', 'markus.kell.r'), ('daniel_megert', '2008-11-13 03:36:52 EST', 'daniel_megert'), ('[infer type arguments] open issues when converting code', '2008-11-13 03:36:52 EST', 'daniel_megert'), ('---', '2009-04-30 13:25:07 EDT', 'markus.kell.r'), ('stalebug', '2020-03-29 05:40:58 EDT', 'genie'), ('WONTFIX', '2020-03-29 05:40:58 EDT', 'genie'), ('CLOSED', '2020-03-29 05:40:58 EDT', 'genie')]</t>
  </si>
  <si>
    <t>RESOLVED  DUPLICATE  of bug 97311</t>
  </si>
  <si>
    <t>2005-06-13 19:02:16 EDT</t>
  </si>
  <si>
    <t>2005-06-13 06:13 EDT</t>
  </si>
  <si>
    <t>[('CREATED', '2005-06-13 06:13 EDT'), ('RESOLVED', '2005-06-13 19:02:16 EDT', 'dirk_baeumer'), ('DUPLICATE', '2005-06-13 19:02:16 EDT', 'dirk_baeumer')]</t>
  </si>
  <si>
    <t>302832 (view as bug list)</t>
  </si>
  <si>
    <t>2020-02-21 14:00:12 EST</t>
  </si>
  <si>
    <t>2005-06-13 06:16 EDT</t>
  </si>
  <si>
    <t>2005-06-13 19:00:36 EDT</t>
  </si>
  <si>
    <t>[('CREATED', '2005-06-13 06:16 EDT'), ('markus_keller', '2005-06-13 19:00:36 EDT', 'dirk_baeumer'), ('[refactoring] Change method signature incorrectly rewrites type variable with concrete type [refactoring]', '2005-06-13 19:00:36 EDT', 'dirk_baeumer'), ('ASSIGNED', '2005-06-15 10:06:59 EDT', 'markus.kell.r'), ('NEW', '2005-06-16 05:28:19 EDT', 'dirk_baeumer'), ('3.2', '2005-06-16 05:28:19 EDT', 'dirk_baeumer'), ('markus_keller', '2005-06-16 05:28:19 EDT', 'dirk_baeumer'), ('ASSIGNED', '2006-04-28 10:13:20 EDT', 'markus.kell.r'), ('3.3', '2006-04-28 10:13:20 EDT', 'markus.kell.r'), ('[Change Method Signature] incorrectly rewrites type variable with concrete type', '2006-05-30 11:41:56 EDT', 'markus.kell.r'), (nan, '2007-05-11 18:50:42 EDT', 'markus.kell.r'), ('3.4', '2007-05-11 18:50:42 EDT', 'markus.kell.r'), ('3.5', '2008-05-10 12:17:32 EDT', 'markus.kell.r'), ('---', '2009-05-06 07:08:05 EDT', 'markus.kell.r'), ('michael_schneider', '2010-02-15 05:11:31 EST', 'markus.kell.r'), ('CLOSED', '2020-02-21 14:00:12 EST', 'genie'), ('WONTFIX', '2020-02-21 14:00:12 EST', 'genie'), ('stalebug', '2020-02-21 14:00:12 EST', 'genie')]</t>
  </si>
  <si>
    <t>2005-06-13 06:32 EDT</t>
  </si>
  <si>
    <t>2005-06-13 18:55:12 EDT</t>
  </si>
  <si>
    <t>2018-11-21 12:35:03 EST</t>
  </si>
  <si>
    <t>[('CREATED', '2005-06-13 06:32 EDT'), ('markus_keller', '2005-06-13 18:55:12 EDT', 'dirk_baeumer'), ('[refactoring] Change method signature issues wrong error message on vararg clash in overriding method [refactoring]', '2005-06-13 18:55:12 EDT', 'dirk_baeumer'), ('[change method signature] issues wrong error message on vararg clash in overriding method', '2006-08-03 12:22:31 EDT', 'martinae'), ('stalebug', '2018-11-21 12:35:03 EST', 'genie')]</t>
  </si>
  <si>
    <t>2005-06-16 08:08:11 EDT</t>
  </si>
  <si>
    <t>2005-06-17 07:59:40 EDT</t>
  </si>
  <si>
    <t>2005-06-13 06:55 EDT</t>
  </si>
  <si>
    <t>2005-06-13 18:49:40 EDT</t>
  </si>
  <si>
    <t>[('CREATED', '2005-06-13 06:55 EDT'), ('tobias_widmer', '2005-06-13 18:49:40 EDT', 'dirk_baeumer'), ('[refactoring] Move member type to new file does not update type parameters', '2005-06-13 18:49:40 EDT', 'dirk_baeumer'), ('[refactoring][refactoring] Move member type to new file does not update type parameters', '2005-06-13 19:30:51 EDT', 'dirk_baeumer'), ('dirk_baeumer', '2005-06-14 10:22:01 EDT', 'tobias_widmer'), ('tobias_widmer', '2005-06-14 10:22:01 EDT', 'tobias_widmer'), ('martin_aeschlimann', '2005-06-16 03:31:40 EDT', 'dirk_baeumer'), ('3.1 RC3', '2005-06-16 03:31:40 EDT', 'dirk_baeumer'), ('1', '2005-06-16 05:32:29 EDT', 'tobias_widmer'), ('RESOLVED', '2005-06-16 08:08:11 EDT', 'tobias_widmer'), ('FIXED', '2005-06-16 08:08:11 EDT', 'tobias_widmer'), ('VERIFIED', '2005-06-17 07:59:40 EDT', 'dirk_baeumer')]</t>
  </si>
  <si>
    <t>420265 (view as bug list)</t>
  </si>
  <si>
    <t>2020-05-17 17:11:58 EDT</t>
  </si>
  <si>
    <t>2005-06-13 08:51 EDT</t>
  </si>
  <si>
    <t>2005-06-13 18:33:44 EDT</t>
  </si>
  <si>
    <t>[('CREATED', '2005-06-13 08:51 EDT'), ('markus_keller', '2005-06-13 18:33:44 EDT', 'dirk_baeumer'), ('[refactoring] Rename method misses ambiguosly overridden method [refactoring]', '2005-06-13 18:33:44 EDT', 'dirk_baeumer'), (nan, '2005-06-14 18:46:09 EDT', 'dirk_baeumer'), ('markus_keller', '2005-06-14 18:46:09 EDT', 'dirk_baeumer'), ('3.2', '2005-06-14 18:46:09 EDT', 'dirk_baeumer'), ('3.3', '2006-04-28 10:00:18 EDT', 'markus.kell.r'), ('ASSIGNED', '2006-06-08 11:35:35 EDT', 'markus.kell.r'), ('[rename] Rename method misses ambiguosly overridden method', '2006-06-08 11:35:35 EDT', 'markus.kell.r'), ('3.4', '2007-05-11 18:56:22 EDT', 'markus.kell.r'), ('3.5', '2008-05-10 12:21:23 EDT', 'markus.kell.r'), ('---', '2009-05-06 07:03:22 EDT', 'markus.kell.r'), ('[rename] Rename method misses ambiguously overridden method', '2009-05-06 07:03:22 EDT', 'markus.kell.r'), ('nikolaymetchev', '2013-10-24 09:14:15 EDT', 'manju656'), ('1', '2013-10-25 06:03:42 EDT', 'nikolaymetchev'), ('1', '2013-10-28 06:49:34 EDT', 'nikolaymetchev'), ('daniel_megert, noopur_gupta', '2013-12-19 01:23:41 EST', 'noopur_gupta'), ('review?(noopur_gupta)', '2013-12-19 01:23:41 EST', 'noopur_gupta'), ('markus_keller', '2013-12-19 01:24:00 EST', 'noopur_gupta'), ('review?(markus_keller)', '2013-12-19 01:24:00 EST', 'noopur_gupta'), ('eclipse', '2014-03-13 16:04:53 EDT', 'eclipse'), ('gautier.desaintmartinlacaze', '2016-04-03 16:37:22 EDT', 'gautier.desaintmartinlacaze'), ('noopur_gupta', '2016-04-04 05:01:42 EDT', 'daniel_megert'), ('4.6 M7', '2016-04-04 05:01:42 EDT', 'daniel_megert'), (nan, '2016-04-04 05:01:42 EDT', 'daniel_megert'), ('https://git.eclipse.org/r/69935', '2016-04-05 12:01:30 EDT', 'genie'), ('nikolaymetchev', '2016-04-06 07:42:55 EDT', 'noopur_gupta'), ('review-', '2016-04-06 07:42:55 EDT', 'noopur_gupta'), ('https://git.eclipse.org/r/70037', '2016-04-06 10:56:50 EDT', 'genie'), ('review?(noopur_gupta)', '2016-04-07 02:29:14 EDT', 'noopur_gupta'), (nan, '2016-04-07 09:23:12 EDT', 'noopur_gupta'), ('review-', '2016-04-07 09:23:12 EDT', 'noopur_gupta'), ('4.7', '2016-04-23 03:23:15 EDT', 'noopur_gupta'), ('473034', '2016-09-14 11:48:09 EDT', 'markus.kell.r'), ('395349', '2016-09-14 11:49:34 EDT', 'markus.kell.r'), ('4.8', '2017-05-10 05:51:38 EDT', 'noopur_gupta'), ('---', '2018-04-13 06:27:35 EDT', 'noopur_gupta'), ('CLOSED', '2020-05-17 17:11:58 EDT', 'genie'), ('WONTFIX', '2020-05-17 17:11:58 EDT', 'genie'), ('stalebug', '2020-05-17 17:11:58 EDT', 'genie')]</t>
  </si>
  <si>
    <t>2005-06-13 18:27:25 EDT</t>
  </si>
  <si>
    <t>2009-08-30 02:20:35 EDT</t>
  </si>
  <si>
    <t>2005-06-13 08:58 EDT</t>
  </si>
  <si>
    <t>[('CREATED', '2005-06-13 08:58 EDT'), ('LATER', '2005-06-13 18:27:25 EDT', 'dirk_baeumer'), ('[refactoring] Generalize Type not supported for enumerated types', '2005-06-13 18:27:25 EDT', 'dirk_baeumer'), ('RESOLVED', '2005-06-13 18:27:25 EDT', 'dirk_baeumer'), ('P4', '2005-06-13 18:27:25 EDT', 'dirk_baeumer'), ('WONTFIX', '2009-08-30 02:20:35 EDT', 'denis.roy')]</t>
  </si>
  <si>
    <t>RESOLVED  DUPLICATE  of bug 99673</t>
  </si>
  <si>
    <t>2005-06-13 11:18:12 EDT</t>
  </si>
  <si>
    <t>2005-06-13 10:54 EDT</t>
  </si>
  <si>
    <t>[('CREATED', '2005-06-13 10:54 EDT'), ('RESOLVED', '2005-06-13 11:18:12 EDT', 'dirk_baeumer'), ('DUPLICATE', '2005-06-13 11:18:12 EDT', 'dirk_baeumer')]</t>
  </si>
  <si>
    <t>99671 (view as bug list)</t>
  </si>
  <si>
    <t>2020-03-30 06:00:34 EDT</t>
  </si>
  <si>
    <t>2020-04-07 08:54:01 EDT</t>
  </si>
  <si>
    <t>2005-06-13 10:58 EDT</t>
  </si>
  <si>
    <t>2005-06-13 11:16:08 EDT</t>
  </si>
  <si>
    <t>kalyan_prasad</t>
  </si>
  <si>
    <t>[('CREATED', '2005-06-13 10:58 EDT'), ('tip', '2005-06-13 11:16:08 EDT', 'dirk_baeumer'), ('ASSIGNED', '2005-06-13 11:16:08 EDT', 'dirk_baeumer'), ('[refactoring] Generalize Type refactoring does not remove unused imports', '2005-06-13 11:16:08 EDT', 'dirk_baeumer'), ('3.2', '2005-06-13 11:16:08 EDT', 'dirk_baeumer'), ('3.3', '2006-04-27 14:00:41 EDT', 'martinae'), ('[generalize type] does not remove unused imports', '2006-06-09 06:07:59 EDT', 'martinae'), ('---', '2007-05-09 06:34:08 EDT', 'martinae'), ('stalebug', '2019-01-10 17:09:52 EST', 'genie'), (nan, '2019-01-11 12:10:25 EST', 'daniel_megert'), ('kalyan_prasad', '2019-01-11 12:10:25 EST', 'daniel_megert'), ('daniel_megert', '2019-01-11 12:10:25 EST', 'daniel_megert'), ('https://git.eclipse.org/r/160170', '2020-03-30 04:42:52 EDT', 'genie'), ('4.16 M1', '2020-03-30 05:59:43 EDT', 'kalyan_prasad'), ('https://git.eclipse.org/c/jdt/eclipse.jdt.ui.git/commit/?id=1a7ac9368c336594db32b7cd31049b7b6777d803', '2020-03-30 06:00:21 EDT', 'genie'), ('RESOLVED', '2020-03-30 06:00:34 EDT', 'kalyan_prasad'), ('FIXED', '2020-03-30 06:00:34 EDT', 'kalyan_prasad'), ('VERIFIED', '2020-04-07 08:54:01 EDT', 'kalyan_prasad')]</t>
  </si>
  <si>
    <t>2005-06-16 05:05:20 EDT</t>
  </si>
  <si>
    <t>2005-06-17 05:14:20 EDT</t>
  </si>
  <si>
    <t>2005-06-13 11:04 EDT</t>
  </si>
  <si>
    <t>2005-06-13 17:59:25 EDT</t>
  </si>
  <si>
    <t>[('CREATED', '2005-06-13 11:04 EDT'), ('[refactoring] Generalize Type generates unusable undo menu label [refactoring]', '2005-06-13 17:59:25 EDT', 'dirk_baeumer'), ('daniel_megert', '2005-06-16 03:15:56 EDT', 'dirk_baeumer'), ('3.1 RC3', '2005-06-16 03:15:56 EDT', 'dirk_baeumer'), ('RESOLVED', '2005-06-16 05:05:20 EDT', 'dirk_baeumer'), ('FIXED', '2005-06-16 05:05:20 EDT', 'dirk_baeumer'), ('VERIFIED', '2005-06-17 05:14:20 EDT', 'tobias_widmer')]</t>
  </si>
  <si>
    <t>2005-06-16 09:25:52 EDT</t>
  </si>
  <si>
    <t>2005-06-17 08:02:26 EDT</t>
  </si>
  <si>
    <t>2005-06-13 11:05 EDT</t>
  </si>
  <si>
    <t>2005-06-13 17:56:56 EDT</t>
  </si>
  <si>
    <t>[('CREATED', '2005-06-13 11:05 EDT'), ('[refactoring] Convert anonymous creates unnecessary fields for enum types', '2005-06-13 17:56:56 EDT', 'dirk_baeumer'), ('tobias_widmer', '2005-06-13 19:37:27 EDT', 'dirk_baeumer'), (nan, '2005-06-15 05:19:45 EDT', 'tobias_widmer'), ('tobias_widmer', '2005-06-15 05:19:45 EDT', 'tobias_widmer'), ('dirk_baeumer', '2005-06-15 05:21:10 EDT', 'tobias_widmer'), ('martin_aeschlimann', '2005-06-16 08:28:24 EDT', 'dirk_baeumer'), ('3.1 RC3', '2005-06-16 08:28:24 EDT', 'dirk_baeumer'), ('daniel_megert', '2005-06-16 09:05:53 EDT', 'dirk_baeumer'), ('RESOLVED', '2005-06-16 09:25:52 EDT', 'tobias_widmer'), ('FIXED', '2005-06-16 09:25:52 EDT', 'tobias_widmer'), ('VERIFIED', '2005-06-17 08:02:26 EDT', 'dirk_baeumer')]</t>
  </si>
  <si>
    <t>2005-07-04 06:22:15 EDT</t>
  </si>
  <si>
    <t>2005-06-13 11:21 EDT</t>
  </si>
  <si>
    <t>2005-06-16 13:34:39 EDT</t>
  </si>
  <si>
    <t>[('CREATED', '2005-06-13 11:21 EDT'), ('tobias_widmer', '2005-06-16 13:34:39 EDT', 'dirk_baeumer'), ('[refactoring] Use supertype where possible puts type parameter in import', '2005-06-16 13:34:39 EDT', 'dirk_baeumer'), ('3.2', '2005-06-16 13:34:39 EDT', 'dirk_baeumer'), ('RESOLVED', '2005-07-04 06:22:15 EDT', 'tobias_widmer'), ('FIXED', '2005-07-04 06:22:15 EDT', 'tobias_widmer')]</t>
  </si>
  <si>
    <t>2005-06-15 12:47:48 EDT</t>
  </si>
  <si>
    <t>2005-06-17 07:01:07 EDT</t>
  </si>
  <si>
    <t>2005-06-13 15:12 EDT</t>
  </si>
  <si>
    <t>2005-06-13 17:14:53 EDT</t>
  </si>
  <si>
    <t>[('CREATED', '2005-06-13 15:12 EDT'), ('tobias_widmer', '2005-06-13 17:14:53 EDT', 'dirk_baeumer'), ('[refactoring] Move Member Type to New File destroys variable declarations', '2005-06-13 17:57:25 EDT', 'dirk_baeumer'), (nan, '2005-06-14 10:13:01 EDT', 'tobias_widmer'), ('tobias_widmer', '2005-06-14 10:13:01 EDT', 'tobias_widmer'), ('dirk_baeumer', '2005-06-14 10:14:47 EDT', 'tobias_widmer'), ('martin_aeschlimann', '2005-06-15 06:34:08 EDT', 'dirk_baeumer'), ('3.1 RC3', '2005-06-15 06:34:08 EDT', 'dirk_baeumer'), ('1', '2005-06-15 11:02:16 EDT', 'tobias_widmer'), ('RESOLVED', '2005-06-15 12:47:48 EDT', 'tobias_widmer'), ('FIXED', '2005-06-15 12:47:48 EDT', 'tobias_widmer'), ('VERIFIED', '2005-06-17 07:01:07 EDT', 'markus.kell.r')]</t>
  </si>
  <si>
    <t>132840 223593 (view as bug list)</t>
  </si>
  <si>
    <t>2008-05-22 13:09:46 EDT</t>
  </si>
  <si>
    <t>2008-05-23 12:13:57 EDT</t>
  </si>
  <si>
    <t>2005-06-14 07:06 EDT</t>
  </si>
  <si>
    <t>2005-06-14 09:44:47 EDT</t>
  </si>
  <si>
    <t>[('CREATED', '2005-06-14 07:06 EDT'), ('[refactoring] Generalize Type throws ArrayOutOfBoundsException', '2005-06-14 09:44:47 EDT', 'dirk_baeumer'), ('tip', '2005-06-17 08:32:58 EDT', 'dirk_baeumer'), ('3.2', '2005-06-17 08:32:58 EDT', 'dirk_baeumer'), ('markus_keller', '2006-03-22 12:42:40 EST', 'markus.kell.r'), ('tobias_widmer', '2006-03-22 12:42:53 EST', 'markus.kell.r'), ('markus_keller', '2006-04-27 14:05:17 EDT', 'martinae'), ('3.2 RC3', '2006-04-27 14:05:17 EDT', 'martinae'), ('RC3 candidate', '2006-05-01 12:20:40 EDT', 'daniel_megert'), ('---', '2006-05-01 12:20:40 EDT', 'daniel_megert'), ('eclipse', '2006-05-04 10:38:10 EDT', 'eclipse'), ('3.3', '2006-05-04 11:44:20 EDT', 'markus.kell.r'), ('markus_keller', '2006-05-04 11:44:20 EDT', 'markus.kell.r'), (nan, '2006-05-04 11:44:20 EDT', 'markus.kell.r'), ('ASSIGNED', '2006-06-08 11:26:02 EDT', 'markus.kell.r'), ('[generalize type] throws ArrayOutOfBoundsException', '2006-06-08 11:26:02 EDT', 'markus.kell.r'), ('3.4', '2007-05-11 18:53:48 EDT', 'markus.kell.r'), ('mark_addleman', '2008-03-25 06:04:42 EDT', 'markus.kell.r'), ('BrianMiller', '2008-03-25 13:01:32 EDT', 'Brian.Miller'), ('martin_aeschlimann', '2008-05-19 06:14:50 EDT', 'martinae'), ('3.4 RC2', '2008-05-19 06:14:50 EDT', 'martinae'), ('1', '2008-05-22 07:15:24 EDT', 'markus.kell.r'), ('review?(martin_aeschlimann)', '2008-05-22 07:17:26 EDT', 'markus.kell.r'), ('review?(benno_baumgartner)', '2008-05-22 10:36:39 EDT', 'markus.kell.r'), ('review+', '2008-05-22 12:37:04 EDT', 'martinae'), ('benno_baumgartner', '2008-05-22 13:06:23 EDT', 'benno.baumgartner'), ('review+', '2008-05-22 13:06:23 EDT', 'benno.baumgartner'), ('RESOLVED', '2008-05-22 13:09:46 EDT', 'markus.kell.r'), ('FIXED', '2008-05-22 13:09:46 EDT', 'markus.kell.r'), ('VERIFIED', '2008-05-23 12:13:57 EDT', 'martinae')]</t>
  </si>
  <si>
    <t>RESOLVED  DUPLICATE  of bug 149462</t>
  </si>
  <si>
    <t>2007-02-16 04:39:04 EST</t>
  </si>
  <si>
    <t>2005-06-14 08:17 EDT</t>
  </si>
  <si>
    <t>2006-05-29 06:19:52 EDT</t>
  </si>
  <si>
    <t>[('CREATED', '2005-06-14 08:17 EDT'), ("[reorg] copy and moving elements inside CUs shouldn't require saving the CU anymore [refactoring]", '2006-05-29 06:19:52 EDT', 'tobias_widmer'), ('markus_keller', '2007-02-16 04:28:38 EST', 'martinae'), ('RESOLVED', '2007-02-16 04:39:04 EST', 'markus.kell.r'), ('DUPLICATE', '2007-02-16 04:39:04 EST', 'markus.kell.r')]</t>
  </si>
  <si>
    <t>99954</t>
  </si>
  <si>
    <t>2005-06-14 09:37:59 EDT</t>
  </si>
  <si>
    <t>2009-08-30 02:20:09 EDT</t>
  </si>
  <si>
    <t>2005-06-14 09:07 EDT</t>
  </si>
  <si>
    <t>[('CREATED', '2005-06-14 09:07 EDT'), ('99954', '2005-06-14 09:37:59 EDT', 'dirk_baeumer'), ('RESOLVED', '2005-06-14 09:37:59 EDT', 'dirk_baeumer'), ('LATER', '2005-06-14 09:37:59 EDT', 'dirk_baeumer'), ('[build path] The Add* Build Path operations result in two stacked dialogs', '2005-06-14 09:37:59 EDT', 'dirk_baeumer'), ('WONTFIX', '2009-08-30 02:20:09 EDT', 'denis.roy')]</t>
  </si>
  <si>
    <t>2005-06-15 12:14:46 EDT</t>
  </si>
  <si>
    <t>2005-06-17 09:25:16 EDT</t>
  </si>
  <si>
    <t>2005-06-14 09:56 EDT</t>
  </si>
  <si>
    <t>2005-06-14 18:44:34 EDT</t>
  </si>
  <si>
    <t>[('CREATED', '2005-06-14 09:56 EDT'), ('markus_keller', '2005-06-14 18:44:34 EDT', 'dirk_baeumer'), ('[refactoring] NPE in Infer Type Arguments', '2005-06-14 18:44:50 EDT', 'dirk_baeumer'), ('martin_aeschlimann', '2005-06-15 06:52:24 EDT', 'dirk_baeumer'), ('markus_keller', '2005-06-15 06:52:24 EDT', 'dirk_baeumer'), ('3.1 RC3', '2005-06-15 06:52:24 EDT', 'dirk_baeumer'), ('ASSIGNED', '2005-06-15 08:19:30 EDT', 'markus.kell.r'), ('RESOLVED', '2005-06-15 12:14:46 EDT', 'markus.kell.r'), ('FIXED', '2005-06-15 12:14:46 EDT', 'markus.kell.r'), ('VERIFIED', '2005-06-17 09:25:16 EDT', 'dirk_baeumer')]</t>
  </si>
  <si>
    <t>2005-06-15 05:58:26 EDT</t>
  </si>
  <si>
    <t>2005-06-14 11:04 EDT</t>
  </si>
  <si>
    <t>2005-06-15 04:40:15 EDT</t>
  </si>
  <si>
    <t>[('CREATED', '2005-06-14 11:04 EDT'), ('daniel_megert', '2005-06-15 04:40:15 EDT', 'dirk_baeumer'), ('dirk_baeumer', '2005-06-15 04:40:15 EDT', 'dirk_baeumer'), ('[refactoring] Inline method deletes all comments', '2005-06-15 04:40:15 EDT', 'dirk_baeumer'), ('FIXED', '2005-06-15 05:58:26 EDT', 'dirk_baeumer'), ('RESOLVED', '2005-06-15 05:58:26 EDT', 'dirk_baeumer')]</t>
  </si>
  <si>
    <t>2005-06-14 17:19 EDT</t>
  </si>
  <si>
    <t>2005-06-14 19:05:23 EDT</t>
  </si>
  <si>
    <t>2019-08-31 08:35:18 EDT</t>
  </si>
  <si>
    <t>[('CREATED', '2005-06-14 17:19 EDT'), ('jdt-ui-inbox', '2005-06-14 19:05:23 EDT', 'philippe_mulet'), ('UI', '2005-06-14 19:05:23 EDT', 'philippe_mulet'), ('markus_keller', '2005-06-15 03:24:30 EDT', 'dirk_baeumer'), ('[refactoring] [rename] Method overwrite warning when renaming field.', '2005-06-15 03:24:30 EDT', 'dirk_baeumer'), ('[rename] Method overwrite warning when renaming field.', '2006-08-03 12:20:25 EDT', 'martinae'), ('stalebug', '2019-08-31 08:35:18 EDT', 'genie')]</t>
  </si>
  <si>
    <t>2020-05-03 20:34:17 EDT</t>
  </si>
  <si>
    <t>2010-08-08 08:27:42 EDT</t>
  </si>
  <si>
    <t>2010-08-09 10:45:05 EDT</t>
  </si>
  <si>
    <t>2005-06-15 05:54 EDT</t>
  </si>
  <si>
    <t>2005-06-15 05:55:28 EDT</t>
  </si>
  <si>
    <t>[('CREATED', '2005-06-15 05:54 EDT'), ('[refactoring] Inline method: looses comments when returning value', '2005-06-15 05:55:28 EDT', 'dirk_baeumer'), ('saff', '2005-06-15 06:04:06 EDT', 'david'), ('[refactoring] [inline] Inline method: looses comments when returning value', '2006-04-05 14:03:45 EDT', 'dirk_baeumer'), ('markus_keller', '2006-06-02 06:22:55 EDT', 'martinae'), ('[inline] looses comments when returning value', '2006-06-02 06:22:55 EDT', 'martinae'), ('deepak.azad', '2010-08-08 08:27:42 EDT', 'deepakazad'), ('DUPLICATE', '2010-08-08 08:27:42 EDT', 'deepakazad'), ('CLOSED', '2010-08-08 08:27:42 EDT', 'deepakazad'), ('REOPENED', '2010-08-09 10:45:05 EDT', 'raksha.vasisht'), ('raksha.vasisht', '2010-08-09 10:45:05 EDT', 'raksha.vasisht'), ('---', '2010-08-09 10:45:05 EDT', 'raksha.vasisht'), ('ASSIGNED', '2011-01-24 14:30:58 EST', 'markus.kell.r'), ('raksha.vasisht', '2011-01-24 14:30:58 EST', 'markus.kell.r'), ('fix candidate', '2011-01-24 14:30:58 EST', 'markus.kell.r'), ('markus_keller', '2011-01-24 14:31:10 EST', 'markus.kell.r'), ('review-', '2011-04-21 09:29:13 EDT', 'markus.kell.r'), ('3.8', '2011-04-21 11:38:01 EDT', 'raksha.vasisht'), ('daniel_megert', '2012-02-20 10:04:30 EST', 'daniel_megert'), ('jdt-ui-inbox', '2012-02-20 10:04:30 EST', 'daniel_megert'), ('---', '2012-02-20 10:04:38 EST', 'daniel_megert'), ('manju_mathew', '2014-05-26 02:40:44 EDT', 'manju656'), ('WONTFIX', '2020-05-03 20:34:17 EDT', 'genie'), ('CLOSED', '2020-05-03 20:34:17 EDT', 'genie'), ('stalebug', '2020-05-03 20:34:17 EDT', 'genie')]</t>
  </si>
  <si>
    <t>2020-03-07 17:36:00 EST</t>
  </si>
  <si>
    <t>2005-06-15 06:57 EDT</t>
  </si>
  <si>
    <t>2005-06-15 06:57:45 EDT</t>
  </si>
  <si>
    <t>[('CREATED', '2005-06-15 06:57 EDT'), ('ASSIGNED', '2005-06-15 06:57:45 EDT', 'markus.kell.r'), ('3.2', '2005-06-15 06:57:45 EDT', 'markus.kell.r'), ('3.3', '2006-04-28 10:00:35 EDT', 'markus.kell.r'), ('[refactoring] Code clarification: the two TypeEnvironment#createArrayType(..) should look the same', '2006-06-08 11:34:48 EDT', 'markus.kell.r'), ('3.4', '2007-05-11 18:56:08 EDT', 'markus.kell.r'), ('3.5', '2008-05-10 12:21:15 EDT', 'markus.kell.r'), ('---', '2009-05-06 06:26:07 EDT', 'markus.kell.r'), ('stalebug', '2020-03-07 17:36:00 EST', 'genie'), ('WONTFIX', '2020-03-07 17:36:00 EST', 'genie'), ('CLOSED', '2020-03-07 17:36:00 EST', 'genie')]</t>
  </si>
  <si>
    <t>2005-06-17 08:27:44 EDT</t>
  </si>
  <si>
    <t>2005-06-15 08:17 EDT</t>
  </si>
  <si>
    <t>2005-06-15 08:46:01 EDT</t>
  </si>
  <si>
    <t>[('CREATED', '2005-06-15 08:17 EDT'), ('[refactoring] NPE in infer generic type argument', '2005-06-15 08:46:01 EDT', 'dirk_baeumer'), ('RESOLVED', '2005-06-17 08:27:44 EDT', 'dirk_baeumer'), ('WORKSFORME', '2005-06-17 08:27:44 EDT', 'dirk_baeumer')]</t>
  </si>
  <si>
    <t>2005-08-15 04:40:10 EDT</t>
  </si>
  <si>
    <t>2005-09-02 08:39:21 EDT</t>
  </si>
  <si>
    <t>2005-06-15 11:26 EDT</t>
  </si>
  <si>
    <t>2005-06-15 11:35:44 EDT</t>
  </si>
  <si>
    <t>[('CREATED', '2005-06-15 11:26 EDT'), ('jdt-ui-inbox', '2005-06-15 11:35:44 EDT', 'Olivier_Thomann'), ('UI', '2005-06-15 11:35:44 EDT', 'Olivier_Thomann'), ('tobias_widmer', '2005-06-15 12:44:30 EDT', 'dirk_baeumer'), ('[source actions] Strange behavior in "Generate Constructor using Fields"', '2005-06-15 12:44:30 EDT', 'dirk_baeumer'), ('markus_keller', '2005-07-26 04:56:51 EDT', 'markus.kell.r'), ('3.1.1', '2005-07-28 08:10:41 EDT', 'dirk_baeumer'), ('andrea.aime', '2005-08-04 04:06:17 EDT', 'andrea.aime'), ('goerge', '2005-08-06 12:14:18 EDT', 'goerge'), ('martin_aeschlimann', '2005-08-08 12:08:07 EDT', 'tobias_widmer'), ('1', '2005-08-10 13:39:43 EDT', 'markus.kell.r'), ('1', '2005-08-10 13:39:43 EDT', 'markus.kell.r'), ('3.2 M2', '2005-08-11 04:35:11 EDT', 'tobias_widmer'), ('3.1.1', '2005-08-11 05:03:01 EDT', 'tobias_widmer'), ('RESOLVED', '2005-08-15 04:40:10 EDT', 'tobias_widmer'), ('FIXED', '2005-08-15 04:40:10 EDT', 'tobias_widmer'), ('VERIFIED', '2005-09-02 08:39:21 EDT', 'eclipse')]</t>
  </si>
  <si>
    <t>2005-11-20 10:51:05 EST</t>
  </si>
  <si>
    <t>2005-12-13 13:03:55 EST</t>
  </si>
  <si>
    <t>2005-06-15 16:29:07 EDT</t>
  </si>
  <si>
    <t>[('CREATED', '2005-06-15 11:26 EDT'), ('dirk_baeumer', '2005-06-15 16:29:07 EDT', 'dirk_baeumer'), ('[refactoring] Encapsulate field breaks static import statement.', '2005-06-15 16:29:07 EDT', 'dirk_baeumer'), ('3.2', '2005-06-15 16:29:07 EDT', 'dirk_baeumer'), ('RESOLVED', '2005-11-20 10:51:05 EST', 'dirk_baeumer'), ('FIXED', '2005-11-20 10:51:05 EST', 'dirk_baeumer'), ('3.2 M4', '2005-11-20 10:51:05 EST', 'dirk_baeumer'), ('markus_keller', '2005-12-13 12:15:24 EST', 'eclipsetalk2'), ('VERIFIED', '2005-12-13 13:03:55 EST', 'markus.kell.r')]</t>
  </si>
  <si>
    <t>2005-06-16 09:23:38 EDT</t>
  </si>
  <si>
    <t>2005-06-17 10:20:26 EDT</t>
  </si>
  <si>
    <t>2005-06-16 09:10 EDT</t>
  </si>
  <si>
    <t>2005-06-16 09:12:34 EDT</t>
  </si>
  <si>
    <t>[('CREATED', '2005-06-16 09:10 EDT'), ('daniel_megert', '2005-06-16 09:12:34 EDT', 'dirk_baeumer'), ('3.1 RC3', '2005-06-16 09:12:34 EDT', 'dirk_baeumer'), ('RESOLVED', '2005-06-16 09:23:38 EDT', 'markus.kell.r'), ('FIXED', '2005-06-16 09:23:38 EDT', 'markus.kell.r'), ('VERIFIED', '2005-06-17 10:20:26 EDT', 'dirk_baeumer')]</t>
  </si>
  <si>
    <t>2005-06-16 12:57:37 EDT</t>
  </si>
  <si>
    <t>2005-06-16 11:00 EDT</t>
  </si>
  <si>
    <t>2005-06-16 11:06:12 EDT</t>
  </si>
  <si>
    <t>[('CREATED', '2005-06-16 11:00 EDT'), ('markus_keller', '2005-06-16 11:06:12 EDT', 'dirk_baeumer'), ('dirk_baeumer', '2005-06-16 12:57:37 EDT', 'markus.kell.r'), ('RESOLVED', '2005-06-16 12:57:37 EDT', 'markus.kell.r'), ('WONTFIX', '2005-06-16 12:57:37 EDT', 'markus.kell.r')]</t>
  </si>
  <si>
    <t>2020-07-31 10:42:29 EDT</t>
  </si>
  <si>
    <t>2020-08-19 14:15:01 EDT</t>
  </si>
  <si>
    <t>2020-04-02 08:54:53 EDT</t>
  </si>
  <si>
    <t>2020-07-15 02:17:10 EDT</t>
  </si>
  <si>
    <t>2005-06-16 11:47 EDT</t>
  </si>
  <si>
    <t>2005-06-16 13:24:39 EDT</t>
  </si>
  <si>
    <t>[('CREATED', '2005-06-16 11:47 EDT'), ('tobias_widmer', '2005-06-16 13:24:39 EDT', 'dirk_baeumer'), ('[refactoring] Extract local: incorrect warning "already defined in the visible scope"', '2005-06-16 13:24:39 EDT', 'dirk_baeumer'), ('markus_keller', '2006-04-10 07:24:48 EDT', 'tobias_widmer'), ('[extract local] incorrect warning "already defined in the visible scope"', '2006-08-03 12:25:44 EDT', 'martinae'), ('ruediger.herrmann', '2012-01-05 17:16:36 EST', 'ruediger.herrmann'), ('zorzella', '2017-09-15 11:39:22 EDT', 'zorzella'), ('WONTFIX', '2020-04-02 08:54:53 EDT', 'genie'), ('CLOSED', '2020-04-02 08:54:53 EDT', 'genie'), ('stalebug', '2020-04-02 08:54:53 EDT', 'genie'), ('https://git.eclipse.org/r/c/jdt/eclipse.jdt.ui/+/166171', '2020-07-10 18:24:58 EDT', 'genie'), (nan, '2020-07-15 02:17:10 EDT', 'kenneth'), ('kenneth', '2020-07-15 02:17:10 EDT', 'kenneth'), ('kenneth', '2020-07-15 02:17:10 EDT', 'kenneth'), ('REOPENED', '2020-07-15 02:17:10 EDT', 'kenneth'), ('4.17 M3', '2020-07-15 02:17:10 EDT', 'kenneth'), ('---', '2020-07-15 02:17:10 EDT', 'kenneth'), ('rgrunber', '2020-07-24 12:04:47 EDT', 'rgrunber'), ('rgrunber', '2020-07-24 12:04:47 EDT', 'rgrunber'), ('ASSIGNED', '2020-07-24 12:04:47 EDT', 'rgrunber'), ('https://git.eclipse.org/c/jdt/eclipse.jdt.ui.git/commit/?id=2822d2dd743579b33f66b7c9cc5216db6f316be3', '2020-07-30 11:58:03 EDT', 'genie'), ('FIXED', '2020-07-31 10:42:29 EDT', 'rgrunber'), ('RESOLVED', '2020-07-31 10:42:29 EDT', 'rgrunber'), ('VERIFIED', '2020-08-19 14:15:01 EDT', 'rgrunber')]</t>
  </si>
  <si>
    <t>2005-06-16 13:22 EDT</t>
  </si>
  <si>
    <t>2005-06-16 13:39:28 EDT</t>
  </si>
  <si>
    <t>2019-09-29 15:18:37 EDT</t>
  </si>
  <si>
    <t>[('CREATED', '2005-06-16 13:22 EDT'), ('tobias_widmer', '2005-06-16 13:39:28 EDT', 'dirk_baeumer'), ('[refactoring] Refactoring - bad results on move inner class to separate file', '2005-06-16 13:39:28 EDT', 'dirk_baeumer'), ('[move member type] bad results on move inner class to separate file [refactoring]', '2006-05-29 06:20:57 EDT', 'tobias_widmer'), ('jdt-ui-inbox', '2007-06-14 10:44:38 EDT', 'martinae'), ('stalebug', '2019-09-29 15:18:37 EDT', 'genie')]</t>
  </si>
  <si>
    <t>2005-09-22 11:51:23 EDT</t>
  </si>
  <si>
    <t>2005-11-01 09:10:19 EST</t>
  </si>
  <si>
    <t>2005-06-17 07:07 EDT</t>
  </si>
  <si>
    <t>2005-06-17 08:18:39 EDT</t>
  </si>
  <si>
    <t>[('CREATED', '2005-06-17 07:07 EDT'), ('tobias_widmer', '2005-06-17 08:18:39 EDT', 'dirk_baeumer'), ('phm', '2005-09-21 06:58:56 EDT', 'tobias_widmer'), ('RESOLVED', '2005-09-22 11:51:23 EDT', 'tobias_widmer'), ('FIXED', '2005-09-22 11:51:23 EDT', 'tobias_widmer'), ('3.1 RC3', '2005-09-22 11:51:23 EDT', 'tobias_widmer'), ('3.2 M3', '2005-09-22 11:51:50 EDT', 'tobias_widmer'), ('philip_mayer', '2005-09-30 04:42:05 EDT', 'markus.kell.r'), ('VERIFIED', '2005-11-01 09:10:19 EST', 'markus.kell.r')]</t>
  </si>
  <si>
    <t>2009-08-06 12:00:15 EDT</t>
  </si>
  <si>
    <t>2005-06-17 11:27 EDT</t>
  </si>
  <si>
    <t>2005-06-17 11:37:36 EDT</t>
  </si>
  <si>
    <t>2009-08-06 15:03:38 EDT</t>
  </si>
  <si>
    <t>[('CREATED', '2005-06-17 11:27 EDT'), ('martin_aeschlimann', '2005-06-17 11:37:36 EDT', 'dirk_baeumer'), ('[quick fix] proposes wrong cast from Object to primitive int', '2005-06-20 03:53:20 EDT', 'martinae'), ('leopold.welsch', '2008-10-29 03:58:30 EDT', 'leo_welsch'), ('jdt-ui-inbox', '2009-01-23 11:10:28 EST', 'daniel_megert'), ('ASSIGNED', '2009-01-23 11:24:00 EST', 'daniel_megert'), ('daniel_megert', '2009-02-04 08:12:08 EST', 'daniel_megert'), ('3.5', '2009-02-04 08:12:08 EST', 'daniel_megert'), ('M1', '2009-04-30 09:15:04 EDT', 'daniel_megert'), ('3.6', '2009-04-30 09:15:04 EDT', 'daniel_megert'), (nan, '2009-06-09 06:06:05 EDT', 'daniel_megert'), ('3.6 M1', '2009-06-09 06:06:05 EDT', 'daniel_megert'), ('markus_keller', '2009-08-05 11:21:28 EDT', 'daniel_megert'), ('NEW', '2009-08-05 11:21:28 EDT', 'daniel_megert'), ('3.6 M2', '2009-08-05 11:21:28 EDT', 'daniel_megert'), ('RESOLVED', '2009-08-06 12:00:15 EDT', 'markus.kell.r'), ('FIXED', '2009-08-06 12:00:15 EDT', 'markus.kell.r'), ('iplog+', '2009-08-06 15:03:38 EDT', 'markus.kell.r')]</t>
  </si>
  <si>
    <t>RESOLVED  DUPLICATE  of bug 112100</t>
  </si>
  <si>
    <t>2005-07-04 10:13:43 EDT</t>
  </si>
  <si>
    <t>2008-07-07 13:30:46 EDT</t>
  </si>
  <si>
    <t>2005-06-17 12:38 EDT</t>
  </si>
  <si>
    <t>2005-06-17 13:17:53 EDT</t>
  </si>
  <si>
    <t>[('CREATED', '2005-06-17 12:38 EDT'), ('dirk_baeumer', '2005-06-17 13:17:53 EDT', 'dirk_baeumer'), ('[refactoring] Inlining synchronized method breaks thread safety.', '2005-06-17 13:17:53 EDT', 'dirk_baeumer'), ('RESOLVED', '2005-07-04 10:13:43 EDT', 'dirk_baeumer'), ('LATER', '2005-07-04 10:13:43 EDT', 'dirk_baeumer'), ('markus_keller', '2008-07-07 13:30:46 EDT', 'markus.kell.r'), ('DUPLICATE', '2008-07-07 13:30:46 EDT', 'markus.kell.r')]</t>
  </si>
  <si>
    <t>2005-07-13 18:02:56 EDT</t>
  </si>
  <si>
    <t>2005-06-17 23:42 EDT</t>
  </si>
  <si>
    <t>2005-06-20 08:09:54 EDT</t>
  </si>
  <si>
    <t>[('CREATED', '2005-06-17 23:42 EDT'), ('jdt-ui-inbox', '2005-06-20 08:09:54 EDT', 'eclipse'), ('UI', '2005-06-20 08:09:54 EDT', 'eclipse'), ('JDT', '2005-06-20 08:09:54 EDT', 'eclipse'), ('[refactoring] Rename package preview dialog does not close upon completion', '2005-06-20 09:47:18 EDT', 'dirk_baeumer'), ('RESOLVED', '2005-07-13 18:02:56 EDT', 'dirk_baeumer'), ('WORKSFORME', '2005-07-13 18:02:56 EDT', 'dirk_baeumer')]</t>
  </si>
  <si>
    <t>472701</t>
  </si>
  <si>
    <t>2005-06-22 04:23:42 EDT</t>
  </si>
  <si>
    <t>2009-08-30 02:36:05 EDT</t>
  </si>
  <si>
    <t>2005-06-18 22:22 EDT</t>
  </si>
  <si>
    <t>2005-06-19 17:56:36 EDT</t>
  </si>
  <si>
    <t>2015-07-15 07:22:59 EDT</t>
  </si>
  <si>
    <t>[('CREATED', '2005-06-18 22:22 EDT'), ('enhancement', '2005-06-19 17:56:36 EDT', 'dirk_baeumer'), ('Open type should sort matches from source before matches from binary.', '2005-06-19 17:56:36 EDT', 'dirk_baeumer'), ('RESOLVED', '2005-06-22 04:23:42 EDT', 'dirk_baeumer'), ('LATER', '2005-06-22 04:23:42 EDT', 'dirk_baeumer'), ('WONTFIX', '2009-08-30 02:36:05 EDT', 'webmaster'), ('472701', '2015-07-15 07:22:59 EDT', 'daniel_megert')]</t>
  </si>
  <si>
    <t>2005-06-20 11:07 EDT</t>
  </si>
  <si>
    <t>2005-06-20 11:18:55 EDT</t>
  </si>
  <si>
    <t>2019-09-04 19:10:14 EDT</t>
  </si>
  <si>
    <t>[('CREATED', '2005-06-20 11:07 EDT'), ('markus_keller', '2005-06-20 11:18:55 EDT', 'dirk_baeumer'), ('[refactoring] Rename on method overriding a binary method has bad error handling [refactoring]', '2005-06-20 11:18:55 EDT', 'dirk_baeumer'), ('[rename] rename method overriding a binary method has bad error handling', '2006-08-03 12:31:49 EDT', 'martinae'), ('milos.gligoric', '2012-11-28 23:47:41 EST', 'milos.gligoric'), ('stalebug', '2019-09-04 19:10:14 EDT', 'genie')]</t>
  </si>
  <si>
    <t>2005-06-21 11:15:40 EDT</t>
  </si>
  <si>
    <t>2005-06-22 06:43:33 EDT</t>
  </si>
  <si>
    <t>2005-06-20 11:13 EDT</t>
  </si>
  <si>
    <t>2005-06-20 18:17:43 EDT</t>
  </si>
  <si>
    <t>[('CREATED', '2005-06-20 11:13 EDT'), ('markus_keller', '2005-06-20 18:17:43 EDT', 'dirk_baeumer'), ('major', '2005-06-20 18:17:43 EDT', 'dirk_baeumer'), ('P2', '2005-06-20 18:17:43 EDT', 'dirk_baeumer'), ('[refactoring] Change method signature does not disallow changing implementations of binary methods [refactoring]', '2005-06-20 18:17:43 EDT', 'dirk_baeumer'), ('[refactoring] Change method signature does not disallow changing implementations of binary methods', '2005-06-20 18:20:41 EDT', 'dirk_baeumer'), ('1', '2005-06-21 09:05:37 EDT', 'markus.kell.r'), ('daniel_megert', '2005-06-21 09:26:29 EDT', 'dirk_baeumer'), ('3.1 RC4', '2005-06-21 09:26:29 EDT', 'dirk_baeumer'), ('philippe_mulet', '2005-06-21 09:26:49 EDT', 'dirk_baeumer'), ('FIXED', '2005-06-21 11:15:40 EDT', 'markus.kell.r'), ('RESOLVED', '2005-06-21 11:15:40 EDT', 'markus.kell.r'), ('VERIFIED', '2005-06-22 06:43:33 EDT', 'markus.kell.r')]</t>
  </si>
  <si>
    <t>2005-08-29 09:19:22 EDT</t>
  </si>
  <si>
    <t>2005-06-21 04:39 EDT</t>
  </si>
  <si>
    <t>2005-06-21 04:49:16 EDT</t>
  </si>
  <si>
    <t>[('CREATED', '2005-06-21 04:39 EDT'), ('jdt-ui-inbox', '2005-06-21 04:49:16 EDT', 'frederic_fusier'), ('UI', '2005-06-21 04:49:16 EDT', 'frederic_fusier'), ('3.2', '2005-06-21 04:56:41 EDT', 'dirk_baeumer'), ('tobias_widmer', '2005-06-21 04:56:41 EDT', 'dirk_baeumer'), ("[refactoring] Generated field access prefixed 'this.' when refactoring", '2005-06-21 04:56:41 EDT', 'dirk_baeumer'), ('RESOLVED', '2005-08-29 09:19:22 EDT', 'tobias_widmer'), ('WORKSFORME', '2005-08-29 09:19:22 EDT', 'tobias_widmer')]</t>
  </si>
  <si>
    <t>2005-08-30 13:14:53 EDT</t>
  </si>
  <si>
    <t>2005-09-20 09:41:31 EDT</t>
  </si>
  <si>
    <t>2005-06-21 16:40 EDT</t>
  </si>
  <si>
    <t>2005-06-21 16:40:38 EDT</t>
  </si>
  <si>
    <t>[('CREATED', '2005-06-21 16:40 EDT'), ('3.2', '2005-06-21 16:40:38 EDT', 'dirk_baeumer'), ('RESOLVED', '2005-08-30 13:14:53 EDT', 'tobias_widmer'), ('FIXED', '2005-08-30 13:14:53 EDT', 'tobias_widmer'), ('3.2 M2', '2005-08-30 13:14:53 EDT', 'tobias_widmer'), ('martin_aeschlimann', '2005-09-20 08:42:23 EDT', 'benno.baumgartner'), ('VERIFIED', '2005-09-20 09:41:31 EDT', 'martinae')]</t>
  </si>
  <si>
    <t>2005-06-22 10:59:32 EDT</t>
  </si>
  <si>
    <t>2005-06-24 06:54:22 EDT</t>
  </si>
  <si>
    <t>2005-06-22 05:07 EDT</t>
  </si>
  <si>
    <t>2005-06-22 05:10:18 EDT</t>
  </si>
  <si>
    <t>[('CREATED', '2005-06-22 05:07 EDT'), ('daniel_megert', '2005-06-22 05:10:18 EDT', 'dirk_baeumer'), ('martin_aeschlimann', '2005-06-22 05:10:38 EDT', 'dirk_baeumer'), ('RESOLVED', '2005-06-22 10:59:32 EDT', 'dirk_baeumer'), ('FIXED', '2005-06-22 10:59:32 EDT', 'dirk_baeumer'), ('3.1 RC4', '2005-06-22 10:59:32 EDT', 'dirk_baeumer'), ('VERIFIED', '2005-06-24 06:54:22 EDT', 'dirk_baeumer')]</t>
  </si>
  <si>
    <t>2005-08-04 10:21:54 EDT</t>
  </si>
  <si>
    <t>2005-12-13 04:42:56 EST</t>
  </si>
  <si>
    <t>2005-06-22 05:08 EDT</t>
  </si>
  <si>
    <t>2005-06-22 05:25:18 EDT</t>
  </si>
  <si>
    <t>[('CREATED', '2005-06-22 05:08 EDT'), ('markus_keller', '2005-06-22 05:25:18 EDT', 'dirk_baeumer'), (nan, '2005-07-14 10:53:32 EDT', 'dirk_baeumer'), ('markus_keller', '2005-07-14 10:53:32 EDT', 'dirk_baeumer'), ('3.2 M1', '2005-07-14 10:53:32 EDT', 'dirk_baeumer'), ('RESOLVED', '2005-08-04 10:21:54 EDT', 'markus.kell.r'), ('FIXED', '2005-08-04 10:21:54 EDT', 'markus.kell.r'), ('VERIFIED', '2005-12-13 04:42:56 EST', 'markus.kell.r')]</t>
  </si>
  <si>
    <t>2005-06-30 14:12:43 EDT</t>
  </si>
  <si>
    <t>2005-12-13 04:43:16 EST</t>
  </si>
  <si>
    <t>2005-06-22 05:25 EDT</t>
  </si>
  <si>
    <t>2005-06-22 06:41:32 EDT</t>
  </si>
  <si>
    <t>[('CREATED', '2005-06-22 05:25 EDT'), ('markus_keller', '2005-06-22 06:41:32 EDT', 'markus.kell.r'), ('ASSIGNED', '2005-06-22 06:41:32 EDT', 'markus.kell.r'), ('3.2', '2005-06-30 14:12:43 EDT', 'markus.kell.r'), ('RESOLVED', '2005-06-30 14:12:43 EDT', 'markus.kell.r'), ('FIXED', '2005-06-30 14:12:43 EDT', 'markus.kell.r'), ('3.2 M1', '2005-08-08 10:39:24 EDT', 'markus.kell.r'), ('VERIFIED', '2005-12-13 04:43:16 EST', 'markus.kell.r')]</t>
  </si>
  <si>
    <t>2009-06-15 12:39:40 EDT</t>
  </si>
  <si>
    <t>2009-08-04 05:20:30 EDT</t>
  </si>
  <si>
    <t>2005-06-22 08:16 EDT</t>
  </si>
  <si>
    <t>2005-06-22 08:26:31 EDT</t>
  </si>
  <si>
    <t>[('CREATED', '2005-06-22 08:16 EDT'), ('jdt-ui-inbox', '2005-06-22 08:26:31 EDT', 'frederic_fusier'), ('UI', '2005-06-22 08:26:31 EDT', 'frederic_fusier'), ('dirk_baeumer', '2005-06-22 08:38:59 EDT', 'dirk_baeumer'), ('[refactoring] Refactor-ExtractCommand should memorise selected access modifier', '2005-06-22 08:38:59 EDT', 'dirk_baeumer'), ('[refactoring] [extract method] Refactor-ExtractCommand should memorise selected access modifier', '2006-04-05 14:04:33 EDT', 'dirk_baeumer'), ('jdt-ui-inbox', '2006-06-02 06:12:03 EDT', 'martinae'), ('[extract method] remember selected access modifier', '2006-06-02 06:12:03 EDT', 'martinae'), ('markus_keller', '2009-06-02 16:35:39 EDT', 'b.muskalla'), ('bmuskalla', '2009-06-02 16:35:39 EDT', 'b.muskalla'), ('daniel_megert', '2009-06-03 06:21:40 EDT', 'daniel_megert'), ('review?(markus_keller)', '2009-06-03 06:21:40 EDT', 'daniel_megert'), ('ASSIGNED', '2009-06-04 06:39:11 EDT', 'markus.kell.r'), ('3.6', '2009-06-04 06:39:11 EDT', 'markus.kell.r'), (nan, '2009-06-04 06:39:11 EDT', 'markus.kell.r'), ('1', '2009-06-05 05:08:50 EDT', 'b.muskalla'), ('RESOLVED', '2009-06-15 12:39:40 EDT', 'markus.kell.r'), ('FIXED', '2009-06-15 12:39:40 EDT', 'markus.kell.r'), ('3.6 M1', '2009-06-15 12:39:40 EDT', 'markus.kell.r'), ('iplog+', '2009-06-15 12:39:53 EDT', 'markus.kell.r'), ('raksha.vasisht', '2009-08-04 04:06:51 EDT', 'raksha.vasisht'), ('VERIFIED', '2009-08-04 05:20:30 EDT', 'daniel_megert')]</t>
  </si>
  <si>
    <t>391968 (view as bug list)</t>
  </si>
  <si>
    <t>2019-12-20 03:08:07 EST</t>
  </si>
  <si>
    <t>2019-12-28 11:57:05 EST</t>
  </si>
  <si>
    <t>2005-06-23 05:59 EDT</t>
  </si>
  <si>
    <t>2005-06-23 06:30:28 EDT</t>
  </si>
  <si>
    <t>2019-12-28 11:57:13 EST</t>
  </si>
  <si>
    <t>[('CREATED', '2005-06-23 05:59 EDT'), ('dirk_baeumer', '2005-06-23 06:30:28 EDT', 'dirk_baeumer'), ('[refactoring] Extract method should use the defined code style for paramter names', '2005-06-23 06:30:28 EDT', 'dirk_baeumer'), ('jdt-ui-inbox', '2006-06-02 06:02:24 EDT', 'martinae'), ('[extract method] use code style for paramter names', '2006-06-02 06:02:24 EDT', 'martinae'), ('stalebug', '2019-12-19 14:17:27 EST', 'genie'), ('daniel_megert', '2019-12-20 03:08:07 EST', 'daniel_megert'), ('RESOLVED', '2019-12-20 03:08:07 EST', 'daniel_megert'), ('WORKSFORME', '2019-12-20 03:08:07 EST', 'daniel_megert'), (nan, '2019-12-20 03:08:07 EST', 'daniel_megert'), ('El_Lutzo', '2019-12-27 22:49:37 EST', 'El_Lutzo'), ('rueegg.michael', '2019-12-28 11:55:44 EST', 'daniel_megert'), ('REOPENED', '2019-12-28 11:57:05 EST', 'daniel_megert'), ('---', '2019-12-28 11:57:05 EST', 'daniel_megert'), ('ASSIGNED', '2019-12-28 11:57:13 EST', 'daniel_megert')]</t>
  </si>
  <si>
    <t>2005-07-04 10:20:11 EDT</t>
  </si>
  <si>
    <t>2005-06-24 09:48 EDT</t>
  </si>
  <si>
    <t>[('CREATED', '2005-06-24 09:48 EDT'), ('RESOLVED', '2005-07-04 10:20:11 EDT', 'dirk_baeumer'), ('P4', '2005-07-04 10:20:11 EDT', 'dirk_baeumer'), ('LATER', '2005-07-04 10:20:11 EDT', 'dirk_baeumer'), ('WONTFIX', '2009-08-30 02:38:29 EDT', 'webmaster')]</t>
  </si>
  <si>
    <t>2009-02-27 02:36:18 EST</t>
  </si>
  <si>
    <t>2005-06-25 11:26 EDT</t>
  </si>
  <si>
    <t>2005-07-05 10:42:13 EDT</t>
  </si>
  <si>
    <t>[('CREATED', '2005-06-25 11:26 EDT'), ('jdt-ui-inbox', '2005-07-05 10:42:13 EDT', 'eclipse'), ('UI', '2005-07-05 10:42:13 EDT', 'eclipse'), ('JDT', '2005-07-05 10:42:13 EDT', 'eclipse'), ('gunnar', '2005-07-05 10:53:03 EDT', 'gunnar'), ('Platform-UI-Inbox', '2005-07-06 04:34:52 EDT', 'dirk_baeumer'), ('UI', '2005-07-06 04:34:52 EDT', 'dirk_baeumer'), ('Platform', '2005-07-06 04:34:52 EDT', 'dirk_baeumer'), ('kim_horne', '2005-07-06 10:15:58 EDT', 'eclipse'), ('Tod_Creasey', '2005-07-06 10:15:58 EDT', 'eclipse'), ('[Wizards] Allow for easy creation of events', '2005-07-06 10:15:58 EDT', 'eclipse'), ('P4', '2005-07-06 10:54:51 EDT', 'Tod_Creasey'), ('ASSIGNED', '2005-07-06 10:54:51 EDT', 'Tod_Creasey'), ('Karice_McIntyre', '2005-07-21 16:34:07 EDT', 'Tod_Creasey'), ('NEW', '2005-07-21 16:34:07 EDT', 'Tod_Creasey'), ('jdt-ui-inbox', '2009-02-26 17:11:30 EST', 'bokowski'), ('UI', '2009-02-26 17:11:30 EST', 'bokowski'), ('JDT', '2009-02-26 17:11:30 EST', 'bokowski'), ('daniel_megert', '2009-02-27 02:36:18 EST', 'daniel_megert'), ('RESOLVED', '2009-02-27 02:36:18 EST', 'daniel_megert'), ('INVALID', '2009-02-27 02:36:18 EST', 'daniel_megert')]</t>
  </si>
  <si>
    <t>102483 (view as bug list)</t>
  </si>
  <si>
    <t>2005-08-10 12:03:08 EDT</t>
  </si>
  <si>
    <t>2005-09-02 10:05:42 EDT</t>
  </si>
  <si>
    <t>2005-06-27 09:23 EDT</t>
  </si>
  <si>
    <t>2005-06-27 12:23:29 EDT</t>
  </si>
  <si>
    <t>2005-12-13 05:42:56 EST</t>
  </si>
  <si>
    <t>[('CREATED', '2005-06-27 09:23 EDT'), ('3.1.1', '2005-06-27 12:23:29 EDT', 'martinae'), ('---', '2005-06-27 12:26:20 EDT', 'tobias_widmer'), ('3.1.1', '2005-06-27 12:26:40 EDT', 'tobias_widmer'), ('tobias_widmer', '2005-06-27 12:30:49 EDT', 'dirk_baeumer'), ('ASSIGNED', '2005-06-30 04:54:09 EDT', 'tobias_widmer'), ('blizzy-keyword-eclipse_bugs.ba215a', '2005-07-02 13:47:59 EDT', 'dirk_baeumer'), ('martin_aeschlimann', '2005-08-10 08:54:49 EDT', 'tobias_widmer'), ('dirk_baeumer', '2005-08-10 08:56:17 EDT', 'tobias_widmer'), ('RESOLVED', '2005-08-10 12:03:08 EDT', 'tobias_widmer'), ('FIXED', '2005-08-10 12:03:08 EDT', 'tobias_widmer'), ('VERIFIED', '2005-09-02 10:05:42 EDT', 'eclipse'), ('schierlm-public', '2005-12-13 05:42:56 EST', 'tobias_widmer')]</t>
  </si>
  <si>
    <t>2005-07-26 12:21:27 EDT</t>
  </si>
  <si>
    <t>2005-08-09 09:45:34 EDT</t>
  </si>
  <si>
    <t>2005-06-27 16:59 EDT</t>
  </si>
  <si>
    <t>2005-06-28 04:51:03 EDT</t>
  </si>
  <si>
    <t>[('CREATED', '2005-06-27 16:59 EDT'), ('dirk_baeumer', '2005-06-28 04:51:03 EDT', 'martinae'), ('3.1.1', '2005-06-28 04:51:03 EDT', 'martinae'), ('martin_aeschlimann', '2005-06-28 05:16:36 EDT', 'martinae'), ('1', '2005-07-11 09:01:44 EDT', 'dirk_baeumer'), ('1', '2005-07-11 09:02:40 EDT', 'dirk_baeumer'), ('1', '2005-07-26 12:11:12 EDT', 'dirk_baeumer'), ('1', '2005-07-26 12:11:12 EDT', 'dirk_baeumer'), ('RESOLVED', '2005-07-26 12:21:27 EDT', 'dirk_baeumer'), ('FIXED', '2005-07-26 12:21:27 EDT', 'dirk_baeumer'), ('VERIFIED', '2005-08-09 09:45:34 EDT', 'martinae')]</t>
  </si>
  <si>
    <t>RESOLVED  DUPLICATE  of bug 103377</t>
  </si>
  <si>
    <t>2005-07-12 10:02:00 EDT</t>
  </si>
  <si>
    <t>2005-06-28 05:58:30 EDT</t>
  </si>
  <si>
    <t>2005-07-12 06:49:33 EDT</t>
  </si>
  <si>
    <t>2005-06-28 04:14 EDT</t>
  </si>
  <si>
    <t>2005-06-28 04:47:04 EDT</t>
  </si>
  <si>
    <t>[('CREATED', '2005-06-28 04:14 EDT'), ('jdt-ui-inbox', '2005-06-28 04:47:04 EDT', 'david_audel'), ('UI', '2005-06-28 04:47:04 EDT', 'david_audel'), ('tobias_widmer', '2005-06-28 05:30:00 EDT', 'martinae'), ('[refactoring] covert local to field: Incorrect variable types', '2005-06-28 05:30:00 EDT', 'martinae'), ('markus_keller', '2005-06-28 05:35:54 EDT', 'tobias_widmer'), ('ASSIGNED', '2005-06-28 05:43:10 EDT', 'markus.kell.r'), ('3.2', '2005-06-28 05:43:10 EDT', 'markus.kell.r'), ('RESOLVED', '2005-06-28 05:58:30 EDT', 'markus.kell.r'), ('FIXED', '2005-06-28 05:58:30 EDT', 'markus.kell.r'), ('dirk_baeumer', '2005-07-11 06:09:14 EDT', 'dirk_baeumer'), ('---', '2005-07-12 06:49:33 EDT', 'dirk_baeumer'), ('3.1.1', '2005-07-12 06:49:33 EDT', 'dirk_baeumer'), ('REOPENED', '2005-07-12 06:49:33 EDT', 'dirk_baeumer'), ('RESOLVED', '2005-07-12 10:02:00 EDT', 'markus.kell.r'), ('DUPLICATE', '2005-07-12 10:02:00 EDT', 'markus.kell.r'), ('---', '2005-07-12 10:02:00 EDT', 'markus.kell.r')]</t>
  </si>
  <si>
    <t>104828 (view as bug list)</t>
  </si>
  <si>
    <t>2005-08-10 12:06:11 EDT</t>
  </si>
  <si>
    <t>2005-09-02 10:29:02 EDT</t>
  </si>
  <si>
    <t>2005-06-28 10:25 EDT</t>
  </si>
  <si>
    <t>2005-06-28 10:54:42 EDT</t>
  </si>
  <si>
    <t>[('CREATED', '2005-06-28 10:25 EDT'), ('tobias_widmer', '2005-06-28 10:54:42 EDT', 'dirk_baeumer'), ('[refactoring] Assertion fails in ExtractTempRefactoring.', '2005-06-28 10:54:42 EDT', 'dirk_baeumer'), ('3.1.1', '2005-06-28 10:54:42 EDT', 'dirk_baeumer'), ('eddie', '2005-07-22 16:14:40 EDT', 'markus.kell.r'), ('markus_keller', '2005-07-22 16:19:19 EDT', 'markus.kell.r'), ('martin_aeschlimann', '2005-08-10 08:58:17 EDT', 'tobias_widmer'), ('RESOLVED', '2005-08-10 12:06:11 EDT', 'tobias_widmer'), ('FIXED', '2005-08-10 12:06:11 EDT', 'tobias_widmer'), ('VERIFIED', '2005-09-02 10:29:02 EDT', 'eclipse')]</t>
  </si>
  <si>
    <t>162342 220079 (view as bug list)</t>
  </si>
  <si>
    <t>2008-05-22 03:41:22 EDT</t>
  </si>
  <si>
    <t>2008-05-23 12:18:49 EDT</t>
  </si>
  <si>
    <t>2005-06-28 10:31 EDT</t>
  </si>
  <si>
    <t>2005-06-28 11:51:29 EDT</t>
  </si>
  <si>
    <t>[('CREATED', '2005-06-28 10:31 EDT'), ('tobias_widmer', '2005-06-28 11:51:29 EDT', 'martinae'), ('dirk_baeumer', '2005-07-11 06:08:11 EDT', 'dirk_baeumer'), ('[refactoring] Move Member Type to New File adds call to uncreated field', '2005-08-18 06:35:45 EDT', 'dirk_baeumer'), ('N.Metchev', '2005-11-03 05:47:44 EST', 'nikolaymetchev'), ('[move member type] adds call to uncreated field [refactoring]', '2006-05-29 06:21:21 EDT', 'tobias_widmer'), ('igorfie', '2006-10-26 06:43:33 EDT', 'markus.kell.r'), ('jdt-ui-inbox', '2007-06-14 10:44:36 EDT', 'martinae'), ('ppshah', '2008-02-25 04:21:41 EST', 'martinae'), ('martin_aeschlimann', '2008-02-25 04:23:50 EST', 'martinae'), ('3.4', '2008-02-25 04:23:50 EST', 'martinae'), ('martin_aeschlimann', '2008-05-16 04:45:12 EDT', 'martinae'), ('3.4 RC2', '2008-05-18 05:15:30 EDT', 'martinae'), ('markus_keller', '2008-05-21 04:42:25 EDT', 'martinae'), ('review?(markus_keller)', '2008-05-21 04:42:25 EDT', 'martinae'), ('review+', '2008-05-21 10:43:35 EDT', 'markus.kell.r'), ('benno_baumgartner', '2008-05-21 10:54:43 EDT', 'martinae'), ('review?(benno_baumgartner)', '2008-05-21 10:54:43 EDT', 'martinae'), ('review+', '2008-05-21 12:34:16 EDT', 'benno.baumgartner'), ('RESOLVED', '2008-05-22 03:41:22 EDT', 'martinae'), ('FIXED', '2008-05-22 03:41:22 EDT', 'martinae'), ('VERIFIED', '2008-05-23 12:18:49 EDT', 'martinae')]</t>
  </si>
  <si>
    <t>2005-06-28 12:10 EDT</t>
  </si>
  <si>
    <t>2005-06-29 11:39:48 EDT</t>
  </si>
  <si>
    <t>2019-10-13 14:24:38 EDT</t>
  </si>
  <si>
    <t>[('CREATED', '2005-06-28 12:10 EDT'), ('markus_keller', '2005-06-29 11:39:48 EDT', 'martinae'), ('ASSIGNED', '2006-06-09 12:07:20 EDT', 'markus.kell.r'), ('[introduce parameter] cell editor hides proposed name', '2006-06-09 12:07:20 EDT', 'markus.kell.r'), ('https://git.eclipse.org/r/151018', '2019-10-13 14:24:38 EDT', 'genie')]</t>
  </si>
  <si>
    <t>2005-06-29 04:03 EDT</t>
  </si>
  <si>
    <t>2005-07-04 10:29:44 EDT</t>
  </si>
  <si>
    <t>2019-11-20 16:52:57 EST</t>
  </si>
  <si>
    <t>[('CREATED', '2005-06-29 04:03 EDT'), ('markus_keller', '2005-07-04 10:29:44 EDT', 'dirk_baeumer'), ('[refactoring] Introduce paramter fails for "this"', '2005-07-04 10:29:44 EDT', 'dirk_baeumer'), ('ASSIGNED', '2005-07-04 11:07:41 EDT', 'markus.kell.r'), ('[refactoring] Introduce parameter fails for "this" - should reuse extract/inline localVariable/method', '2005-07-04 11:07:41 EDT', 'markus.kell.r'), ('N.Metchev', '2005-11-30 03:49:26 EST', 'nikolaymetchev'), ('[introduce indirection] fails for "this" - should reuse extract/inline localVariable/method', '2006-06-09 05:56:20 EDT', 'markus.kell.r'), ('stalebug', '2019-11-20 16:52:57 EST', 'genie')]</t>
  </si>
  <si>
    <t>2006-03-21 04:35:10 EST</t>
  </si>
  <si>
    <t>2005-06-29 06:44 EDT</t>
  </si>
  <si>
    <t>2005-06-29 11:44:04 EDT</t>
  </si>
  <si>
    <t>[('CREATED', '2005-06-29 06:44 EDT'), ('markus_keller', '2005-06-29 11:44:04 EDT', 'martinae'), ('3.2', '2005-07-04 10:37:38 EDT', 'dirk_baeumer'), ('RESOLVED', '2006-03-21 04:35:10 EST', 'markus.kell.r'), ('DUPLICATE', '2006-03-21 04:35:10 EST', 'markus.kell.r')]</t>
  </si>
  <si>
    <t>2005-06-29 11:51:26 EDT</t>
  </si>
  <si>
    <t>2005-06-29 11:08 EDT</t>
  </si>
  <si>
    <t>[('CREATED', '2005-06-29 11:08 EDT'), ('RESOLVED', '2005-06-29 11:51:26 EDT', 'martinae'), ('WONTFIX', '2005-06-29 11:51:26 EDT', 'martinae')]</t>
  </si>
  <si>
    <t>2007-05-18 05:47:19 EDT</t>
  </si>
  <si>
    <t>2005-06-30 06:19 EDT</t>
  </si>
  <si>
    <t>2005-07-05 08:59:56 EDT</t>
  </si>
  <si>
    <t>2007-06-06 12:24:55 EDT</t>
  </si>
  <si>
    <t>[('CREATED', '2005-06-30 06:19 EDT'), ('Implement "Introduce Parameter Object"', '2005-07-05 08:59:56 EDT', 'david'), ('ASSIGNED', '2005-07-14 10:56:38 EDT', 'dirk_baeumer'), ('[refactoring] [2] Implement "Introduce Parameter Object"', '2005-07-14 10:56:38 EDT', 'dirk_baeumer'), ('martin_aeschlimann, markus_keller', '2006-06-09 12:10:10 EDT', 'markus.kell.r'), ('[refactoring] Implement "Introduce Parameter Object"', '2006-06-09 12:10:10 EDT', 'markus.kell.r'), ('[refactoring] [dcr] Implement "Introduce Parameter Object"', '2006-06-11 03:31:34 EDT', 'martinae'), ('b.muskalla', '2007-02-27 10:30:05 EST', 'b.muskalla'), ('karsten_becker', '2007-04-03 11:17:45 EDT', 'martinae'), ('NEW', '2007-04-03 11:17:45 EDT', 'martinae'), ('benno_baumgartner', '2007-04-13 11:21:05 EDT', 'benno.baumgartner'), ('1', '2007-04-25 11:06:00 EDT', 'eclipse'), ('RESOLVED', '2007-05-18 05:47:19 EDT', 'eclipse'), ('FIXED', '2007-05-18 05:47:19 EDT', 'eclipse'), ('3.3 M7', '2007-05-18 05:47:19 EDT', 'eclipse'), ('contributed', '2007-06-06 12:24:55 EDT', 'martinae')]</t>
  </si>
  <si>
    <t>2006-02-06 13:10:48 EST</t>
  </si>
  <si>
    <t>2005-06-30 06:26 EDT</t>
  </si>
  <si>
    <t>2005-06-30 10:30:20 EDT</t>
  </si>
  <si>
    <t>[('CREATED', '2005-06-30 06:26 EDT'), ('tobias_widmer', '2005-06-30 10:30:20 EDT', 'martinae'), ('dirk_baeumer', '2005-06-30 11:48:17 EDT', 'dirk_baeumer'), ('3.2', '2005-08-10 06:57:24 EDT', 'dirk_baeumer'), ('[refactoring] Convert anonymous: generates fields for constants', '2005-08-18 06:36:19 EDT', 'dirk_baeumer'), ('markus_keller', '2005-11-18 13:28:41 EST', 'markus.kell.r'), ('RESOLVED', '2006-02-06 13:10:48 EST', 'tobias_widmer'), ('FIXED', '2006-02-06 13:10:48 EST', 'tobias_widmer'), ('3.2 M5', '2006-02-06 13:10:48 EST', 'tobias_widmer')]</t>
  </si>
  <si>
    <t>RESOLVED  DUPLICATE  of bug 101863</t>
  </si>
  <si>
    <t>2005-07-02 13:47:59 EDT</t>
  </si>
  <si>
    <t>2005-07-01 10:33 EDT</t>
  </si>
  <si>
    <t>2005-07-01 10:53:48 EDT</t>
  </si>
  <si>
    <t>[('CREATED', '2005-07-01 10:33 EDT'), ('jdt-ui-inbox', '2005-07-01 10:53:48 EDT', 'frederic_fusier'), ('UI', '2005-07-01 10:53:48 EDT', 'frederic_fusier'), ('RESOLVED', '2005-07-02 13:47:59 EDT', 'dirk_baeumer'), ('DUPLICATE', '2005-07-02 13:47:59 EDT', 'dirk_baeumer')]</t>
  </si>
  <si>
    <t>2005-07-26 11:32:23 EDT</t>
  </si>
  <si>
    <t>2005-08-09 09:59:40 EDT</t>
  </si>
  <si>
    <t>2005-07-01 16:32 EDT</t>
  </si>
  <si>
    <t>2005-07-02 13:29:57 EDT</t>
  </si>
  <si>
    <t>[('CREATED', '2005-07-01 16:32 EDT'), ('dirk_baeumer', '2005-07-02 13:29:57 EDT', 'dirk_baeumer'), ('3.1.1', '2005-07-02 13:29:57 EDT', 'dirk_baeumer'), ('RESOLVED', '2005-07-26 11:32:23 EDT', 'dirk_baeumer'), ('FIXED', '2005-07-26 11:32:23 EDT', 'dirk_baeumer'), ('VERIFIED', '2005-08-09 09:59:40 EDT', 'martinae')]</t>
  </si>
  <si>
    <t>2005-07-04 05:02:00 EDT</t>
  </si>
  <si>
    <t>2005-07-03 06:30 EDT</t>
  </si>
  <si>
    <t>2005-07-03 10:27:59 EDT</t>
  </si>
  <si>
    <t>[('CREATED', '2005-07-03 06:30 EDT'), ('jdt-ui-inbox', '2005-07-03 10:27:59 EDT', 'eclipse'), ('UI', '2005-07-03 10:27:59 EDT', 'eclipse'), ('JDT', '2005-07-03 10:27:59 EDT', 'eclipse'), ('markus_keller', '2005-07-03 13:15:38 EDT', 'dirk_baeumer'), ('[refactoring] [rename] Can not rename a local variable', '2005-07-03 13:15:38 EDT', 'dirk_baeumer'), ('WORKSFORME', '2005-07-04 05:02:00 EDT', 'markus.kell.r'), ('RESOLVED', '2005-07-04 05:02:00 EDT', 'markus.kell.r')]</t>
  </si>
  <si>
    <t>128376 (view as bug list)</t>
  </si>
  <si>
    <t>2006-04-26 10:38:01 EDT</t>
  </si>
  <si>
    <t>2005-07-04 05:23 EDT</t>
  </si>
  <si>
    <t>2005-07-04 07:04:36 EDT</t>
  </si>
  <si>
    <t>2020-08-30 17:16:08 EDT</t>
  </si>
  <si>
    <t>carsten.hammer</t>
  </si>
  <si>
    <t>[('CREATED', '2005-07-04 05:23 EDT'), ('jdt-ui-inbox', '2005-07-04 07:04:36 EDT', 'philippe_mulet'), ('UI', '2005-07-04 07:04:36 EDT', 'philippe_mulet'), ('ASSIGNED', '2005-07-04 09:55:37 EDT', 'dirk_baeumer'), ('[JUnit] Support for JUnit 4.', '2005-07-04 09:55:37 EDT', 'dirk_baeumer'), ('preuss', '2005-08-23 11:19:53 EDT', 'preuss'), ('dirk_baeumer', '2005-09-26 15:51:45 EDT', 'david'), ('erich_gamma', '2005-09-26 15:51:58 EDT', 'david'), ('N.Metchev', '2005-09-30 09:45:18 EDT', 'nikolaymetchev'), ('1', '2005-10-10 22:08:43 EDT', 'david'), ('1', '2005-10-10 22:10:56 EDT', 'david'), ('markus_keller', '2005-11-04 10:26:01 EST', 'dirk_baeumer'), ('NEW', '2005-11-04 10:26:01 EST', 'dirk_baeumer'), ('saff', '2005-11-21 15:50:28 EST', 'david'), ('ASSIGNED', '2005-11-23 06:46:18 EST', 'markus.kell.r'), ('1', '2006-01-27 16:08:02 EST', 'david'), ('1', '2006-01-27 16:08:02 EST', 'david'), ('1', '2006-02-06 03:08:24 EST', 'david'), ('1', '2006-02-06 03:09:50 EST', 'david'), ('1', '2006-02-06 23:41:43 EST', 'david'), ('1', '2006-02-06 23:42:42 EST', 'david'), ('jhale05', '2006-02-07 09:23:54 EST', 'nebhale'), ('Juergen.Zimmermann', '2006-02-17 08:54:59 EST', 'markus.kell.r'), ('129035', '2006-02-23 08:54:21 EST', 'markus.kell.r'), ('eu', '2006-02-26 23:10:48 EST', 'ekuleshov'), ('holger', '2006-03-01 12:33:11 EST', 'holger'), ('ron.baldwin', '2006-03-02 15:48:05 EST', 'bogofilter+eclipse.org'), ('djspiewak', '2006-03-02 16:03:29 EST', 'djspiewak'), ('3.2 M6', '2006-03-03 04:21:08 EST', 'markus.kell.r'), ('wolfgang.frech', '2006-03-23 05:13:38 EST', 'wolfgang.frech'), ('3.2 RC1', '2006-03-28 05:32:49 EST', 'markus.kell.r'), ('wmitsuda', '2006-04-08 01:30:29 EDT', 'wmitsuda'), ('cbeams', '2006-04-09 15:06:10 EDT', 'cbeams'), ('3.2 RC2', '2006-04-13 12:18:50 EDT', 'martinae'), ('c.hauser', '2006-04-16 17:02:24 EDT', 'c.hauser'), ('martin_aeschlimann', '2006-04-21 13:03:11 EDT', 'martinae'), ('john_arthorne', '2006-04-24 14:52:38 EDT', 'john.arthorne'), ('api', '2006-04-24 14:52:38 EDT', 'john.arthorne'), ('RESOLVED', '2006-04-26 10:38:01 EDT', 'markus.kell.r'), ('FIXED', '2006-04-26 10:38:01 EDT', 'markus.kell.r'), ('nick', '2006-04-28 09:58:15 EDT', 'nico.lichtmaier'), ('carsten.hammer', '2020-08-30 17:16:08 EDT', 'carsten.hammer')]</t>
  </si>
  <si>
    <t>2005-07-14 13:05:57 EDT</t>
  </si>
  <si>
    <t>2005-07-05 07:11 EDT</t>
  </si>
  <si>
    <t>2005-07-05 08:12:14 EDT</t>
  </si>
  <si>
    <t>[('CREATED', '2005-07-05 07:11 EDT'), ('dirk_baeumer', '2005-07-05 08:12:14 EDT', 'dirk_baeumer'), ('3.2', '2005-07-05 08:12:14 EDT', 'dirk_baeumer'), ('RESOLVED', '2005-07-14 13:05:57 EDT', 'dirk_baeumer'), ('FIXED', '2005-07-14 13:05:57 EDT', 'dirk_baeumer')]</t>
  </si>
  <si>
    <t>16741 (view as bug list)</t>
  </si>
  <si>
    <t>2005-07-06 11:34 EDT</t>
  </si>
  <si>
    <t>2005-07-14 11:09:02 EDT</t>
  </si>
  <si>
    <t>2019-12-05 18:07:00 EST</t>
  </si>
  <si>
    <t>[('CREATED', '2005-07-06 11:34 EDT'), ('tobias_widmer', '2005-07-14 11:09:02 EDT', 'dirk_baeumer'), ('[refactoring] "Inline Local Variable" into inner class fails when value is "this"', '2005-07-14 11:09:02 EDT', 'dirk_baeumer'), ('3.2', '2005-07-14 11:09:02 EDT', 'dirk_baeumer'), ('bmiller', '2005-07-22 10:14:32 EDT', 'bmiller'), ('markus_keller', '2006-04-05 11:02:11 EDT', 'tobias_widmer'), ('3.3', '2006-05-01 15:52:48 EDT', 'markus.kell.r'), ('ASSIGNED', '2006-06-08 10:35:36 EDT', 'markus.kell.r'), ('[inline] "Inline Local Variable" into inner class fails when value is "this"', '2006-06-08 10:35:36 EDT', 'markus.kell.r'), ('till_bay', '2006-11-13 10:37:12 EST', 'martinae'), ('3.4', '2007-05-11 19:03:31 EDT', 'markus.kell.r'), ('BrianMiller', '2008-03-25 17:42:34 EDT', 'Brian.Miller'), ('3.5', '2008-05-10 12:31:11 EDT', 'markus.kell.r'), ('---', '2009-05-06 06:52:54 EDT', 'markus.kell.r'), ('stalebug', '2019-12-05 18:07:00 EST', 'genie')]</t>
  </si>
  <si>
    <t>2005-09-05 12:53:28 EDT</t>
  </si>
  <si>
    <t>2005-09-21 05:06:10 EDT</t>
  </si>
  <si>
    <t>2005-07-06 14:33 EDT</t>
  </si>
  <si>
    <t>2005-07-14 11:15:13 EDT</t>
  </si>
  <si>
    <t>[('CREATED', '2005-07-06 14:33 EDT'), ('andre_weinand', '2005-07-14 11:15:13 EDT', 'dirk_baeumer'), ('dirk_baeumer', '2005-09-05 12:53:15 EDT', 'dirk_baeumer'), ('[refactoring] Rename field Preview dialog misplaced on desktop, is overlaid by Dock', '2005-09-05 12:53:15 EDT', 'dirk_baeumer'), ('3.2 M2', '2005-09-05 12:53:15 EDT', 'dirk_baeumer'), ('FIXED', '2005-09-05 12:53:28 EDT', 'dirk_baeumer'), ('RESOLVED', '2005-09-05 12:53:28 EDT', 'dirk_baeumer'), ('VERIFIED', '2005-09-21 05:06:10 EDT', 'andre_weinand')]</t>
  </si>
  <si>
    <t>2006-04-01 12:16:48 EST</t>
  </si>
  <si>
    <t>2009-08-30 02:20:20 EDT</t>
  </si>
  <si>
    <t>2005-07-07 07:29 EDT</t>
  </si>
  <si>
    <t>2005-07-07 13:21:54 EDT</t>
  </si>
  <si>
    <t>[('CREATED', '2005-07-07 07:29 EDT'), ('dirk_baeumer', '2005-07-07 13:21:54 EDT', 'dirk_baeumer'), ('[refactoring] Eclipse should not require saving of unnamed buffers prior to refactoring', '2005-07-07 13:21:54 EDT', 'dirk_baeumer'), ('RESOLVED', '2006-04-01 12:16:48 EST', 'dirk_baeumer'), ('P4', '2006-04-01 12:16:48 EST', 'dirk_baeumer'), ('LATER', '2006-04-01 12:16:48 EST', 'dirk_baeumer'), ('[refactoring] [inline method] Eclipse should not require saving of unnamed buffers prior to refactoring', '2006-04-01 12:16:48 EST', 'dirk_baeumer'), ('WONTFIX', '2009-08-30 02:20:20 EDT', 'denis.roy'), ('jdt-ui-inbox', '2009-08-30 02:20:20 EDT', 'denis.roy')]</t>
  </si>
  <si>
    <t>2005-12-08 12:06:06 EST</t>
  </si>
  <si>
    <t>2005-07-07 13:39 EDT</t>
  </si>
  <si>
    <t>2005-08-19 11:39:19 EDT</t>
  </si>
  <si>
    <t>[('CREATED', '2005-07-07 13:39 EDT'), (nan, '2005-08-19 11:39:19 EDT', 'dirk_baeumer'), ('martin_aeschlimann', '2005-08-19 11:39:19 EDT', 'dirk_baeumer'), ('3.2 M2', '2005-08-19 11:39:19 EDT', 'dirk_baeumer'), ('[import rewrite] Problems with nested captures in quick fixes and extract ... refactorings', '2005-08-19 12:29:29 EDT', 'martinae'), ('3.2 M3', '2005-09-11 07:36:16 EDT', 'dirk_baeumer'), ('3.2 M4', '2005-10-19 10:40:55 EDT', 'martinae'), ('RESOLVED', '2005-12-08 12:06:06 EST', 'martinae'), ('FIXED', '2005-12-08 12:06:06 EST', 'martinae')]</t>
  </si>
  <si>
    <t>2006-01-11 12:37:05 EST</t>
  </si>
  <si>
    <t>2005-07-11 01:07 EDT</t>
  </si>
  <si>
    <t>2005-07-11 06:39:49 EDT</t>
  </si>
  <si>
    <t>2019-01-18 10:30:31 EST</t>
  </si>
  <si>
    <t>[('CREATED', '2005-07-11 01:07 EDT'), ('jdt-ui-inbox', '2005-07-11 06:39:49 EDT', 'frederic_fusier'), ('UI', '2005-07-11 06:39:49 EDT', 'frederic_fusier'), ('tobias_widmer', '2005-07-11 09:44:38 EDT', 'dirk_baeumer'), ('RESOLVED', '2006-01-11 12:37:05 EST', 'tobias_widmer'), ('WORKSFORME', '2006-01-11 12:37:05 EST', 'tobias_widmer'), ('https://bugs.eclipse.org/bugs/show_bug.cgi?id=326832', '2019-01-18 10:30:31 EST', 'daniel_megert')]</t>
  </si>
  <si>
    <t>RESOLVED  DUPLICATE  of bug 95839</t>
  </si>
  <si>
    <t>2005-07-12 06:10:27 EDT</t>
  </si>
  <si>
    <t>2005-07-11 11:59 EDT</t>
  </si>
  <si>
    <t>2005-07-11 15:31:37 EDT</t>
  </si>
  <si>
    <t>[('CREATED', '2005-07-11 11:59 EDT'), ('jdt-ui-inbox', '2005-07-11 15:31:37 EDT', 'Olivier_Thomann'), ('UI', '2005-07-11 15:31:37 EDT', 'Olivier_Thomann'), ('martin_aeschlimann', '2005-07-12 06:02:43 EDT', 'dirk_baeumer'), ('3.2', '2005-07-12 06:02:43 EDT', 'dirk_baeumer'), ('RESOLVED', '2005-07-12 06:10:27 EDT', 'martinae'), ('DUPLICATE', '2005-07-12 06:10:27 EDT', 'martinae')]</t>
  </si>
  <si>
    <t>101980 (view as bug list)</t>
  </si>
  <si>
    <t>2005-08-10 14:34:55 EDT</t>
  </si>
  <si>
    <t>2005-09-02 12:13:31 EDT</t>
  </si>
  <si>
    <t>2005-07-11 15:36 EDT</t>
  </si>
  <si>
    <t>2005-07-11 15:58:47 EDT</t>
  </si>
  <si>
    <t>[('CREATED', '2005-07-11 15:36 EDT'), ('1', '2005-07-11 15:58:47 EDT', 'Olivier_Thomann'), ('1', '2005-07-11 16:22:13 EDT', 'Olivier_Thomann'), ("[refactoring] PromoteTempToField doesn't properly set the type and the modifiers of the resulting variable declaration statement", '2005-07-11 16:25:54 EDT', 'Olivier_Thomann'), ('philippe_mulet', '2005-07-12 05:51:22 EDT', 'philippe_mulet'), ('markus_keller', '2005-07-12 06:00:32 EDT', 'dirk_baeumer'), ('dirk_baeumer', '2005-07-12 06:00:32 EDT', 'dirk_baeumer'), ('ASSIGNED', '2005-07-12 10:00:32 EDT', 'markus.kell.r'), ('3.1.1', '2005-07-12 10:00:32 EDT', 'markus.kell.r'), ('ha_tech_2004', '2005-07-12 10:02:00 EDT', 'markus.kell.r'), ('1', '2005-08-04 13:17:27 EDT', 'markus.kell.r'), ('1', '2005-08-04 13:18:14 EDT', 'markus.kell.r'), ('martin_aeschlimann', '2005-08-08 06:27:40 EDT', 'dirk_baeumer'), ('RESOLVED', '2005-08-10 14:34:55 EDT', 'markus.kell.r'), ('FIXED', '2005-08-10 14:34:55 EDT', 'markus.kell.r'), ('VERIFIED', '2005-09-02 12:13:31 EDT', 'dirk_baeumer')]</t>
  </si>
  <si>
    <t>2005-07-13 11:36 EDT</t>
  </si>
  <si>
    <t>2005-07-13 18:01:00 EDT</t>
  </si>
  <si>
    <t>2020-08-27 16:32:00 EDT</t>
  </si>
  <si>
    <t>erik.brangs</t>
  </si>
  <si>
    <t>[('CREATED', '2005-07-13 11:36 EDT'), ('martin_aeschlimann', '2005-07-13 18:01:00 EDT', 'dirk_baeumer'), ("[quick fix] Should offer Quick Fixes for problem 'Inexact type match for varargs argument'", '2005-07-13 18:01:00 EDT', 'dirk_baeumer'), ('eclipse', '2006-02-15 06:07:22 EST', 'eclipse'), ('jdt-ui-inbox', '2009-01-23 11:16:18 EST', 'daniel_megert'), ('ASSIGNED', '2009-01-23 11:33:29 EST', 'daniel_megert'), ('daniel_megert', '2013-08-19 09:39:39 EDT', 'daniel_megert'), ('All', '2013-08-19 09:39:39 EDT', 'daniel_megert'), ('manju_mathew', '2013-08-19 09:39:39 EDT', 'daniel_megert'), ("[quick fix] Should offer Quick Fixe for problem 'Inexact type match for varargs argument'", '2013-08-19 09:39:39 EDT', 'daniel_megert'), ('All', '2013-08-19 09:39:39 EDT', 'daniel_megert'), ('4.4 M2', '2013-08-19 09:39:53 EDT', 'daniel_megert'), ("[quick fix] Should offer Quick Fix for problem 'Inexact type match for varargs argument'", '2013-08-19 09:54:11 EDT', 'daniel_megert'), ('manju_mathew', '2013-08-19 12:08:14 EDT', 'markus.kell.r'), ('jdt-ui-inbox', '2013-08-19 12:08:14 EDT', 'markus.kell.r'), ('---', '2013-08-19 12:08:14 EDT', 'markus.kell.r'), ('send2adtc', '2013-09-10 02:24:47 EDT', 'send2adtc'), ('lukas.eder', '2020-08-27 03:51:08 EDT', 'lukas.eder'), ('erik.brangs', '2020-08-27 16:32:00 EDT', 'erik.brangs')]</t>
  </si>
  <si>
    <t>2010-05-17 15:32:19 EDT</t>
  </si>
  <si>
    <t>2005-07-13 14:50 EDT</t>
  </si>
  <si>
    <t>2005-07-13 17:51:32 EDT</t>
  </si>
  <si>
    <t>[('CREATED', '2005-07-13 14:50 EDT'), ('tobias_widmer', '2005-07-13 17:51:32 EDT', 'dirk_baeumer'), ('[refactoring] [move] Import statement not created when class moved.', '2005-07-13 17:51:32 EDT', 'dirk_baeumer'), ('[reorg] import statement not created when class moved [refactoring]', '2006-05-29 06:23:51 EDT', 'tobias_widmer'), ('jdt-ui-inbox', '2007-06-14 10:47:24 EDT', 'martinae'), ('RESOLVED', '2010-05-17 15:32:19 EDT', 'deepakazad'), ('deepak.azad', '2010-05-17 15:32:19 EDT', 'deepakazad'), ('INVALID', '2010-05-17 15:32:19 EDT', 'deepakazad')]</t>
  </si>
  <si>
    <t>2006-06-16 08:06:57 EDT</t>
  </si>
  <si>
    <t>2009-08-30 02:42:10 EDT</t>
  </si>
  <si>
    <t>2005-07-14 03:35 EDT</t>
  </si>
  <si>
    <t>2005-07-14 11:35:11 EDT</t>
  </si>
  <si>
    <t>[('CREATED', '2005-07-14 03:35 EDT'), ('ASSIGNED', '2005-07-14 11:35:11 EDT', 'dirk_baeumer'), ('[refactoring] New refactoring: create single exit point', '2005-07-14 11:35:11 EDT', 'dirk_baeumer'), ('LATER', '2006-06-16 08:06:57 EDT', 'martinae'), ('[refactoring] [dcr] New refactoring: create single exit point', '2006-06-16 08:06:57 EDT', 'martinae'), ('martin_aeschlimann', '2006-06-16 08:06:57 EDT', 'martinae'), ('RESOLVED', '2006-06-16 08:06:57 EDT', 'martinae'), ('helpwanted', '2006-06-16 08:06:57 EDT', 'martinae'), ('WONTFIX', '2009-08-30 02:42:10 EDT', 'webmaster')]</t>
  </si>
  <si>
    <t>2005-07-14 08:46 EDT</t>
  </si>
  <si>
    <t>2005-07-18 09:35:11 EDT</t>
  </si>
  <si>
    <t>2009-01-23 11:36:41 EST</t>
  </si>
  <si>
    <t>[('CREATED', '2005-07-14 08:46 EDT'), ('daniel_megert', '2005-07-18 09:35:11 EDT', 'daniel_megert'), ('jdt-ui-inbox', '2005-07-18 09:35:11 EDT', 'daniel_megert'), ('UI', '2005-07-18 09:35:11 EDT', 'daniel_megert'), ('Extract String variable from selected text in a literal string', '2005-07-18 09:35:11 EDT', 'daniel_megert'), ('martin_aeschlimann', '2005-07-18 12:39:16 EDT', 'markus.kell.r'), ('P4', '2005-07-18 12:39:16 EDT', 'markus.kell.r'), ('markus_keller', '2005-07-18 12:40:41 EDT', 'markus.kell.r'), ('[quick assist] Extract String variable from selected text in a literal string', '2005-07-18 12:40:41 EDT', 'markus.kell.r'), ('jdt-ui-inbox', '2009-01-23 11:18:22 EST', 'daniel_megert'), ('ASSIGNED', '2009-01-23 11:36:41 EST', 'daniel_megert')]</t>
  </si>
  <si>
    <t>2005-08-15 05:10:56 EDT</t>
  </si>
  <si>
    <t>2005-07-14 10:10 EDT</t>
  </si>
  <si>
    <t>2005-07-14 12:04:44 EDT</t>
  </si>
  <si>
    <t>[('CREATED', '2005-07-14 10:10 EDT'), ('Core', '2005-07-14 12:04:44 EDT', 'mkaufman'), ('jdt-ui-inbox', '2005-07-18 07:17:48 EDT', 'philippe_mulet'), ('UI', '2005-07-18 07:17:48 EDT', 'philippe_mulet'), ('tobias_widmer', '2005-07-18 07:23:52 EDT', 'markus.kell.r'), ('JavaModelException in Move Static Members refactoring [refactoring]', '2005-08-15 05:05:33 EDT', 'tobias_widmer'), ('RESOLVED', '2005-08-15 05:10:56 EDT', 'tobias_widmer'), ('WORKSFORME', '2005-08-15 05:10:56 EDT', 'tobias_widmer'), ('3.2', '2005-08-15 05:10:56 EDT', 'tobias_widmer')]</t>
  </si>
  <si>
    <t>2005-07-14 12:15 EDT</t>
  </si>
  <si>
    <t>2005-07-19 05:38:22 EDT</t>
  </si>
  <si>
    <t>2019-08-08 11:41:49 EDT</t>
  </si>
  <si>
    <t>[('CREATED', '2005-07-14 12:15 EDT'), ('jdt-ui-inbox', '2005-07-19 05:38:22 EDT', 'daniel_megert'), ('UI', '2005-07-19 05:38:22 EDT', 'daniel_megert'), ('markus_keller', '2005-07-19 06:34:25 EDT', 'markus.kell.r'), ('tobias_widmer', '2005-07-19 06:34:25 EDT', 'markus.kell.r'), ('[reorg] moving a class fails if a class with the same name exists in the destination and is open in editor [refactoring]', '2006-05-29 06:24:15 EDT', 'tobias_widmer'), ('jdt-ui-inbox', '2007-06-14 10:47:44 EDT', 'martinae'), ('stalebug', '2019-08-08 11:41:49 EDT', 'genie')]</t>
  </si>
  <si>
    <t>107283 (view as bug list)</t>
  </si>
  <si>
    <t>2005-08-19 12:28:44 EDT</t>
  </si>
  <si>
    <t>2005-09-20 09:45:37 EDT</t>
  </si>
  <si>
    <t>2005-07-15 04:07 EDT</t>
  </si>
  <si>
    <t>2005-07-26 10:40:55 EDT</t>
  </si>
  <si>
    <t>[('CREATED', '2005-07-15 04:07 EDT'), ('jdt-ui-inbox', '2005-07-26 10:40:55 EDT', 'Olivier_Thomann'), ('UI', '2005-07-26 10:40:55 EDT', 'Olivier_Thomann'), ('[Refactoring] return statements converted to invalid code during "infere generic types"', '2005-07-26 10:40:55 EDT', 'Olivier_Thomann'), ('[refactoring] return statements converted to invalid code during "infere generic types"', '2005-08-10 06:52:42 EDT', 'dirk_baeumer'), ('markus_keller', '2005-08-10 06:52:42 EDT', 'dirk_baeumer'), ('markus_keller', '2005-08-10 07:10:55 EDT', 'markus.kell.r'), ('martin_aeschlimann', '2005-08-10 07:10:55 EDT', 'markus.kell.r'), ('[astrewrite] problem replacing parentized expression', '2005-08-10 08:06:08 EDT', 'martinae'), ('iyers', '2005-08-18 05:28:27 EDT', 'martinae'), ('RESOLVED', '2005-08-19 12:28:44 EDT', 'martinae'), ('FIXED', '2005-08-19 12:28:44 EDT', 'martinae'), ('3.2 M2', '2005-08-19 12:28:44 EDT', 'martinae'), ('VERIFIED', '2005-09-20 09:45:37 EDT', 'martinae')]</t>
  </si>
  <si>
    <t>2006-03-03 04:02:30 EST</t>
  </si>
  <si>
    <t>2005-07-15 09:37 EDT</t>
  </si>
  <si>
    <t>2005-07-15 16:06:02 EDT</t>
  </si>
  <si>
    <t>[('CREATED', '2005-07-15 09:37 EDT'), ('dirk_baeumer', '2005-07-15 16:06:02 EDT', 'dirk_baeumer'), ('[refactoring] Extract Method dialog: Conflicting "c" keyboard shortcut', '2005-07-15 16:06:02 EDT', 'dirk_baeumer'), ('markus_keller', '2006-03-03 04:01:23 EST', 'markus.kell.r'), ('RESOLVED', '2006-03-03 04:02:30 EST', 'markus.kell.r'), ('FIXED', '2006-03-03 04:02:30 EST', 'markus.kell.r'), ('3.2 M6', '2006-03-03 04:02:30 EST', 'markus.kell.r')]</t>
  </si>
  <si>
    <t>2005-07-15 10:20 EDT</t>
  </si>
  <si>
    <t>2005-07-18 06:20:31 EDT</t>
  </si>
  <si>
    <t>2019-12-01 16:27:31 EST</t>
  </si>
  <si>
    <t>[('CREATED', '2005-07-15 10:20 EDT'), ('jdt-ui-inbox', '2005-07-18 06:20:31 EDT', 'daniel_megert'), ('UI', '2005-07-18 06:20:31 EDT', 'daniel_megert'), ('markus_keller', '2005-07-18 07:02:44 EDT', 'markus.kell.r'), ('tobias_widmer', '2005-07-18 07:02:44 EDT', 'markus.kell.r'), ('[reorg] move of inner interfaces results in incompilable code [refactoring]', '2006-05-29 06:24:44 EDT', 'tobias_widmer'), ('jdt-ui-inbox', '2007-06-14 10:47:39 EDT', 'martinae'), ('stalebug', '2019-12-01 16:27:31 EST', 'genie')]</t>
  </si>
  <si>
    <t>2005-07-15 11:24 EDT</t>
  </si>
  <si>
    <t>2005-07-15 11:27:12 EDT</t>
  </si>
  <si>
    <t>2019-10-31 07:20:48 EDT</t>
  </si>
  <si>
    <t>[('CREATED', '2005-07-15 11:24 EDT'), ('[refactoring] infer type arguments: compile errors after', '2005-07-15 11:27:12 EDT', 'akiezun'), ('1', '2005-07-15 11:29:21 EDT', 'akiezun'), ('markus_keller', '2005-07-18 11:52:38 EDT', 'markus.kell.r'), ('3.2', '2005-07-18 11:52:38 EDT', 'markus.kell.r'), ('ASSIGNED', '2006-04-28 10:15:56 EDT', 'markus.kell.r'), ('3.3', '2006-04-28 10:15:56 EDT', 'markus.kell.r'), ('[infer type arguments] compile errors after refactoring JLex benchmarks', '2006-06-08 11:32:33 EDT', 'markus.kell.r'), ('3.4', '2007-05-11 18:54:52 EDT', 'markus.kell.r'), ('3.5', '2008-05-10 12:20:43 EDT', 'markus.kell.r'), ('---', '2009-05-06 06:20:48 EDT', 'markus.kell.r'), ('stalebug', '2019-10-31 07:20:48 EDT', 'genie')]</t>
  </si>
  <si>
    <t>2005-08-10 09:14:55 EDT</t>
  </si>
  <si>
    <t>2005-09-02 10:07:21 EDT</t>
  </si>
  <si>
    <t>2005-07-15 11:46 EDT</t>
  </si>
  <si>
    <t>2005-07-15 16:08:20 EDT</t>
  </si>
  <si>
    <t>[('CREATED', '2005-07-15 11:46 EDT'), ('tobias_widmer', '2005-07-15 16:08:20 EDT', 'dirk_baeumer'), ('dirk_baeumer', '2005-07-18 04:52:17 EDT', 'tobias_widmer'), ('3.1.1', '2005-07-26 05:51:38 EDT', 'dirk_baeumer'), ('martin_aeschlimann', '2005-08-08 08:15:46 EDT', 'tobias_widmer'), ('RESOLVED', '2005-08-10 09:14:55 EDT', 'tobias_widmer'), ('FIXED', '2005-08-10 09:14:55 EDT', 'tobias_widmer'), ('VERIFIED', '2005-09-02 10:07:21 EDT', 'daniel_megert')]</t>
  </si>
  <si>
    <t>2020-02-09 17:07:31 EST</t>
  </si>
  <si>
    <t>2005-07-15 12:25 EDT</t>
  </si>
  <si>
    <t>2005-07-18 06:44:11 EDT</t>
  </si>
  <si>
    <t>[('CREATED', '2005-07-15 12:25 EDT'), ('daniel_megert', '2005-07-18 06:44:11 EDT', 'daniel_megert'), ('jdt-ui-inbox', '2005-07-18 06:44:11 EDT', 'daniel_megert'), ('UI', '2005-07-18 06:44:11 EDT', 'daniel_megert'), ('minor', '2005-07-18 06:44:19 EDT', 'daniel_megert'), ('markus_keller', '2005-07-18 07:21:17 EDT', 'markus.kell.r'), ('dirk_baeumer', '2005-07-18 07:21:17 EDT', 'markus.kell.r'), ('tobias_widmer', '2005-07-26 05:47:12 EDT', 'dirk_baeumer'), ('[refactoring] [reorg] Refactor | Move of fields does not save source files', '2005-07-26 05:47:12 EDT', 'dirk_baeumer'), ('3.2', '2005-07-26 05:47:12 EDT', 'dirk_baeumer'), ('ASSIGNED', '2006-04-27 13:37:04 EDT', 'tobias_widmer'), ('3.3', '2006-04-27 13:37:04 EDT', 'tobias_widmer'), ('[reorg] move of fields does not save source files [refactoring]', '2006-05-29 05:23:36 EDT', 'tobias_widmer'), ('---', '2007-02-16 04:03:57 EST', 'martinae'), ('jdt-ui-inbox', '2007-06-14 10:47:36 EDT', 'martinae'), ('NEW', '2007-06-14 10:47:36 EDT', 'martinae'), ('stalebug', '2020-02-09 17:07:31 EST', 'genie'), ('CLOSED', '2020-02-09 17:07:31 EST', 'genie'), ('WONTFIX', '2020-02-09 17:07:31 EST', 'genie')]</t>
  </si>
  <si>
    <t>2012-02-21 08:20:03 EST</t>
  </si>
  <si>
    <t>2005-07-19 14:50 EDT</t>
  </si>
  <si>
    <t>2005-07-20 08:58:54 EDT</t>
  </si>
  <si>
    <t>[('CREATED', '2005-07-19 14:50 EDT'), ('jdt-ui-inbox', '2005-07-20 08:58:54 EDT', 'Olivier_Thomann'), ('UI', '2005-07-20 08:58:54 EDT', 'Olivier_Thomann'), ('[refactoring] Pull Up refactoring incorrectly warns of changing visibility of referenced member.', '2005-07-20 10:56:29 EDT', 'markus.kell.r'), ('markus_keller', '2005-07-20 10:56:29 EDT', 'markus.kell.r'), ('tobias_widmer', '2005-07-20 10:56:29 EDT', 'markus.kell.r'), ('[pull up] refactoring incorrectly warns of changing visibility of referenced member [refactoring]', '2006-05-29 06:25:06 EDT', 'tobias_widmer'), ('jdt-ui-inbox', '2007-06-14 10:46:24 EDT', 'martinae'), ('kuv02', '2007-08-02 05:33:06 EDT', 'kuv02'), ('benno_baumgartner', '2007-08-02 06:09:26 EDT', 'benno.baumgartner'), ('RESOLVED', '2012-02-21 08:20:03 EST', 'daniel_megert'), ('daniel_megert', '2012-02-21 08:20:03 EST', 'daniel_megert'), ('WORKSFORME', '2012-02-21 08:20:03 EST', 'daniel_megert')]</t>
  </si>
  <si>
    <t>RESOLVED  DUPLICATE  of bug 102018</t>
  </si>
  <si>
    <t>2005-07-22 16:14:40 EDT</t>
  </si>
  <si>
    <t>2005-07-22 12:06 EDT</t>
  </si>
  <si>
    <t>2005-07-22 13:57:04 EDT</t>
  </si>
  <si>
    <t>[('CREATED', '2005-07-22 12:06 EDT'), ('jdt-ui-inbox', '2005-07-22 13:57:04 EDT', 'philippe_mulet'), ('UI', '2005-07-22 13:57:04 EDT', 'philippe_mulet'), ('RESOLVED', '2005-07-22 16:14:40 EDT', 'markus.kell.r'), ('DUPLICATE', '2005-07-22 16:14:40 EDT', 'markus.kell.r')]</t>
  </si>
  <si>
    <t>2006-04-01 12:19:12 EST</t>
  </si>
  <si>
    <t>2005-07-26 11:31 EDT</t>
  </si>
  <si>
    <t>2005-07-26 11:35:34 EDT</t>
  </si>
  <si>
    <t>[('CREATED', '2005-07-26 11:31 EDT'), ('[refactoring] Improve handling of labeled statement during inline method', '2005-07-26 11:35:34 EDT', 'dirk_baeumer'), ('RESOLVED', '2006-04-01 12:19:12 EST', 'dirk_baeumer'), ('WONTFIX', '2006-04-01 12:19:12 EST', 'dirk_baeumer')]</t>
  </si>
  <si>
    <t>105008</t>
  </si>
  <si>
    <t>2005-08-03 06:46:01 EDT</t>
  </si>
  <si>
    <t>2005-08-09 10:32:36 EDT</t>
  </si>
  <si>
    <t>2005-07-26 22:03 EDT</t>
  </si>
  <si>
    <t>2005-07-26 22:06:14 EDT</t>
  </si>
  <si>
    <t>[('CREATED', '2005-07-26 22:03 EDT'), ('All', '2005-07-26 22:06:14 EDT', 'Karice_McIntyre'), ('105008', '2005-07-26 22:33:09 EDT', 'Karice_McIntyre'), ('Mike_Wilson', '2005-07-27 11:17:22 EDT', 'Mike_Wilson'), ('3.1.1', '2005-07-27 11:19:29 EDT', 'dirk_baeumer'), ('1', '2005-07-27 11:39:19 EDT', 'dirk_baeumer'), ('martin_aeschlimann', '2005-07-27 11:40:06 EDT', 'dirk_baeumer'), ('eclipse', '2005-07-27 11:41:20 EDT', 'dirk_baeumer'), ('1', '2005-07-28 05:28:54 EDT', 'martinae'), ('1', '2005-07-28 05:52:55 EDT', 'dirk_baeumer'), ('Michael_Valenta', '2005-08-02 14:37:21 EDT', 'Mike_Wilson'), ('RESOLVED', '2005-08-03 06:46:01 EDT', 'dirk_baeumer'), ('FIXED', '2005-08-03 06:46:01 EDT', 'dirk_baeumer'), ('markus_keller', '2005-08-09 09:13:00 EDT', 'markus.kell.r'), ('VERIFIED', '2005-08-09 10:32:36 EDT', 'markus.kell.r')]</t>
  </si>
  <si>
    <t>2005-07-27 11:02 EDT</t>
  </si>
  <si>
    <t>2005-07-27 11:17:46 EDT</t>
  </si>
  <si>
    <t>2010-11-04 06:44:10 EDT</t>
  </si>
  <si>
    <t>[('CREATED', '2005-07-27 11:02 EDT'), ('ASSIGNED', '2005-07-27 11:17:46 EDT', 'dirk_baeumer'), ('P4', '2005-07-27 11:17:46 EDT', 'dirk_baeumer'), ('[refactoring] Constructor/Method Params to Setters Refactoring', '2005-07-27 11:17:46 EDT', 'dirk_baeumer'), ('[refactoring] [dcr] Constructor/Method Params to Setters Refactoring', '2006-06-11 03:31:16 EDT', 'martinae'), ('daniel_megert', '2010-11-04 06:44:10 EDT', 'daniel_megert'), ('[refactoring] Constructor/Method Params to Setters Refactoring', '2010-11-04 06:44:10 EDT', 'daniel_megert')]</t>
  </si>
  <si>
    <t>2005-07-27 11:59 EDT</t>
  </si>
  <si>
    <t>2005-08-02 06:04:29 EDT</t>
  </si>
  <si>
    <t>2019-09-30 17:07:41 EDT</t>
  </si>
  <si>
    <t>[('CREATED', '2005-07-27 11:59 EDT'), ('tobias_widmer', '2005-08-02 06:04:29 EDT', 'dirk_baeumer'), ('dirk_baeumer', '2005-08-10 06:35:47 EDT', 'tobias_widmer'), ('[dnd][reorg] moving source files excluded from build path [refactoring]', '2006-05-29 06:25:51 EDT', 'tobias_widmer'), ('jdt-ui-inbox', '2007-06-14 10:42:30 EDT', 'martinae'), ('stalebug', '2019-09-30 17:07:41 EDT', 'genie')]</t>
  </si>
  <si>
    <t>16264 (view as bug list)</t>
  </si>
  <si>
    <t>2005-07-29 12:35 EDT</t>
  </si>
  <si>
    <t>2005-07-30 17:36:20 EDT</t>
  </si>
  <si>
    <t>2020-05-31 01:42:01 EDT</t>
  </si>
  <si>
    <t>[('CREATED', '2005-07-29 12:35 EDT'), ('tobias_widmer', '2005-07-30 17:36:20 EDT', 'dirk_baeumer'), ('[refactoring] [dnd] Drag and drop', '2005-07-30 17:36:20 EDT', 'dirk_baeumer'), ('3.2', '2005-07-30 17:36:20 EDT', 'dirk_baeumer'), ('ASSIGNED', '2006-04-25 05:37:50 EDT', 'tobias_widmer'), ('3.3', '2006-04-25 05:37:50 EDT', 'tobias_widmer'), ('[dnd] implement undo [refactoring]', '2006-05-29 05:25:15 EDT', 'tobias_widmer'), ('jdt-ui-inbox', '2007-02-16 04:03:05 EST', 'martinae'), ('NEW', '2007-02-16 04:03:05 EST', 'martinae'), ('---', '2007-05-09 05:00:34 EDT', 'martinae'), ('dirk_baeumer', '2007-07-19 10:51:23 EDT', 'benno.baumgartner'), ('stalebug', '2020-05-31 01:42:01 EDT', 'genie')]</t>
  </si>
  <si>
    <t>133469 151982 174625 (view as bug list)</t>
  </si>
  <si>
    <t>105761</t>
  </si>
  <si>
    <t>2006-11-29 12:42:13 EST</t>
  </si>
  <si>
    <t>2005-07-29 16:24 EDT</t>
  </si>
  <si>
    <t>2005-07-30 04:47:26 EDT</t>
  </si>
  <si>
    <t>2007-02-19 12:24:50 EST</t>
  </si>
  <si>
    <t>[('CREATED', '2005-07-29 16:24 EDT'), ('eclipse', '2005-07-30 04:47:26 EDT', 'eclipse'), ('jdt-ui-inbox', '2005-07-30 04:47:26 EDT', 'eclipse'), ('UI', '2005-07-30 04:47:26 EDT', 'eclipse'), ('tobias_widmer', '2005-07-30 17:46:24 EDT', 'dirk_baeumer'), ('martin_aeschlimann', '2005-07-30 17:46:24 EDT', 'dirk_baeumer'), ('[quick assist] Need Quick Assist "Return via new variable"', '2005-07-30 17:46:24 EDT', 'dirk_baeumer'), ('105761', '2005-08-02 04:47:22 EDT', 'martinae'), ('christof_marti', '2006-03-28 10:49:47 EST', 'markus.kell.r'), ('[quick assist] Extract Local should end in linked mode', '2006-07-27 12:56:04 EDT', 'martinae'), ('max.andersen', '2006-07-27 12:56:11 EDT', 'martinae'), ('3.3', '2006-08-02 03:42:18 EDT', 'martinae'), ('FIXED', '2006-11-29 12:42:13 EST', 'martinae'), ('3.2 M3', '2006-11-29 12:42:13 EST', 'martinae'), ('RESOLVED', '2006-11-29 12:42:13 EST', 'martinae'), ('mstevens', '2007-02-19 12:24:50 EST', 'martinae')]</t>
  </si>
  <si>
    <t>133063 (view as bug list)</t>
  </si>
  <si>
    <t>2006-03-10 11:09:09 EST</t>
  </si>
  <si>
    <t>2005-08-01 04:32 EDT</t>
  </si>
  <si>
    <t>2005-08-01 13:28:37 EDT</t>
  </si>
  <si>
    <t>2006-07-10 11:23:38 EDT</t>
  </si>
  <si>
    <t>[('CREATED', '2005-08-01 04:32 EDT'), ('jdt-ui-inbox', '2005-08-01 13:28:37 EDT', 'Olivier_Thomann'), ('UI', '2005-08-01 13:28:37 EDT', 'Olivier_Thomann'), ('tobias_widmer', '2005-08-02 04:57:55 EDT', 'dirk_baeumer'), ('[refactoring] Convert Local Variable to Field has problems with arrays', '2005-08-02 04:57:55 EDT', 'dirk_baeumer'), ('3.2', '2005-08-02 04:57:55 EDT', 'dirk_baeumer'), ('RESOLVED', '2006-03-10 11:09:09 EST', 'tobias_widmer'), ('FIXED', '2006-03-10 11:09:09 EST', 'tobias_widmer'), ('3.2 M6', '2006-03-10 11:09:09 EST', 'tobias_widmer'), ('markus_keller', '2006-07-10 11:23:38 EDT', 'benno.baumgartner')]</t>
  </si>
  <si>
    <t>2005-08-01 09:44 EDT</t>
  </si>
  <si>
    <t>2005-08-01 10:41:23 EDT</t>
  </si>
  <si>
    <t>2007-06-14 10:42:45 EDT</t>
  </si>
  <si>
    <t>[('CREATED', '2005-08-01 09:44 EDT'), ('bmiller', '2005-08-01 10:41:23 EDT', 'bmiller'), ('tobias_widmer', '2005-08-02 05:00:50 EDT', 'dirk_baeumer'), ('[extract interface] provide extract from usage [refactoring]', '2006-05-29 06:26:18 EDT', 'tobias_widmer'), ('jdt-ui-inbox', '2007-06-14 10:42:45 EDT', 'martinae')]</t>
  </si>
  <si>
    <t>2006-06-16 14:37:33 EDT</t>
  </si>
  <si>
    <t>2005-08-01 09:46 EDT</t>
  </si>
  <si>
    <t>2005-08-01 09:47:46 EDT</t>
  </si>
  <si>
    <t>[('CREATED', '2005-08-01 09:46 EDT'), ("[refactoring] run 'infer type parameters' from warning", '2005-08-01 09:47:46 EDT', 'akiezun'), ("[refactoring] run 'infer type arguments' from warning", '2005-08-01 09:48:12 EDT', 'akiezun'), ('ASSIGNED', '2005-08-02 05:16:22 EDT', 'dirk_baeumer'), ('P4', '2005-08-02 05:16:22 EDT', 'dirk_baeumer'), ("[refactoring] [quick fix] run 'infer type arguments' from warning", '2005-08-02 05:16:22 EDT', 'dirk_baeumer'), ('RESOLVED', '2006-06-16 14:37:33 EDT', 'martinae'), ('WONTFIX', '2006-06-16 14:37:33 EDT', 'martinae'), ("[quick fix] run 'infer type arguments' from warning", '2006-06-16 14:37:33 EDT', 'martinae')]</t>
  </si>
  <si>
    <t>2006-08-16 10:26:13 EDT</t>
  </si>
  <si>
    <t>2006-08-31 06:49:35 EDT</t>
  </si>
  <si>
    <t>2006-08-16 10:23:19 EDT</t>
  </si>
  <si>
    <t>2005-08-01 17:36 EDT</t>
  </si>
  <si>
    <t>2005-08-02 09:21:40 EDT</t>
  </si>
  <si>
    <t>[('CREATED', '2005-08-01 17:36 EDT'), ('jdt-core-inbox', '2005-08-02 09:21:40 EDT', 'pascal'), ('Core', '2005-08-02 09:21:40 EDT', 'pascal'), ('JDT', '2005-08-02 09:21:40 EDT', 'pascal'), ('jdt-ui-inbox', '2005-08-02 12:35:51 EDT', 'frederic_fusier'), ('UI', '2005-08-02 12:35:51 EDT', 'frederic_fusier'), ('tip', '2005-08-02 12:40:38 EDT', 'dirk_baeumer'), ('3.2.1 candidate', '2006-06-16 14:41:14 EDT', 'martinae'), ('markus_keller', '2006-06-16 14:41:14 EDT', 'martinae'), ('[generalize type] Internal Error', '2006-06-16 14:41:14 EDT', 'martinae'), ('RESOLVED', '2006-06-19 08:32:53 EDT', 'markus.kell.r'), ('FIXED', '2006-06-19 08:32:53 EDT', 'markus.kell.r'), ('3.3 M1', '2006-06-19 08:32:53 EDT', 'markus.kell.r'), ('REOPENED', '2006-08-16 10:23:19 EDT', 'markus.kell.r'), ('---', '2006-08-16 10:23:19 EDT', 'markus.kell.r'), (nan, '2006-08-16 10:23:19 EDT', 'markus.kell.r'), ('3.2.1', '2006-08-16 10:23:19 EDT', 'markus.kell.r'), ('Fix &amp; Test for 3.2.1', '2006-08-16 10:24:54 EDT', 'markus.kell.r'), ('RESOLVED', '2006-08-16 10:26:13 EDT', 'markus.kell.r'), ('FIXED', '2006-08-16 10:26:13 EDT', 'markus.kell.r'), ('[generalize type] Internal Error with exception in catch clause', '2006-08-16 10:26:13 EDT', 'markus.kell.r'), ('VERIFIED', '2006-08-31 06:49:35 EDT', 'benno.baumgartner')]</t>
  </si>
  <si>
    <t>2008-12-01 12:25:35 EST</t>
  </si>
  <si>
    <t>2005-08-01 18:27 EDT</t>
  </si>
  <si>
    <t>2005-08-02 03:32:02 EDT</t>
  </si>
  <si>
    <t>[('CREATED', '2005-08-01 18:27 EDT'), ('jdt-ui-inbox', '2005-08-02 03:32:02 EDT', 'frederic_fusier'), ('UI', '2005-08-02 03:32:02 EDT', 'frederic_fusier'), ('dirk_baeumer', '2005-08-02 04:41:51 EDT', 'dirk_baeumer'), ('[refactoring] bug in SnippetFinder.java', '2005-08-02 04:41:51 EDT', 'dirk_baeumer'), ('[refactoring] [extract method] bug in SnippetFinder.java', '2006-04-01 12:20:06 EST', 'dirk_baeumer'), ('jdt-ui-inbox', '2006-06-02 06:07:22 EDT', 'martinae'), ('[extract method] bug in SnippetFinder.java', '2006-06-02 06:07:22 EDT', 'martinae'), ('mn', '2008-12-01 10:47:53 EST', 'mn'), ('daniel_megert', '2008-12-01 12:25:35 EST', 'daniel_megert'), ('RESOLVED', '2008-12-01 12:25:35 EST', 'daniel_megert'), ('WORKSFORME', '2008-12-01 12:25:35 EST', 'daniel_megert')]</t>
  </si>
  <si>
    <t>2005-08-26 11:11:01 EDT</t>
  </si>
  <si>
    <t>2005-09-02 08:47:39 EDT</t>
  </si>
  <si>
    <t>2005-08-02 13:03 EDT</t>
  </si>
  <si>
    <t>2005-08-02 13:37:38 EDT</t>
  </si>
  <si>
    <t>[('CREATED', '2005-08-02 13:03 EDT'), ('dirk_baeumer', '2005-08-02 13:37:38 EDT', 'dirk_baeumer'), ('markus_keller', '2005-08-02 13:37:38 EDT', 'dirk_baeumer'), ('3.1.1', '2005-08-02 13:40:57 EDT', 'dirk_baeumer'), ('tobias_widmer', '2005-08-26 08:59:16 EDT', 'markus.kell.r'), ('RESOLVED', '2005-08-26 11:11:01 EDT', 'markus.kell.r'), ('FIXED', '2005-08-26 11:11:01 EDT', 'markus.kell.r'), ('VERIFIED', '2005-09-02 08:47:39 EDT', 'daniel_megert')]</t>
  </si>
  <si>
    <t>118022 (view as bug list)</t>
  </si>
  <si>
    <t>2005-08-03 04:27 EDT</t>
  </si>
  <si>
    <t>2005-08-05 14:38:26 EDT</t>
  </si>
  <si>
    <t>2011-11-08 18:15:04 EST</t>
  </si>
  <si>
    <t>[('CREATED', '2005-08-03 04:27 EDT'), ('bmiller', '2005-08-05 14:38:26 EDT', 'bmiller'), ('ASSIGNED', '2005-09-11 07:19:04 EDT', 'dirk_baeumer'), ('[refactoring] Safe Delete Refactoring', '2005-09-11 07:19:04 EDT', 'dirk_baeumer'), ('N.Metchev', '2005-11-18 08:33:27 EST', 'nikolaymetchev'), ('eclipse', '2005-11-28 03:49:56 EST', 'martinae'), ('[refactoring] [dcr] Safe Delete Refactoring', '2006-06-23 08:14:08 EDT', 'martinae'), ('daniel_megert', '2010-11-04 06:43:53 EDT', 'daniel_megert'), ('[refactoring] Safe Delete Refactoring', '2010-11-04 06:43:53 EDT', 'daniel_megert'), ('ankur_sharma', '2011-07-24 14:37:50 EDT', 'ankur_sharma'), ('P5', '2011-07-25 02:57:53 EDT', 'daniel_megert'), ('All', '2011-07-25 02:57:53 EDT', 'daniel_megert'), ('All', '2011-07-25 02:57:53 EDT', 'daniel_megert'), ('P3', '2011-07-25 09:36:59 EDT', 'daniel_megert'), ('reprogrammer', '2011-11-08 18:15:04 EST', 'reprogrammer')]</t>
  </si>
  <si>
    <t>2020-04-07 01:04:23 EDT</t>
  </si>
  <si>
    <t>2005-08-03 14:47 EDT</t>
  </si>
  <si>
    <t>2005-08-03 17:19:01 EDT</t>
  </si>
  <si>
    <t>[('CREATED', '2005-08-03 14:47 EDT'), ('martin_aeschlimann', '2005-08-03 17:19:01 EDT', 'dirk_baeumer'), ('[quick assist] Assign to field quick assist does nothing?', '2005-08-03 17:19:01 EDT', 'dirk_baeumer'), ('jdt-ui-inbox', '2009-01-23 11:10:54 EST', 'daniel_megert'), ('ASSIGNED', '2009-01-23 11:24:37 EST', 'daniel_megert'), ('WONTFIX', '2020-04-07 01:04:23 EDT', 'genie'), ('CLOSED', '2020-04-07 01:04:23 EDT', 'genie'), ('stalebug', '2020-04-07 01:04:23 EDT', 'genie')]</t>
  </si>
  <si>
    <t>RESOLVED  DUPLICATE  of bug 84777</t>
  </si>
  <si>
    <t>106017 (view as bug list)</t>
  </si>
  <si>
    <t>2005-08-05 05:12:55 EDT</t>
  </si>
  <si>
    <t>2005-08-03 22:24 EDT</t>
  </si>
  <si>
    <t>2005-08-03 22:43:06 EDT</t>
  </si>
  <si>
    <t>[('CREATED', '2005-08-03 22:24 EDT'), ('jdt-ui-inbox', '2005-08-03 22:43:06 EDT', 'Olivier_Thomann'), ('UI', '2005-08-03 22:43:06 EDT', 'Olivier_Thomann'), ("[refactoring] Add 'Extract Inner Class' refactoring.", '2005-08-04 05:30:20 EDT', 'dirk_baeumer'), ("[refactoring] Add 'Extract Class' refactoring.", '2005-08-04 10:41:25 EDT', 'ggregory'), ('akiezun', '2005-08-04 16:39:41 EDT', 'akiezun'), ('RESOLVED', '2005-08-05 05:12:55 EDT', 'dirk_baeumer'), ('DUPLICATE', '2005-08-05 05:12:55 EDT', 'dirk_baeumer')]</t>
  </si>
  <si>
    <t>RESOLVED  DUPLICATE  of bug 106008</t>
  </si>
  <si>
    <t>2005-08-04 04:00:58 EDT</t>
  </si>
  <si>
    <t>2005-08-04 02:31 EDT</t>
  </si>
  <si>
    <t>2005-08-04 04:00:33 EDT</t>
  </si>
  <si>
    <t>[('CREATED', '2005-08-04 02:31 EDT'), ('jdt-ui-inbox', '2005-08-04 04:00:33 EDT', 'frederic_fusier'), ('UI', '2005-08-04 04:00:33 EDT', 'frederic_fusier'), ('RESOLVED', '2005-08-04 04:00:58 EDT', 'frederic_fusier'), ('DUPLICATE', '2005-08-04 04:00:58 EDT', 'frederic_fusier')]</t>
  </si>
  <si>
    <t>2020-04-23 16:41:53 EDT</t>
  </si>
  <si>
    <t>2005-08-04 08:38 EDT</t>
  </si>
  <si>
    <t>2009-01-23 11:13:57 EST</t>
  </si>
  <si>
    <t>[('CREATED', '2005-08-04 08:38 EDT'), ('jdt-ui-inbox', '2009-01-23 11:13:57 EST', 'daniel_megert'), ('ASSIGNED', '2009-01-23 11:29:50 EST', 'daniel_megert'), ('CLOSED', '2020-04-23 16:41:53 EDT', 'genie'), ('WONTFIX', '2020-04-23 16:41:53 EDT', 'genie'), ('stalebug', '2020-04-23 16:41:53 EDT', 'genie')]</t>
  </si>
  <si>
    <t>2005-08-18 05:01:05 EDT</t>
  </si>
  <si>
    <t>2005-09-20 09:45:22 EDT</t>
  </si>
  <si>
    <t>2005-08-04 23:35 EDT</t>
  </si>
  <si>
    <t>2005-08-05 05:09:23 EDT</t>
  </si>
  <si>
    <t>[('CREATED', '2005-08-04 23:35 EDT'), ('tobias_widmer', '2005-08-05 05:09:23 EDT', 'dirk_baeumer'), ('[ccp] [refactoring] AssertionFailedException copying compilation unit', '2005-08-05 05:09:23 EDT', 'dirk_baeumer'), ('3.2 M2', '2005-08-05 05:09:23 EDT', 'dirk_baeumer'), ('dirk_baeumer', '2005-08-10 13:27:21 EDT', 'tobias_widmer'), ('RESOLVED', '2005-08-18 05:01:05 EDT', 'tobias_widmer'), ('FIXED', '2005-08-18 05:01:05 EDT', 'tobias_widmer'), ('martin_aeschlimann', '2005-09-20 08:59:13 EDT', 'benno.baumgartner'), ('VERIFIED', '2005-09-20 09:45:22 EDT', 'martinae')]</t>
  </si>
  <si>
    <t>2005-09-14 08:07:55 EDT</t>
  </si>
  <si>
    <t>2005-09-20 09:45:55 EDT</t>
  </si>
  <si>
    <t>2005-08-05 11:35 EDT</t>
  </si>
  <si>
    <t>2005-08-05 11:40:15 EDT</t>
  </si>
  <si>
    <t>[('CREATED', '2005-08-05 11:35 EDT'), ('markus_keller', '2005-08-05 11:40:15 EDT', 'dirk_baeumer'), ('3.2 M1', '2005-08-05 11:40:15 EDT', 'dirk_baeumer'), ('ASSIGNED', '2005-08-10 10:53:18 EDT', 'markus.kell.r'), ('3.2 M2', '2005-08-10 10:53:18 EDT', 'markus.kell.r'), ('RESOLVED', '2005-09-14 08:07:55 EDT', 'markus.kell.r'), ('FIXED', '2005-09-14 08:07:55 EDT', 'markus.kell.r'), ('martin_aeschlimann', '2005-09-20 09:02:52 EDT', 'benno.baumgartner'), ('VERIFIED', '2005-09-20 09:45:55 EDT', 'martinae')]</t>
  </si>
  <si>
    <t>76503 (view as bug list)</t>
  </si>
  <si>
    <t>2006-04-21 09:34:51 EDT</t>
  </si>
  <si>
    <t>2005-08-05 12:45 EDT</t>
  </si>
  <si>
    <t>2005-08-05 12:46:10 EDT</t>
  </si>
  <si>
    <t>[('CREATED', '2005-08-05 12:45 EDT'), ('plan', '2005-08-05 12:46:10 EDT', 'Mike_Wilson'), ('P4', '2005-08-05 12:46:10 EDT', 'Mike_Wilson'), ('mlists', '2005-08-05 13:57:12 EDT', 'mlists'), ('gunnar', '2005-08-05 14:05:51 EDT', 'gunnar'), ('N.Metchev', '2005-08-05 15:40:54 EDT', 'nikolaymetchev'), ('fplante', '2005-08-15 11:38:30 EDT', 'dirk_baeumer'), ('tobias_widmer', '2005-08-15 11:43:47 EDT', 'tobias_widmer'), ('akiezun', '2005-08-19 11:57:46 EDT', 'akiezun'), ('ciukes', '2005-08-20 16:30:03 EDT', 'ciukes'), ('goerge', '2005-08-21 07:39:32 EDT', 'goerge'), ('eu', '2005-08-23 23:59:09 EDT', 'ekuleshov'), ('[plan item] Relax closed world assumption in refactoring and provide ways to preserve API compatibility', '2005-08-24 06:26:18 EDT', 'dirk_baeumer'), ('eclipse', '2005-11-13 07:25:35 EST', 'g.albrecht'), ('philip_mayer', '2005-11-22 09:10:40 EST', 'eclipsetalk2'), ('[plan item] Split refactoring.', '2006-02-14 15:28:50 EST', 'Mike_Wilson'), ('RESOLVED', '2006-04-21 09:34:51 EDT', 'tobias_widmer'), ('FIXED', '2006-04-21 09:34:51 EDT', 'tobias_widmer'), ('3.2', '2006-04-21 09:34:51 EDT', 'tobias_widmer')]</t>
  </si>
  <si>
    <t>2005-10-19 12:08:52 EDT</t>
  </si>
  <si>
    <t>2005-11-01 11:30:52 EST</t>
  </si>
  <si>
    <t>2005-08-08 06:37 EDT</t>
  </si>
  <si>
    <t>2005-08-08 08:17:29 EDT</t>
  </si>
  <si>
    <t>[('CREATED', '2005-08-08 06:37 EDT'), ('tobias_widmer', '2005-08-08 08:17:29 EDT', 'dirk_baeumer'), ('3.2 M2', '2005-08-08 08:17:29 EDT', 'dirk_baeumer'), ('3.2 M3', '2005-09-19 05:04:50 EDT', 'tobias_widmer'), ('RESOLVED', '2005-10-19 12:08:52 EDT', 'tobias_widmer'), ('FIXED', '2005-10-19 12:08:52 EDT', 'tobias_widmer'), ('VERIFIED', '2005-11-01 11:30:52 EST', 'markus.kell.r')]</t>
  </si>
  <si>
    <t>RESOLVED  DUPLICATE  of bug 115463</t>
  </si>
  <si>
    <t>2006-04-03 12:05:48 EDT</t>
  </si>
  <si>
    <t>2005-08-08 11:51 EDT</t>
  </si>
  <si>
    <t>2005-08-09 04:37:15 EDT</t>
  </si>
  <si>
    <t>[('CREATED', '2005-08-08 11:51 EDT'), ('dirk_baeumer', '2005-08-09 04:37:15 EDT', 'dirk_baeumer'), ('[refactoring] Extract Method shows wrong preview for change elements [refactoring]', '2005-08-09 04:37:15 EDT', 'dirk_baeumer'), ('RESOLVED', '2006-04-03 12:05:48 EDT', 'dirk_baeumer'), ('DUPLICATE', '2006-04-03 12:05:48 EDT', 'dirk_baeumer')]</t>
  </si>
  <si>
    <t>2005-08-09 18:25 EDT</t>
  </si>
  <si>
    <t>2005-08-10 04:53:26 EDT</t>
  </si>
  <si>
    <t>2007-06-14 10:45:34 EDT</t>
  </si>
  <si>
    <t>[('CREATED', '2005-08-09 18:25 EDT'), ('ASSIGNED', '2005-08-10 04:53:26 EDT', 'dirk_baeumer'), ('P4', '2005-08-10 04:53:26 EDT', 'dirk_baeumer'), ('[refactoring] Move static method to new file', '2005-08-10 04:53:26 EDT', 'dirk_baeumer'), ('tobias_widmer', '2006-06-16 14:45:27 EDT', 'martinae'), ('NEW', '2006-06-16 14:45:27 EDT', 'martinae'), ('[move static members] Move static method to new file', '2006-06-16 14:45:27 EDT', 'martinae'), ('[move static members] Move static method to new file [refactoring]', '2006-06-19 04:53:58 EDT', 'tobias_widmer'), ('jdt-ui-inbox', '2007-06-14 10:45:34 EDT', 'martinae')]</t>
  </si>
  <si>
    <t>2006-07-05 10:24:53 EDT</t>
  </si>
  <si>
    <t>2005-08-10 10:30 EDT</t>
  </si>
  <si>
    <t>2005-08-10 11:00:30 EDT</t>
  </si>
  <si>
    <t>[('CREATED', '2005-08-10 10:30 EDT'), ('markus_keller', '2005-08-10 11:00:30 EDT', 'dirk_baeumer'), ('RESOLVED', '2006-07-05 10:24:53 EDT', 'markus.kell.r'), ('WORKSFORME', '2006-07-05 10:24:53 EDT', 'markus.kell.r'), ('[infer type arguments] erroneously removes casts', '2006-07-05 10:24:53 EDT', 'markus.kell.r')]</t>
  </si>
  <si>
    <t>128916 (view as bug list)</t>
  </si>
  <si>
    <t>2007-05-11 18:49:02 EDT</t>
  </si>
  <si>
    <t>2006-05-29 06:28:57 EDT</t>
  </si>
  <si>
    <t>2006-05-29 06:37:41 EDT</t>
  </si>
  <si>
    <t>2005-08-10 11:30 EDT</t>
  </si>
  <si>
    <t>2005-08-11 06:30:17 EDT</t>
  </si>
  <si>
    <t>[('CREATED', '2005-08-10 11:30 EDT'), ('tobias_widmer', '2005-08-11 06:30:17 EDT', 'dirk_baeumer'), ("[refactoring] [extract local] Can't extract local from return without whitespace.", '2005-08-11 06:30:17 EDT', 'dirk_baeumer'), ('markus_keller', '2006-02-22 06:11:37 EST', 'markus.kell.r'), ('WORKSFORME', '2006-05-29 06:28:57 EDT', 'tobias_widmer'), ('RESOLVED', '2006-05-29 06:28:57 EDT', 'tobias_widmer'), ('REOPENED', '2006-05-29 06:37:41 EDT', 'markus.kell.r'), ('---', '2006-05-29 06:37:41 EDT', 'markus.kell.r'), ('markus_keller', '2006-05-29 06:38:42 EDT', 'markus.kell.r'), ('NEW', '2006-05-29 06:38:42 EDT', 'markus.kell.r'), ('3.3', '2006-05-29 06:38:42 EDT', 'markus.kell.r'), ('ASSIGNED', '2006-05-29 06:38:52 EDT', 'markus.kell.r'), ("[extract local] Can't extract local from return without whitespace.", '2006-05-30 09:10:35 EDT', 'markus.kell.r'), ('RESOLVED', '2007-05-11 18:49:02 EDT', 'markus.kell.r'), ('FIXED', '2007-05-11 18:49:02 EDT', 'markus.kell.r')]</t>
  </si>
  <si>
    <t>2005-08-29 06:37:57 EDT</t>
  </si>
  <si>
    <t>2005-08-15 10:04 EDT</t>
  </si>
  <si>
    <t>2005-08-15 10:24:32 EDT</t>
  </si>
  <si>
    <t>[('CREATED', '2005-08-15 10:04 EDT'), ('jdt-ui-inbox', '2005-08-15 10:24:32 EDT', 'Olivier_Thomann'), ('UI', '2005-08-15 10:24:32 EDT', 'Olivier_Thomann'), ('tobias_widmer', '2005-08-15 10:38:44 EDT', 'dirk_baeumer'), ("[refactoring] refactoring 'move to new file' causes duplicate visibility modifier", '2005-08-15 10:38:44 EDT', 'dirk_baeumer'), ('RESOLVED', '2005-08-29 06:37:57 EDT', 'tobias_widmer'), ('WORKSFORME', '2005-08-29 06:37:57 EDT', 'tobias_widmer')]</t>
  </si>
  <si>
    <t>2005-09-19 05:34:07 EDT</t>
  </si>
  <si>
    <t>2005-09-20 12:53:49 EDT</t>
  </si>
  <si>
    <t>2005-08-15 10:49 EDT</t>
  </si>
  <si>
    <t>2005-08-15 11:08:02 EDT</t>
  </si>
  <si>
    <t>[('CREATED', '2005-08-15 10:49 EDT'), ('jdt-ui-inbox', '2005-08-15 11:08:02 EDT', 'frederic_fusier'), ('UI', '2005-08-15 11:08:02 EDT', 'frederic_fusier'), ('dirk_baeumer', '2005-08-15 11:50:07 EDT', 'dirk_baeumer'), ('3.2 M2', '2005-08-15 11:50:07 EDT', 'dirk_baeumer'), ('RESOLVED', '2005-09-19 05:34:07 EDT', 'martinae'), ('FIXED', '2005-09-19 05:34:07 EDT', 'martinae'), ('VERIFIED', '2005-09-20 12:53:49 EDT', 'martinae')]</t>
  </si>
  <si>
    <t>2008-12-01 06:58:09 EST</t>
  </si>
  <si>
    <t>2005-08-15 11:14 EDT</t>
  </si>
  <si>
    <t>2005-08-15 11:53:52 EDT</t>
  </si>
  <si>
    <t>[('CREATED', '2005-08-15 11:14 EDT'), ('tobias_widmer', '2005-08-15 11:53:52 EDT', 'dirk_baeumer'), ("[refactoring] [pull up] refactoring: can 'pull up' recognise use of generics (parameters)", '2005-08-15 11:53:52 EDT', 'dirk_baeumer'), ('normal', '2006-05-29 06:31:29 EDT', 'tobias_widmer'), ('[pull up] merging of methods with generics does not work [refactoring]', '2006-05-29 06:31:29 EDT', 'tobias_widmer'), ('jdt-ui-inbox', '2007-06-14 10:46:11 EDT', 'martinae'), ('mn', '2008-11-29 17:45:27 EST', 'mn'), ('WORKSFORME', '2008-12-01 06:58:09 EST', 'daniel_megert'), ('daniel_megert', '2008-12-01 06:58:09 EST', 'daniel_megert'), ('RESOLVED', '2008-12-01 06:58:09 EST', 'daniel_megert')]</t>
  </si>
  <si>
    <t>2005-09-11 07:31:47 EDT</t>
  </si>
  <si>
    <t>2005-09-20 12:46:04 EDT</t>
  </si>
  <si>
    <t>2005-08-15 11:30 EDT</t>
  </si>
  <si>
    <t>2005-08-15 13:40:42 EDT</t>
  </si>
  <si>
    <t>[('CREATED', '2005-08-15 11:30 EDT'), ('Refactoring dialog does not remember screen, position and size between invocations on multiple displays', '2005-08-15 13:40:42 EDT', 'dirk_baeumer'), ('RESOLVED', '2005-09-11 07:31:47 EDT', 'dirk_baeumer'), ('FIXED', '2005-09-11 07:31:47 EDT', 'dirk_baeumer'), ('3.2 M2', '2005-09-11 07:31:47 EDT', 'dirk_baeumer'), ('VERIFIED', '2005-09-20 12:46:04 EDT', 'martinae')]</t>
  </si>
  <si>
    <t>RESOLVED  DUPLICATE  of bug 98621</t>
  </si>
  <si>
    <t>2005-08-17 05:35:44 EDT</t>
  </si>
  <si>
    <t>2005-08-16 10:31 EDT</t>
  </si>
  <si>
    <t>2005-08-16 10:41:25 EDT</t>
  </si>
  <si>
    <t>[('CREATED', '2005-08-16 10:31 EDT'), ('[refactoring] [ccp] Confirm Delete window hangs sporadically', '2005-08-16 10:41:25 EDT', 'dirk_baeumer'), ('RESOLVED', '2005-08-17 05:35:44 EDT', 'dirk_baeumer'), ('DUPLICATE', '2005-08-17 05:35:44 EDT', 'dirk_baeumer')]</t>
  </si>
  <si>
    <t>2005-08-17 04:53:29 EDT</t>
  </si>
  <si>
    <t>2009-08-30 02:15:56 EDT</t>
  </si>
  <si>
    <t>2005-08-16 15:30 EDT</t>
  </si>
  <si>
    <t>[('CREATED', '2005-08-16 15:30 EDT'), ('RESOLVED', '2005-08-17 04:53:29 EDT', 'dirk_baeumer'), ('P4', '2005-08-17 04:53:29 EDT', 'dirk_baeumer'), ('LATER', '2005-08-17 04:53:29 EDT', 'dirk_baeumer'), ('[refactoring] [ccp] Undo disabled on Members tab.', '2005-08-17 04:53:29 EDT', 'dirk_baeumer'), ('WONTFIX', '2009-08-30 02:15:56 EDT', 'denis.roy')]</t>
  </si>
  <si>
    <t>2005-08-17 06:21 EDT</t>
  </si>
  <si>
    <t>2005-08-17 06:39:35 EDT</t>
  </si>
  <si>
    <t>2018-10-25 16:09:32 EDT</t>
  </si>
  <si>
    <t>[('CREATED', '2005-08-17 06:21 EDT'), ('jdt-ui-inbox', '2005-08-17 06:39:35 EDT', 'pascal'), ('UI', '2005-08-17 06:39:35 EDT', 'pascal'), ('JDT', '2005-08-17 06:39:35 EDT', 'pascal'), ('dirk_baeumer', '2005-08-17 08:40:58 EDT', 'dirk_baeumer'), ('tobias_widmer', '2005-08-17 08:40:58 EDT', 'dirk_baeumer'), ('[refactoring] Extract Interface does not change references in Maps and Lists', '2005-08-17 08:40:58 EDT', 'dirk_baeumer'), ('3.2', '2005-10-31 13:35:02 EST', 'dirk_baeumer'), ('benno_baumgartner', '2006-01-10 05:28:28 EST', 'benno.baumgartner'), ('3.3', '2006-04-21 11:44:30 EDT', 'tobias_widmer'), ('[extract interface] does not change references in Maps and Lists [refactoring]', '2006-05-29 05:25:48 EDT', 'tobias_widmer'), ('3.4', '2007-06-01 12:09:58 EDT', 'martinae'), ('jdt-ui-inbox', '2007-06-14 10:42:37 EDT', 'martinae'), ('---', '2008-05-18 05:04:04 EDT', 'martinae'), ('robin.rosenberg', '2012-08-26 16:17:21 EDT', 'robin.rosenberg'), ('stalebug', '2018-10-25 16:09:32 EDT', 'genie')]</t>
  </si>
  <si>
    <t>2005-10-31 06:27:53 EST</t>
  </si>
  <si>
    <t>2005-08-17 13:07 EDT</t>
  </si>
  <si>
    <t>2005-08-17 13:07:07 EDT</t>
  </si>
  <si>
    <t>[('CREATED', '2005-08-17 13:07 EDT'), ('3.2 M2', '2005-08-17 13:07:07 EDT', 'dirk_baeumer'), ('3.2 M3', '2005-09-19 05:34:43 EDT', 'martinae'), ('RESOLVED', '2005-10-31 06:27:53 EST', 'dirk_baeumer'), ('WONTFIX', '2005-10-31 06:27:53 EST', 'dirk_baeumer')]</t>
  </si>
  <si>
    <t>CLOSED  DUPLICATE  of bug 310510</t>
  </si>
  <si>
    <t>150064 (view as bug list)</t>
  </si>
  <si>
    <t>2014-06-24 22:30:56 EDT</t>
  </si>
  <si>
    <t>2005-08-19 03:24 EDT</t>
  </si>
  <si>
    <t>2005-08-19 03:27:41 EDT</t>
  </si>
  <si>
    <t>[('CREATED', '2005-08-19 03:24 EDT'), ('jdt-ui-inbox', '2005-08-19 03:27:41 EDT', 'daniel_megert'), ('UI', '2005-08-19 03:27:41 EDT', 'daniel_megert'), ('tobias_widmer', '2005-08-19 12:31:20 EDT', 'dirk_baeumer'), ('[refactoring] Move member type to new fil and double nested classes', '2005-08-19 12:31:20 EDT', 'dirk_baeumer'), ('[refactoring] Move member type to new file and double nested classes', '2005-08-22 07:58:32 EDT', 'david.perez.ingeniero'), ('N.Metchev', '2005-11-03 05:48:10 EST', 'nikolaymetchev'), ('[move member type] incorrect imports with double nested class [refactoring]', '2006-05-29 06:40:39 EDT', 'tobias_widmer'), ('jdt-ui-inbox', '2007-06-14 10:44:44 EDT', 'martinae'), ('mauromol', '2007-08-27 11:27:00 EDT', 'mauromol'), ('BrianMiller', '2008-02-11 12:23:21 EST', 'Brian.Miller'), ('ASSIGNED', '2014-06-24 22:22:03 EDT', 'manju656'), ('manju_mathew', '2014-06-24 22:22:03 EDT', 'manju656'), ('[refactoring][move member type] incorrect imports with double nested class', '2014-06-24 22:22:03 EDT', 'manju656'), ('luke.hutch', '2014-06-24 22:22:18 EDT', 'manju656'), ('CLOSED', '2014-06-24 22:30:56 EDT', 'manju656'), ('DUPLICATE', '2014-06-24 22:30:56 EDT', 'manju656'), ('[move member type] incorrect imports with double nested class', '2014-06-24 22:30:56 EDT', 'manju656')]</t>
  </si>
  <si>
    <t>2005-08-19 05:40 EDT</t>
  </si>
  <si>
    <t>2005-08-19 12:00:44 EDT</t>
  </si>
  <si>
    <t>2007-06-14 10:42:51 EDT</t>
  </si>
  <si>
    <t>[('CREATED', '2005-08-19 05:40 EDT'), ('tobias_widmer', '2005-08-19 12:00:44 EDT', 'dirk_baeumer'), ('[refactoring] [extract interface] Refactor - Extract Interface...', '2005-08-19 12:00:44 EDT', 'dirk_baeumer'), ('ASSIGNED', '2005-08-19 12:14:17 EDT', 'tobias_widmer'), ('Extract Interface should support extracting methods to existing interfaces [refactoring]', '2005-08-29 06:19:15 EDT', 'tobias_widmer'), ('[extract interface] support extracting methods to existing interfaces [refactoring]', '2006-05-29 06:41:01 EDT', 'tobias_widmer'), ('jdt-ui-inbox', '2007-06-14 10:42:51 EDT', 'martinae'), ('NEW', '2007-06-14 10:42:51 EDT', 'martinae')]</t>
  </si>
  <si>
    <t>107544 (view as bug list)</t>
  </si>
  <si>
    <t>2006-01-24 12:24:32 EST</t>
  </si>
  <si>
    <t>2005-08-21 10:57 EDT</t>
  </si>
  <si>
    <t>2005-08-21 14:54:26 EDT</t>
  </si>
  <si>
    <t>[('CREATED', '2005-08-21 10:57 EDT'), ('jdt-ui-inbox', '2005-08-21 14:54:26 EDT', 'Olivier_Thomann'), ('UI', '2005-08-21 14:54:26 EDT', 'Olivier_Thomann'), ('tobias_widmer', '2005-08-22 04:42:02 EDT', 'dirk_baeumer'), ('[refactoring] extract interface does not use project specific configured template', '2005-08-22 04:42:02 EDT', 'dirk_baeumer'), ('3.2', '2005-08-22 04:42:02 EDT', 'dirk_baeumer'), ('WORKSFORME', '2006-01-24 12:24:32 EST', 'tobias_widmer'), ('3.2 M5', '2006-01-24 12:24:32 EST', 'tobias_widmer'), ('RESOLVED', '2006-01-24 12:24:32 EST', 'tobias_widmer')]</t>
  </si>
  <si>
    <t>2005-09-07 09:12:39 EDT</t>
  </si>
  <si>
    <t>2005-09-20 06:05:55 EDT</t>
  </si>
  <si>
    <t>2005-08-22 13:02 EDT</t>
  </si>
  <si>
    <t>2005-08-22 13:19:15 EDT</t>
  </si>
  <si>
    <t>[('CREATED', '2005-08-22 13:02 EDT'), ('jdt-ui-inbox', '2005-08-22 13:19:15 EDT', 'Olivier_Thomann'), ('UI', '2005-08-22 13:19:15 EDT', 'Olivier_Thomann'), ('dirk_baeumer', '2005-09-07 09:12:24 EDT', 'dirk_baeumer'), ('3.2 M2', '2005-09-07 09:12:24 EDT', 'dirk_baeumer'), ('RESOLVED', '2005-09-07 09:12:39 EDT', 'dirk_baeumer'), ('FIXED', '2005-09-07 09:12:39 EDT', 'dirk_baeumer'), ('VERIFIED', '2005-09-20 06:05:55 EDT', 'tobias_widmer')]</t>
  </si>
  <si>
    <t>2019-02-18 04:19:03 EST</t>
  </si>
  <si>
    <t>2005-08-23 08:23 EDT</t>
  </si>
  <si>
    <t>2005-08-23 08:51:30 EDT</t>
  </si>
  <si>
    <t>[('CREATED', '2005-08-23 08:23 EDT'), ('jdt-ui-inbox', '2005-08-23 08:51:30 EDT', 'Olivier_Thomann'), ('UI', '2005-08-23 08:51:30 EDT', 'Olivier_Thomann'), ('tobias_widmer', '2005-09-11 07:34:00 EDT', 'dirk_baeumer'), ('[ccp] Copy and Paste of a package prompts for target dir', '2005-09-11 07:34:00 EDT', 'dirk_baeumer'), ('[reorg] unnecessary name conflict when copying package [refactoring]', '2006-05-29 06:43:39 EDT', 'tobias_widmer'), ('jdt-ui-inbox', '2007-06-14 10:48:39 EDT', 'martinae'), ('stalebug', '2019-02-17 05:04:03 EST', 'genie'), ('daniel_megert', '2019-02-18 04:19:03 EST', 'daniel_megert'), ('INVALID', '2019-02-18 04:19:03 EST', 'daniel_megert'), (nan, '2019-02-18 04:19:03 EST', 'daniel_megert'), ('RESOLVED', '2019-02-18 04:19:03 EST', 'daniel_megert')]</t>
  </si>
  <si>
    <t>2005-08-24 13:54:47 EDT</t>
  </si>
  <si>
    <t>2009-08-30 02:37:01 EDT</t>
  </si>
  <si>
    <t>2005-08-23 10:21 EDT</t>
  </si>
  <si>
    <t>[('CREATED', '2005-08-23 10:21 EDT'), ('RESOLVED', '2005-08-24 13:54:47 EDT', 'dirk_baeumer'), ('P4', '2005-08-24 13:54:47 EDT', 'dirk_baeumer'), ('LATER', '2005-08-24 13:54:47 EDT', 'dirk_baeumer'), ('WONTFIX', '2009-08-30 02:37:01 EDT', 'webmaster')]</t>
  </si>
  <si>
    <t>103643</t>
  </si>
  <si>
    <t>2005-08-23 12:25 EDT</t>
  </si>
  <si>
    <t>2005-08-23 12:33:19 EDT</t>
  </si>
  <si>
    <t>2019-12-10 16:53:34 EST</t>
  </si>
  <si>
    <t>[('CREATED', '2005-08-23 12:25 EDT'), ('103643', '2005-08-23 12:33:19 EDT', 'markus.kell.r'), ('markus_keller', '2006-06-16 15:44:56 EDT', 'martinae'), ('[extract local] Extract method / local variable refactorings infer return/field type "? extends Number"', '2006-06-16 15:44:56 EDT', 'martinae'), ('ASSIGNED', '2006-06-19 05:32:17 EDT', 'markus.kell.r'), ('stalebug', '2019-12-10 16:53:34 EST', 'genie')]</t>
  </si>
  <si>
    <t>RESOLVED  DUPLICATE  of bug 53507</t>
  </si>
  <si>
    <t>2006-06-09 12:24:45 EDT</t>
  </si>
  <si>
    <t>2005-08-24 10:40 EDT</t>
  </si>
  <si>
    <t>2005-08-24 10:44:02 EDT</t>
  </si>
  <si>
    <t>[('CREATED', '2005-08-24 10:40 EDT'), ('jdt-ui-inbox', '2005-08-24 10:44:02 EDT', 'Olivier_Thomann'), ('UI', '2005-08-24 10:44:02 EDT', 'Olivier_Thomann'), ('ASSIGNED', '2005-08-24 13:48:42 EDT', 'dirk_baeumer'), ('RESOLVED', '2006-06-09 12:24:45 EDT', 'markus.kell.r'), ('DUPLICATE', '2006-06-09 12:24:45 EDT', 'markus.kell.r')]</t>
  </si>
  <si>
    <t>2005-08-24 13:47:43 EDT</t>
  </si>
  <si>
    <t>2009-08-30 02:24:06 EDT</t>
  </si>
  <si>
    <t>2005-08-24 11:06 EDT</t>
  </si>
  <si>
    <t>[('CREATED', '2005-08-24 11:06 EDT'), ('RESOLVED', '2005-08-24 13:47:43 EDT', 'dirk_baeumer'), ('LATER', '2005-08-24 13:47:43 EDT', 'dirk_baeumer'), ('[search] Incorrect group by type for imports', '2005-08-24 13:47:43 EDT', 'dirk_baeumer'), ('WONTFIX', '2009-08-30 02:24:06 EDT', 'denis.roy')]</t>
  </si>
  <si>
    <t>2006-04-01 12:26:36 EST</t>
  </si>
  <si>
    <t>2009-08-30 02:24:44 EDT</t>
  </si>
  <si>
    <t>2005-08-24 14:57 EDT</t>
  </si>
  <si>
    <t>2005-08-25 05:29:23 EDT</t>
  </si>
  <si>
    <t>[('CREATED', '2005-08-24 14:57 EDT'), ('dirk_baeumer', '2005-08-25 05:29:23 EDT', 'dirk_baeumer'), ('[refactoring] Method extraction includes unneeded parameter.', '2005-08-25 05:29:23 EDT', 'dirk_baeumer'), ('RESOLVED', '2006-04-01 12:26:36 EST', 'dirk_baeumer'), ('LATER', '2006-04-01 12:26:36 EST', 'dirk_baeumer'), ('WONTFIX', '2009-08-30 02:24:44 EDT', 'denis.roy'), ('jdt-ui-inbox', '2009-08-30 02:24:44 EDT', 'denis.roy')]</t>
  </si>
  <si>
    <t>2005-10-20 04:56:39 EDT</t>
  </si>
  <si>
    <t>2005-11-03 04:17:59 EST</t>
  </si>
  <si>
    <t>2005-08-25 11:35 EDT</t>
  </si>
  <si>
    <t>2005-08-25 12:46:56 EDT</t>
  </si>
  <si>
    <t>[('CREATED', '2005-08-25 11:35 EDT'), ('tobias_widmer', '2005-08-25 12:46:56 EDT', 'dirk_baeumer'), ('[refactoring] [move] Move method out of non-static inner class too strict.', '2005-08-25 12:46:56 EDT', 'dirk_baeumer'), ('3.2 M3', '2005-10-20 04:56:39 EDT', 'tobias_widmer'), ('RESOLVED', '2005-10-20 04:56:39 EDT', 'tobias_widmer'), ('FIXED', '2005-10-20 04:56:39 EDT', 'tobias_widmer'), ('markus_keller', '2005-11-03 04:17:59 EST', 'markus.kell.r'), ('VERIFIED', '2005-11-03 04:17:59 EST', 'markus.kell.r')]</t>
  </si>
  <si>
    <t>2005-08-25 12:45:58 EDT</t>
  </si>
  <si>
    <t>2005-08-25 12:53:23 EDT</t>
  </si>
  <si>
    <t>2005-08-25 11:53 EDT</t>
  </si>
  <si>
    <t>2019-12-27 15:33:20 EST</t>
  </si>
  <si>
    <t>[('CREATED', '2005-08-25 11:53 EDT'), ('RESOLVED', '2005-08-25 12:45:58 EDT', 'dirk_baeumer'), ('WORKSFORME', '2005-08-25 12:45:58 EDT', 'dirk_baeumer'), ('REOPENED', '2005-08-25 12:53:23 EDT', 'bmiller'), ('---', '2005-08-25 12:53:23 EDT', 'bmiller'), ('tobias_widmer', '2005-08-26 06:54:32 EDT', 'dirk_baeumer'), ('NEW', '2005-08-26 06:54:32 EDT', 'dirk_baeumer'), ('[ccp] Pasted class in PackageExplorer lacks package statement.', '2005-08-26 06:54:32 EDT', 'dirk_baeumer'), ('[reorg] pasted class lacks package statement [refactoring]', '2006-05-29 06:44:19 EDT', 'tobias_widmer'), ('jdt-ui-inbox', '2007-06-14 10:48:24 EDT', 'martinae'), ('All', '2013-09-12 10:28:21 EDT', 'daniel_megert'), ('[refactoring][reorg] pasted class lacks package statement', '2013-09-12 10:28:21 EDT', 'daniel_megert'), ('All', '2013-09-12 10:28:21 EDT', 'daniel_megert'), ('ASSIGNED', '2013-09-12 10:28:21 EDT', 'daniel_megert'), ('daniel_megert', '2013-09-12 10:28:21 EDT', 'daniel_megert'), ('stalebug', '2019-12-27 15:33:20 EST', 'genie')]</t>
  </si>
  <si>
    <t>2005-10-19 13:48:00 EDT</t>
  </si>
  <si>
    <t>2005-08-25 12:02 EDT</t>
  </si>
  <si>
    <t>2005-08-25 12:41:47 EDT</t>
  </si>
  <si>
    <t>[('CREATED', '2005-08-25 12:02 EDT'), ('tobias_widmer', '2005-08-25 12:41:47 EDT', 'dirk_baeumer'), ('[refactoring] [move] Visibility wrongly blamed for refusal to move method.', '2005-08-25 12:41:47 EDT', 'dirk_baeumer'), ('RESOLVED', '2005-10-19 13:48:00 EDT', 'tobias_widmer'), ('WORKSFORME', '2005-10-19 13:48:00 EDT', 'tobias_widmer')]</t>
  </si>
  <si>
    <t>RESOLVED  DUPLICATE  of bug 130764</t>
  </si>
  <si>
    <t>2006-03-20 11:56:43 EST</t>
  </si>
  <si>
    <t>2005-08-25 12:50 EDT</t>
  </si>
  <si>
    <t>[('CREATED', '2005-08-25 12:50 EDT'), ('RESOLVED', '2006-03-20 11:56:43 EST', 'markus.kell.r'), ('DUPLICATE', '2006-03-20 11:56:43 EST', 'markus.kell.r')]</t>
  </si>
  <si>
    <t>RESOLVED  DUPLICATE  of bug 154238</t>
  </si>
  <si>
    <t>2006-08-23 10:23:04 EDT</t>
  </si>
  <si>
    <t>2005-08-25 13:42 EDT</t>
  </si>
  <si>
    <t>2006-08-03 12:32:06 EDT</t>
  </si>
  <si>
    <t>[('CREATED', '2005-08-25 13:42 EDT'), ('[rename] Rename package with updating textual matches throws MalformedTreeException', '2006-08-03 12:32:06 EDT', 'martinae'), ('RESOLVED', '2006-08-23 10:23:04 EDT', 'markus.kell.r'), ('DUPLICATE', '2006-08-23 10:23:04 EDT', 'markus.kell.r')]</t>
  </si>
  <si>
    <t>36032</t>
  </si>
  <si>
    <t>2006-04-26 09:13:44 EDT</t>
  </si>
  <si>
    <t>2006-05-10 04:37:47 EDT</t>
  </si>
  <si>
    <t>2005-08-25 14:36 EDT</t>
  </si>
  <si>
    <t>2005-08-25 14:37:20 EDT</t>
  </si>
  <si>
    <t>[('CREATED', '2005-08-25 14:36 EDT'), ('tobias_widmer', '2005-08-25 14:37:20 EDT', 'markus.kell.r'), ('P2', '2005-08-25 14:37:20 EDT', 'markus.kell.r'), ('bmiller', '2005-08-25 15:23:50 EDT', 'bmiller'), ('normal', '2005-08-26 05:02:59 EDT', 'tobias_widmer'), ('3.2', '2005-08-26 06:43:15 EDT', 'dirk_baeumer'), ('36032', '2005-10-20 05:10:09 EDT', 'tobias_widmer'), ('RESOLVED', '2006-04-26 09:13:44 EDT', 'tobias_widmer'), ('FIXED', '2006-04-26 09:13:44 EDT', 'tobias_widmer'), ('3.2 RC2', '2006-04-26 09:13:44 EDT', 'tobias_widmer'), ('martin_aeschlimann', '2006-05-10 03:54:30 EDT', 'johannes_rieken'), ('VERIFIED', '2006-05-10 04:37:47 EDT', 'daniel_megert')]</t>
  </si>
  <si>
    <t>29845 (view as bug list)</t>
  </si>
  <si>
    <t>2005-10-03 05:05:16 EDT</t>
  </si>
  <si>
    <t>2005-11-01 12:13:03 EST</t>
  </si>
  <si>
    <t>2005-08-25 22:11 EDT</t>
  </si>
  <si>
    <t>2005-08-26 06:31:09 EDT</t>
  </si>
  <si>
    <t>2005-12-07 07:12:32 EST</t>
  </si>
  <si>
    <t>[('CREATED', '2005-08-25 22:11 EDT'), ('martin_aeschlimann', '2005-08-26 06:31:09 EDT', 'dirk_baeumer'), ('enhancement', '2005-08-26 06:31:09 EDT', 'dirk_baeumer'), ('ASSIGNED', '2005-08-26 06:31:09 EDT', 'dirk_baeumer'), ('In the "New Java Files" code template, can\'t add comments inside the newly created class.', '2005-08-26 06:31:09 EDT', 'dirk_baeumer'), ('martin_aeschlimann', '2005-09-27 04:52:03 EDT', 'martinae'), ('NEW', '2005-09-27 04:52:03 EDT', 'martinae'), ('3.2 M3', '2005-09-27 04:52:51 EDT', 'martinae'), ('[code templates] template for body of newly created class', '2005-09-27 09:43:40 EDT', 'martinae'), ('1', '2005-10-01 23:49:20 EDT', 'johnkaplantech'), ('1', '2005-10-01 23:49:20 EDT', 'johnkaplantech'), ('1', '2005-10-01 23:50:45 EDT', 'johnkaplantech'), ('1', '2005-10-01 23:50:45 EDT', 'johnkaplantech'), ('RESOLVED', '2005-10-03 05:05:16 EDT', 'martinae'), ('FIXED', '2005-10-03 05:05:16 EDT', 'martinae'), ('VERIFIED', '2005-11-01 12:13:03 EST', 'tobias_widmer'), ('coxwell', '2005-12-07 07:12:32 EST', 'daniel_megert')]</t>
  </si>
  <si>
    <t>2005-08-26 08:16 EDT</t>
  </si>
  <si>
    <t>2005-08-26 09:38:55 EDT</t>
  </si>
  <si>
    <t>2007-06-14 10:45:17 EDT</t>
  </si>
  <si>
    <t>[('CREATED', '2005-08-26 08:16 EDT'), ('tobias_widmer', '2005-08-26 09:38:55 EDT', 'dirk_baeumer'), ('bmiller', '2005-08-26 15:46:06 EDT', 'bmiller'), ('[move method] use existing field in target instead of creating a new parameter [refactoring]', '2006-05-29 08:01:33 EDT', 'tobias_widmer'), ('jdt-ui-inbox', '2007-06-14 10:45:17 EDT', 'martinae')]</t>
  </si>
  <si>
    <t>2005-08-30 10:02:31 EDT</t>
  </si>
  <si>
    <t>2005-09-02 08:54:42 EDT</t>
  </si>
  <si>
    <t>2005-08-26 10:23 EDT</t>
  </si>
  <si>
    <t>2005-08-26 10:24:03 EDT</t>
  </si>
  <si>
    <t>[('CREATED', '2005-08-26 10:23 EDT'), ('ASSIGNED', '2005-08-26 10:24:03 EDT', 'markus.kell.r'), ('3.1.1', '2005-08-26 10:24:03 EDT', 'markus.kell.r'), ('dirk_baeumer, tobias_widmer', '2005-08-26 10:28:29 EDT', 'markus.kell.r'), ('bmiller', '2005-08-26 14:27:33 EDT', 'bmiller'), ('1', '2005-08-29 05:15:55 EDT', 'markus.kell.r'), ('1', '2005-08-29 05:15:55 EDT', 'markus.kell.r'), ('1', '2005-08-29 05:18:22 EDT', 'markus.kell.r'), ('1', '2005-08-29 05:47:46 EDT', 'markus.kell.r'), ('RESOLVED', '2005-08-30 10:02:31 EDT', 'markus.kell.r'), ('FIXED', '2005-08-30 10:02:31 EDT', 'markus.kell.r'), ('VERIFIED', '2005-09-02 08:54:42 EDT', 'tobias_widmer')]</t>
  </si>
  <si>
    <t>RESOLVED  DUPLICATE  of bug 108147</t>
  </si>
  <si>
    <t>2005-08-29 05:42:45 EDT</t>
  </si>
  <si>
    <t>2005-08-26 12:43 EDT</t>
  </si>
  <si>
    <t>[('CREATED', '2005-08-26 12:43 EDT'), ('RESOLVED', '2005-08-29 05:42:45 EDT', 'dirk_baeumer'), ('DUPLICATE', '2005-08-29 05:42:45 EDT', 'dirk_baeumer')]</t>
  </si>
  <si>
    <t>108145 (view as bug list)</t>
  </si>
  <si>
    <t>2019-10-31 16:27:02 EDT</t>
  </si>
  <si>
    <t>2019-11-19 20:50:25 EST</t>
  </si>
  <si>
    <t>2005-08-26 12:49 EDT</t>
  </si>
  <si>
    <t>2005-08-29 05:41:28 EDT</t>
  </si>
  <si>
    <t>jjohnstn</t>
  </si>
  <si>
    <t>[('CREATED', '2005-08-26 12:49 EDT'), ('tobias_widmer', '2005-08-29 05:41:28 EDT', 'dirk_baeumer'), ('[reorg] import statement not moved with moved static initializer [refactoring]', '2006-05-29 08:01:56 EDT', 'tobias_widmer'), ('jdt-ui-inbox', '2007-06-14 10:47:26 EDT', 'martinae'), ('stalebug', '2019-03-22 09:49:23 EDT', 'genie'), (nan, '2019-03-22 11:35:10 EDT', 'daniel_megert'), ('daniel_megert', '2019-03-22 11:35:10 EDT', 'daniel_megert'), ('jjohnstn', '2019-10-30 10:41:11 EDT', 'jjohnstn'), ('jjohnstn', '2019-10-30 10:41:11 EDT', 'jjohnstn'), ('https://git.eclipse.org/r/151820', '2019-10-30 18:38:16 EDT', 'genie'), ('https://git.eclipse.org/c/jdt/eclipse.jdt.ui.git/commit/?id=7e193f50e6652db32d1b98d44a95d8444c726d6c', '2019-10-31 16:24:35 EDT', 'genie'), ('4.14 M3', '2019-10-31 16:27:02 EDT', 'jjohnstn'), ('RESOLVED', '2019-10-31 16:27:02 EDT', 'jjohnstn'), ('FIXED', '2019-10-31 16:27:02 EDT', 'jjohnstn'), ('jjohnstn', '2019-10-31 16:27:09 EDT', 'jjohnstn'), ('VERIFIED', '2019-11-19 20:50:25 EST', 'jjohnstn')]</t>
  </si>
  <si>
    <t>2006-08-03 12:29:32 EDT</t>
  </si>
  <si>
    <t>2005-08-27 02:10 EDT</t>
  </si>
  <si>
    <t>2005-08-29 05:25:38 EDT</t>
  </si>
  <si>
    <t>[('CREATED', '2005-08-27 02:10 EDT'), ('markus_keller', '2005-08-29 05:25:38 EDT', 'dirk_baeumer'), ('[refactoring] refactor standard setters should update argument name', '2005-08-29 05:25:38 EDT', 'dirk_baeumer'), ('RESOLVED', '2006-08-03 12:29:32 EDT', 'martinae'), ('DUPLICATE', '2006-08-03 12:29:32 EDT', 'martinae')]</t>
  </si>
  <si>
    <t>2005-08-29 04:50:55 EDT</t>
  </si>
  <si>
    <t>2005-08-28 11:21 EDT</t>
  </si>
  <si>
    <t>2005-08-28 11:46:01 EDT</t>
  </si>
  <si>
    <t>[('CREATED', '2005-08-28 11:21 EDT'), ('jdt-ui-inbox', '2005-08-28 11:46:01 EDT', 'frederic_fusier'), ('UI', '2005-08-28 11:46:01 EDT', 'frederic_fusier'), ('tobias_widmer', '2005-08-29 04:40:39 EDT', 'dirk_baeumer'), ('[refactoring] Extract Interface refactoring is failing', '2005-08-29 04:40:39 EDT', 'dirk_baeumer'), ('3.2 M2', '2005-08-29 04:40:39 EDT', 'dirk_baeumer'), ('RESOLVED', '2005-08-29 04:50:55 EDT', 'tobias_widmer'), ('INVALID', '2005-08-29 04:50:55 EDT', 'tobias_widmer')]</t>
  </si>
  <si>
    <t>2006-04-12 09:03:23 EDT</t>
  </si>
  <si>
    <t>2005-08-29 06:32 EDT</t>
  </si>
  <si>
    <t>2005-09-09 13:38:55 EDT</t>
  </si>
  <si>
    <t>[('CREATED', '2005-08-29 06:32 EDT'), ('[refactoring] [ltk] Refactoring preview does not correctly highlight 5.0 code [refactoring]', '2005-09-09 13:38:55 EDT', 'dirk_baeumer'), ('andre_weinand', '2005-09-09 13:38:55 EDT', 'dirk_baeumer'), ('dirk_baeumer', '2005-09-09 13:38:55 EDT', 'dirk_baeumer'), ('[refactoring] [ltk] Refactoring preview does not correctly highlight 5.0 code', '2006-04-04 06:24:44 EDT', 'dirk_baeumer'), ('polish', '2006-04-06 16:34:26 EDT', 'michaelvanmeekeren'), ('RESOLVED', '2006-04-12 09:03:23 EDT', 'dirk_baeumer'), ('FIXED', '2006-04-12 09:03:23 EDT', 'dirk_baeumer'), ('3.2 RC1', '2006-04-12 09:03:23 EDT', 'dirk_baeumer')]</t>
  </si>
  <si>
    <t>2005-09-28 13:59:45 EDT</t>
  </si>
  <si>
    <t>2005-08-30 08:54 EDT</t>
  </si>
  <si>
    <t>2005-08-30 11:05:26 EDT</t>
  </si>
  <si>
    <t>[('CREATED', '2005-08-30 08:54 EDT'), ('enhancement', '2005-08-30 11:05:26 EDT', 'valentam'), ('mlists', '2005-09-04 06:04:16 EDT', 'mlists'), (nan, '2005-09-05 11:34:22 EDT', 'dirk_baeumer'), ('dirk_baeumer', '2005-09-05 11:34:22 EDT', 'dirk_baeumer'), ('nick_edgar', '2005-09-05 11:50:50 EDT', 'dirk_baeumer'), ('RESOLVED', '2005-09-28 13:59:45 EDT', 'valentam'), ('INVALID', '2005-09-28 13:59:45 EDT', 'valentam')]</t>
  </si>
  <si>
    <t>2005-09-12 13:25:37 EDT</t>
  </si>
  <si>
    <t>2005-08-30 09:23 EDT</t>
  </si>
  <si>
    <t>2005-08-30 09:23:59 EDT</t>
  </si>
  <si>
    <t>[('CREATED', '2005-08-30 09:23 EDT'), ('ASSIGNED', '2005-08-30 09:23:59 EDT', 'markus.kell.r'), ('3.2 M3', '2005-08-30 09:23:59 EDT', 'markus.kell.r'), ('RESOLVED', '2005-09-12 13:25:37 EDT', 'markus.kell.r'), ('INVALID', '2005-09-12 13:25:37 EDT', 'markus.kell.r'), ('3.2 M2', '2005-09-12 13:25:37 EDT', 'markus.kell.r')]</t>
  </si>
  <si>
    <t>2006-06-16 15:54:04 EDT</t>
  </si>
  <si>
    <t>2005-08-31 19:06 EDT</t>
  </si>
  <si>
    <t>2005-09-01 09:28:26 EDT</t>
  </si>
  <si>
    <t>[('CREATED', '2005-08-31 19:06 EDT'), ('jdt-ui-inbox', '2005-09-01 09:28:26 EDT', 'eclipse'), ('UI', '2005-09-01 09:28:26 EDT', 'eclipse'), ('JDT', '2005-09-01 09:28:26 EDT', 'eclipse'), ('ASSIGNED', '2005-09-01 10:14:04 EDT', 'dirk_baeumer'), ('[build path] "new source folder" is dangerous, hard to understand.', '2005-09-01 10:14:04 EDT', 'dirk_baeumer'), ('RESOLVED', '2006-06-16 15:54:04 EDT', 'martinae'), ('WORKSFORME', '2006-06-16 15:54:04 EDT', 'martinae')]</t>
  </si>
  <si>
    <t>RESOLVED  DUPLICATE  of bug 40078</t>
  </si>
  <si>
    <t>122271 (view as bug list)</t>
  </si>
  <si>
    <t>2006-03-24 08:32:30 EST</t>
  </si>
  <si>
    <t>2005-09-01 05:06 EDT</t>
  </si>
  <si>
    <t>2005-09-01 16:49:48 EDT</t>
  </si>
  <si>
    <t>[('CREATED', '2005-09-01 05:06 EDT'), ('bmiller', '2005-09-01 16:49:48 EDT', 'bmiller'), ('tobias_widmer', '2005-09-05 13:03:06 EDT', 'dirk_baeumer'), ('ASSIGNED', '2005-09-05 13:03:06 EDT', 'dirk_baeumer'), ('[code style] [general issue] arguments of generated methods to be final', '2005-09-05 13:03:06 EDT', 'dirk_baeumer'), ('grk', '2006-01-04 09:14:19 EST', 'martinae'), ('benno_baumgartner', '2006-01-24 04:53:42 EST', 'martinae'), ('NEW', '2006-01-24 04:53:42 EST', 'martinae'), ('ASSIGNED', '2006-02-15 08:38:33 EST', 'benno.baumgartner'), ('3.2 M6', '2006-02-15 08:38:33 EST', 'benno.baumgartner'), ('markus_keller', '2006-02-22 05:38:40 EST', 'markus.kell.r'), ('public', '2006-02-22 07:39:01 EST', 'jimisola'), ('eclipse', '2006-02-23 03:00:13 EST', 'eclipse'), ('N.Metchev', '2006-02-23 12:37:38 EST', 'nikolaymetchev'), ('RESOLVED', '2006-03-24 08:32:30 EST', 'benno.baumgartner'), ('DUPLICATE', '2006-03-24 08:32:30 EST', 'benno.baumgartner')]</t>
  </si>
  <si>
    <t>2005-09-07 12:09:06 EDT</t>
  </si>
  <si>
    <t>2005-09-20 12:09:26 EDT</t>
  </si>
  <si>
    <t>2005-09-02 08:43 EDT</t>
  </si>
  <si>
    <t>2005-09-02 11:22:56 EDT</t>
  </si>
  <si>
    <t>[('CREATED', '2005-09-02 08:43 EDT'), ('dirk_baeumer', '2005-09-02 11:22:56 EDT', 'dirk_baeumer'), ('markus_keller', '2005-09-02 11:22:56 EDT', 'dirk_baeumer'), ('[refactoring] Infer type argument gives strange result', '2005-09-02 11:22:56 EDT', 'dirk_baeumer'), ('ASSIGNED', '2005-09-07 12:04:13 EDT', 'markus.kell.r'), ('3.2 M2', '2005-09-07 12:04:13 EDT', 'markus.kell.r'), ('RESOLVED', '2005-09-07 12:09:06 EDT', 'markus.kell.r'), ('FIXED', '2005-09-07 12:09:06 EDT', 'markus.kell.r'), ('martin_aeschlimann', '2005-09-20 12:00:56 EDT', 'eclipsetalk2'), ('VERIFIED', '2005-09-20 12:09:26 EDT', 'tobias_widmer')]</t>
  </si>
  <si>
    <t>109850 (view as bug list)</t>
  </si>
  <si>
    <t>2005-09-19 04:46:53 EDT</t>
  </si>
  <si>
    <t>2005-09-20 12:51:22 EDT</t>
  </si>
  <si>
    <t>2005-09-02 10:01 EDT</t>
  </si>
  <si>
    <t>2005-09-02 10:47:16 EDT</t>
  </si>
  <si>
    <t>[('CREATED', '2005-09-02 10:01 EDT'), ('tobias_widmer', '2005-09-02 10:47:16 EDT', 'dirk_baeumer'), ('P2', '2005-09-02 10:47:16 EDT', 'dirk_baeumer'), ('3.1.1', '2005-09-02 10:47:16 EDT', 'dirk_baeumer'), ('P3', '2005-09-02 10:48:31 EDT', 'dirk_baeumer'), ('[quick fix] Exception when applying Convert to enhanced for loop', '2005-09-02 10:48:31 EDT', 'dirk_baeumer'), ('[text edits] Exception when applying Convert to enhanced for loop', '2005-09-08 09:47:53 EDT', 'dirk_baeumer'), ('dirk_baeumer', '2005-09-08 09:47:53 EDT', 'dirk_baeumer'), ('daniel_megert', '2005-09-08 09:50:57 EDT', 'dirk_baeumer'), ('benno_baumgartner', '2005-09-19 04:46:30 EDT', 'daniel_megert'), ('RESOLVED', '2005-09-19 04:46:53 EDT', 'daniel_megert'), ('FIXED', '2005-09-19 04:46:53 EDT', 'daniel_megert'), ('3.2 M2', '2005-09-19 04:46:53 EDT', 'daniel_megert'), ('VERIFIED', '2005-09-20 12:51:22 EDT', 'martinae')]</t>
  </si>
  <si>
    <t>2005-09-05 08:43:22 EDT</t>
  </si>
  <si>
    <t>2005-09-04 04:14 EDT</t>
  </si>
  <si>
    <t>2005-09-04 05:57:04 EDT</t>
  </si>
  <si>
    <t>[('CREATED', '2005-09-04 04:14 EDT'), ('jdt-ui-inbox', '2005-09-04 05:57:04 EDT', 'frederic_fusier'), ('UI', '2005-09-04 05:57:04 EDT', 'frederic_fusier'), ('RESOLVED', '2005-09-05 08:43:22 EDT', 'dirk_baeumer'), ('DUPLICATE', '2005-09-05 08:43:22 EDT', 'dirk_baeumer')]</t>
  </si>
  <si>
    <t>73352</t>
  </si>
  <si>
    <t>2005-09-05 13:20:05 EDT</t>
  </si>
  <si>
    <t>2009-08-30 02:13:55 EDT</t>
  </si>
  <si>
    <t>2005-09-04 09:00 EDT</t>
  </si>
  <si>
    <t>2005-09-05 04:41:38 EDT</t>
  </si>
  <si>
    <t>[('CREATED', '2005-09-04 09:00 EDT'), ('daniel_megert', '2005-09-05 04:41:38 EDT', 'daniel_megert'), ('jdt-ui-inbox', '2005-09-05 04:41:38 EDT', 'daniel_megert'), ('UI', '2005-09-05 04:41:38 EDT', 'daniel_megert'), ('108798', '2005-09-05 13:20:05 EDT', 'dirk_baeumer'), ('RESOLVED', '2005-09-05 13:20:05 EDT', 'dirk_baeumer'), ('LATER', '2005-09-05 13:20:05 EDT', 'dirk_baeumer'), (nan, '2005-09-06 02:48:19 EDT', 'frederic_fusier'), ('73352', '2005-09-06 02:49:06 EDT', 'frederic_fusier'), ('johan.walles', '2007-03-01 07:09:43 EST', 'johan.walles'), ('frederic_fusier', '2007-03-01 07:15:32 EST', 'frederic_fusier'), ('eric_jodet', '2007-03-01 07:15:43 EST', 'frederic_fusier'), ('CLOSED', '2007-03-06 04:05:09 EST', 'koen.van.dijken'), ('WONTFIX', '2009-08-30 02:13:55 EDT', 'denis.roy')]</t>
  </si>
  <si>
    <t>2005-09-11 15:13:03 EDT</t>
  </si>
  <si>
    <t>2005-09-20 12:41:48 EDT</t>
  </si>
  <si>
    <t>2005-09-04 12:22 EDT</t>
  </si>
  <si>
    <t>2005-09-05 08:41:21 EDT</t>
  </si>
  <si>
    <t>[('CREATED', '2005-09-04 12:22 EDT'), ('dirk_baeumer', '2005-09-05 08:41:21 EDT', 'dirk_baeumer'), ('martin_aeschlimann', '2005-09-05 08:41:21 EDT', 'dirk_baeumer'), ('P2', '2005-09-05 08:41:21 EDT', 'dirk_baeumer'), ('3.2 M2', '2005-09-05 08:41:21 EDT', 'dirk_baeumer'), ('major', '2005-09-07 06:28:03 EDT', 'frederic_fusier'), ('RESOLVED', '2005-09-11 15:13:03 EDT', 'martinae'), ('FIXED', '2005-09-11 15:13:03 EDT', 'martinae'), ('VERIFIED', '2005-09-20 12:41:48 EDT', 'martinae')]</t>
  </si>
  <si>
    <t>RESOLVED  DUPLICATE  of bug 108550</t>
  </si>
  <si>
    <t>2005-09-06 04:16:55 EDT</t>
  </si>
  <si>
    <t>2005-09-06 01:34 EDT</t>
  </si>
  <si>
    <t>2005-09-06 12:56:04 EDT</t>
  </si>
  <si>
    <t>billy.biggs</t>
  </si>
  <si>
    <t>[('CREATED', '2005-09-06 01:34 EDT'), ('RESOLVED', '2005-09-06 04:16:55 EDT', 'dirk_baeumer'), ('DUPLICATE', '2005-09-06 04:16:55 EDT', 'dirk_baeumer'), ('bbiggs', '2005-09-06 12:56:04 EDT', 'billy.biggs')]</t>
  </si>
  <si>
    <t>2005-09-06 02:42:33 EDT</t>
  </si>
  <si>
    <t>2005-09-06 01:57 EDT</t>
  </si>
  <si>
    <t>2005-09-06 02:42:11 EDT</t>
  </si>
  <si>
    <t>[('CREATED', '2005-09-06 01:57 EDT'), ('jdt-ui-inbox', '2005-09-06 02:42:11 EDT', 'frederic_fusier'), ('UI', '2005-09-06 02:42:11 EDT', 'frederic_fusier'), ('RESOLVED', '2005-09-06 02:42:33 EDT', 'frederic_fusier'), ('DUPLICATE', '2005-09-06 02:42:33 EDT', 'frederic_fusier')]</t>
  </si>
  <si>
    <t>2005-09-07 12:05:17 EDT</t>
  </si>
  <si>
    <t>2009-08-30 02:39:46 EDT</t>
  </si>
  <si>
    <t>2005-09-07 03:59 EDT</t>
  </si>
  <si>
    <t>2005-09-07 05:22:28 EDT</t>
  </si>
  <si>
    <t>[('CREATED', '2005-09-07 03:59 EDT'), ('jdt-ui-inbox', '2005-09-07 05:22:28 EDT', 'frederic_fusier'), ('UI', '2005-09-07 05:22:28 EDT', 'frederic_fusier'), ('RESOLVED', '2005-09-07 12:05:17 EDT', 'dirk_baeumer'), ('P4', '2005-09-07 12:05:17 EDT', 'dirk_baeumer'), ('LATER', '2005-09-07 12:05:17 EDT', 'dirk_baeumer'), ('[refactoring] [quick assist] Feat. Req.: Refactoring between Integer/int, Double/double, ...', '2005-09-07 12:05:17 EDT', 'dirk_baeumer'), ('WONTFIX', '2009-08-30 02:39:46 EDT', 'webmaster')]</t>
  </si>
  <si>
    <t>2005-09-08 10:49:41 EDT</t>
  </si>
  <si>
    <t>2005-09-20 08:12:58 EDT</t>
  </si>
  <si>
    <t>2005-09-08 10:29 EDT</t>
  </si>
  <si>
    <t>[('CREATED', '2005-09-08 10:29 EDT'), ('RESOLVED', '2005-09-08 10:49:41 EDT', 'markus.kell.r'), ('FIXED', '2005-09-08 10:49:41 EDT', 'markus.kell.r'), ('3.2 M2', '2005-09-08 10:49:41 EDT', 'markus.kell.r'), ('VERIFIED', '2005-09-20 08:12:58 EDT', 'tobias_widmer')]</t>
  </si>
  <si>
    <t>2005-09-16 11:27:26 EDT</t>
  </si>
  <si>
    <t>2005-09-20 10:12:10 EDT</t>
  </si>
  <si>
    <t>2005-09-08 11:56 EDT</t>
  </si>
  <si>
    <t>2005-09-11 07:43:19 EDT</t>
  </si>
  <si>
    <t>[('CREATED', '2005-09-08 11:56 EDT'), ('markus_keller', '2005-09-11 07:43:19 EDT', 'dirk_baeumer'), ('[refactoring] Inlining array with initializer gives illegal expression.', '2005-09-11 07:43:19 EDT', 'dirk_baeumer'), ('markus_keller', '2005-09-15 06:41:35 EDT', 'markus.kell.r'), ('zrlphm', '2005-09-15 06:41:35 EDT', 'markus.kell.r'), ('Patch for handling array ( +initializer) inlining in local variables', '2005-09-15 12:52:04 EDT', 'eclipsetalk2'), ('ASSIGNED', '2005-09-16 10:26:46 EDT', 'markus.kell.r'), ('RESOLVED', '2005-09-16 11:27:26 EDT', 'markus.kell.r'), ('FIXED', '2005-09-16 11:27:26 EDT', 'markus.kell.r'), ('3.2 M2', '2005-09-16 11:27:26 EDT', 'markus.kell.r'), ('VERIFIED', '2005-09-20 10:12:10 EDT', 'eclipse')]</t>
  </si>
  <si>
    <t>2008-05-15 09:53:42 EDT</t>
  </si>
  <si>
    <t>2008-05-19 06:09:47 EDT</t>
  </si>
  <si>
    <t>2005-09-09 09:51 EDT</t>
  </si>
  <si>
    <t>2005-09-09 10:11:55 EDT</t>
  </si>
  <si>
    <t>[('CREATED', '2005-09-09 09:51 EDT'), ('tobias_widmer', '2005-09-09 10:11:55 EDT', 'dirk_baeumer'), ('[refactoring] [move] Missing import statement after move refactoring', '2005-09-09 10:11:55 EDT', 'dirk_baeumer'), ('[reorg] missing import statement after move refactoring [refactoring]', '2006-05-29 08:02:17 EDT', 'tobias_widmer'), ('jdt-ui-inbox', '2007-06-14 10:47:28 EDT', 'martinae'), ('mauromol', '2007-08-27 11:38:31 EDT', 'mauromol'), ('Joerg.Thoennes', '2008-03-07 08:16:08 EST', 'jtk499'), ('martin_aeschlimann', '2008-03-07 08:20:46 EST', 'martinae'), ('3.4', '2008-03-07 08:20:46 EST', 'martinae'), ('benno_baumgartner', '2008-05-15 07:14:58 EDT', 'benno.baumgartner'), ('3.4 RC1', '2008-05-15 09:12:04 EDT', 'benno.baumgartner'), ('review?(martin_aeschlimann)', '2008-05-15 09:12:04 EDT', 'benno.baumgartner'), ('review+', '2008-05-15 09:23:28 EDT', 'martinae'), ('RESOLVED', '2008-05-15 09:53:42 EDT', 'benno.baumgartner'), ('FIXED', '2008-05-15 09:53:42 EDT', 'benno.baumgartner'), ('daniel_megert', '2008-05-19 06:01:13 EDT', 'daniel_megert'), ('VERIFIED', '2008-05-19 06:09:47 EDT', 'daniel_megert')]</t>
  </si>
  <si>
    <t>2005-09-19 11:49:37 EDT</t>
  </si>
  <si>
    <t>2005-09-09 10:51 EDT</t>
  </si>
  <si>
    <t>2005-09-09 10:52:19 EDT</t>
  </si>
  <si>
    <t>2005-12-16 13:32:56 EST</t>
  </si>
  <si>
    <t>sgunturi</t>
  </si>
  <si>
    <t>[('CREATED', '2005-09-09 10:51 EDT'), ('richkulp, gmendel', '2005-09-09 10:52:19 EDT', 'sgunturi'), ('jdt-ui-inbox', '2005-09-14 04:32:26 EDT', 'jerome_lanneluc'), ('UI', '2005-09-14 04:32:26 EDT', 'jerome_lanneluc'), ('[api] No public API to rename elements in one file without saving', '2005-09-14 09:39:51 EDT', 'dirk_baeumer'), ('enhancement', '2005-09-14 09:39:51 EDT', 'dirk_baeumer'), ('RESOLVED', '2005-09-19 11:49:37 EDT', 'sgunturi'), ('WORKSFORME', '2005-09-19 11:49:37 EDT', 'sgunturi'), ('CLOSED', '2005-12-16 13:32:56 EST', 'sgunturi')]</t>
  </si>
  <si>
    <t>2006-10-04 09:09:21 EDT</t>
  </si>
  <si>
    <t>2006-09-25 13:05:58 EDT</t>
  </si>
  <si>
    <t>2005-09-11 15:26 EDT</t>
  </si>
  <si>
    <t>2005-09-11 19:10:59 EDT</t>
  </si>
  <si>
    <t>[('CREATED', '2005-09-11 15:26 EDT'), ('ASSIGNED', '2005-09-11 19:10:59 EDT', 'dirk_baeumer'), ('P4', '2005-09-11 19:10:59 EDT', 'dirk_baeumer'), ('[refactoring] Copy action does not update textual references', '2005-09-11 19:10:59 EDT', 'dirk_baeumer'), ('RESOLVED', '2006-04-25 06:12:08 EDT', 'martinae'), ('LATER', '2006-04-25 06:12:08 EDT', 'martinae'), ('REOPENED', '2006-09-25 13:05:58 EDT', 'victor.toni'), ('---', '2006-09-25 13:05:58 EDT', 'victor.toni'), ('RESOLVED', '2006-10-04 09:09:21 EDT', 'martinae'), ('WONTFIX', '2006-10-04 09:09:21 EDT', 'martinae')]</t>
  </si>
  <si>
    <t>2005-09-12 03:09:00 EDT</t>
  </si>
  <si>
    <t>2005-09-11 22:33 EDT</t>
  </si>
  <si>
    <t>[('CREATED', '2005-09-11 22:33 EDT'), ('RESOLVED', '2005-09-12 03:09:00 EDT', 'dirk_baeumer'), ('DUPLICATE', '2005-09-12 03:09:00 EDT', 'dirk_baeumer')]</t>
  </si>
  <si>
    <t>116033 (view as bug list)</t>
  </si>
  <si>
    <t>2006-04-03 09:58:02 EDT</t>
  </si>
  <si>
    <t>2005-09-12 07:45 EDT</t>
  </si>
  <si>
    <t>2005-09-12 08:19:55 EDT</t>
  </si>
  <si>
    <t>2006-04-03 12:04:13 EDT</t>
  </si>
  <si>
    <t>[('CREATED', '2005-09-12 07:45 EDT'), ('dirk_baeumer', '2005-09-12 08:19:55 EDT', 'dirk_baeumer'), ('RESOLVED', '2006-04-03 09:58:02 EDT', 'dirk_baeumer'), ('FIXED', '2006-04-03 09:58:02 EDT', 'dirk_baeumer'), ('3.2 RC1', '2006-04-03 09:58:02 EDT', 'dirk_baeumer'), ('cisco', '2006-04-03 12:04:13 EDT', 'dirk_baeumer')]</t>
  </si>
  <si>
    <t>109285 (view as bug list)</t>
  </si>
  <si>
    <t>2020-03-25 05:18:07 EDT</t>
  </si>
  <si>
    <t>2005-09-12 08:21 EDT</t>
  </si>
  <si>
    <t>2005-09-12 10:26:19 EDT</t>
  </si>
  <si>
    <t>[('CREATED', '2005-09-12 08:21 EDT'), (nan, '2005-09-12 10:26:19 EDT', 'dirk_baeumer'), ('dirk_baeumer', '2005-09-12 10:26:19 EDT', 'dirk_baeumer'), ('akiezun', '2006-03-23 09:06:39 EST', 'akiezun'), ('[extract method] rejected selection followed by "break"', '2006-06-02 06:25:49 EDT', 'martinae'), ('jdt-ui-inbox', '2006-06-02 06:25:49 EDT', 'martinae'), ('WONTFIX', '2020-03-25 05:18:07 EDT', 'genie'), ('CLOSED', '2020-03-25 05:18:07 EDT', 'genie'), ('stalebug', '2020-03-25 05:18:07 EDT', 'genie')]</t>
  </si>
  <si>
    <t>RESOLVED  DUPLICATE  of bug 109282</t>
  </si>
  <si>
    <t>2005-09-12 10:27:22 EDT</t>
  </si>
  <si>
    <t>2005-09-12 09:08 EDT</t>
  </si>
  <si>
    <t>[('CREATED', '2005-09-12 09:08 EDT'), ('RESOLVED', '2005-09-12 10:27:22 EDT', 'dirk_baeumer'), ('DUPLICATE', '2005-09-12 10:27:22 EDT', 'dirk_baeumer')]</t>
  </si>
  <si>
    <t>2005-09-13 05:15:41 EDT</t>
  </si>
  <si>
    <t>2005-09-13 05:48:37 EDT</t>
  </si>
  <si>
    <t>2005-09-13 04:57:56 EDT</t>
  </si>
  <si>
    <t>2005-09-13 03:54 EDT</t>
  </si>
  <si>
    <t>2005-09-13 04:45:10 EDT</t>
  </si>
  <si>
    <t>[('CREATED', '2005-09-13 03:54 EDT'), ('daniel_megert', '2005-09-13 04:45:10 EDT', 'dirk_baeumer'), ('dirk_baeumer', '2005-09-13 04:45:10 EDT', 'dirk_baeumer'), ('RESOLVED', '2005-09-13 04:45:29 EDT', 'dirk_baeumer'), ('FIXED', '2005-09-13 04:45:29 EDT', 'dirk_baeumer'), ('3.2 M2', '2005-09-13 04:45:29 EDT', 'dirk_baeumer'), ('REOPENED', '2005-09-13 04:57:56 EDT', 'markus.kell.r'), ('---', '2005-09-13 04:57:56 EDT', 'markus.kell.r'), ('RESOLVED', '2005-09-13 05:15:41 EDT', 'dirk_baeumer'), ('FIXED', '2005-09-13 05:15:41 EDT', 'dirk_baeumer'), ('VERIFIED', '2005-09-13 05:48:37 EDT', 'markus.kell.r')]</t>
  </si>
  <si>
    <t>2005-09-15 06:08:30 EDT</t>
  </si>
  <si>
    <t>2005-09-20 05:41:28 EDT</t>
  </si>
  <si>
    <t>2005-09-15 05:45 EDT</t>
  </si>
  <si>
    <t>[('CREATED', '2005-09-15 05:45 EDT'), ('RESOLVED', '2005-09-15 06:08:30 EDT', 'dirk_baeumer'), ('FIXED', '2005-09-15 06:08:30 EDT', 'dirk_baeumer'), ('3.2 M2', '2005-09-15 06:08:30 EDT', 'dirk_baeumer'), ('martin_aeschlimann', '2005-09-20 05:19:05 EDT', 'benno.baumgartner'), ('VERIFIED', '2005-09-20 05:41:28 EDT', 'martinae')]</t>
  </si>
  <si>
    <t>RESOLVED  DUPLICATE  of bug 122619</t>
  </si>
  <si>
    <t>96973 98769 132290 (view as bug list)</t>
  </si>
  <si>
    <t>2006-03-29 07:02:23 EST</t>
  </si>
  <si>
    <t>2005-09-20 05:14 EDT</t>
  </si>
  <si>
    <t>2005-09-21 12:33:10 EDT</t>
  </si>
  <si>
    <t>[('CREATED', '2005-09-20 05:14 EDT'), ('markus_keller', '2005-09-21 12:33:10 EDT', 'martinae'), ('yenlu', '2006-03-28 06:42:41 EST', 'martinae'), ('3.2 M6', '2006-03-28 06:43:20 EST', 'martinae'), ('Olivier_Thomann', '2006-03-28 06:43:44 EST', 'martinae'), ('kim_horne', '2006-03-28 06:44:22 EST', 'martinae'), ('RESOLVED', '2006-03-29 07:02:23 EST', 'markus.kell.r'), ('DUPLICATE', '2006-03-29 07:02:23 EST', 'markus.kell.r'), ('3.2 M5', '2006-03-29 07:02:23 EST', 'markus.kell.r')]</t>
  </si>
  <si>
    <t>2005-09-21 06:52:12 EDT</t>
  </si>
  <si>
    <t>2005-09-20 06:27 EDT</t>
  </si>
  <si>
    <t>2005-09-20 10:05:28 EDT</t>
  </si>
  <si>
    <t>[('CREATED', '2005-09-20 06:27 EDT'), ('dirk_baeumer', '2005-09-20 10:05:28 EDT', 'martinae'), ('RESOLVED', '2005-09-21 06:52:12 EDT', 'dirk_baeumer'), ('WORKSFORME', '2005-09-21 06:52:12 EDT', 'dirk_baeumer')]</t>
  </si>
  <si>
    <t>2006-04-03 10:14:12 EDT</t>
  </si>
  <si>
    <t>2005-09-20 10:02 EDT</t>
  </si>
  <si>
    <t>2005-09-21 12:34:31 EDT</t>
  </si>
  <si>
    <t>[('CREATED', '2005-09-20 10:02 EDT'), ('dirk_baeumer', '2005-09-21 12:34:31 EDT', 'martinae'), ('context menu in search view should show all actions for Java elements', '2005-09-21 12:34:31 EDT', 'martinae'), ('RESOLVED', '2006-04-03 10:14:12 EDT', 'dirk_baeumer'), ('FIXED', '2006-04-03 10:14:12 EDT', 'dirk_baeumer'), ('3.2 RC1', '2006-04-03 10:14:12 EDT', 'dirk_baeumer')]</t>
  </si>
  <si>
    <t>2005-11-18 11:21:02 EST</t>
  </si>
  <si>
    <t>2005-12-13 13:04:41 EST</t>
  </si>
  <si>
    <t>2005-09-20 10:58 EDT</t>
  </si>
  <si>
    <t>2005-09-21 03:08:39 EDT</t>
  </si>
  <si>
    <t>[('CREATED', '2005-09-20 10:58 EDT'), ('3.2 M3', '2005-09-21 03:08:39 EDT', 'dirk_baeumer'), ('3.2 M4', '2005-10-31 06:09:21 EST', 'dirk_baeumer'), ('RESOLVED', '2005-11-18 11:21:02 EST', 'dirk_baeumer'), ('FIXED', '2005-11-18 11:21:02 EST', 'dirk_baeumer'), ('markus_keller', '2005-12-13 12:19:00 EST', 'eclipsetalk2'), ('VERIFIED', '2005-12-13 13:04:41 EST', 'markus.kell.r')]</t>
  </si>
  <si>
    <t>RESOLVED  DUPLICATE  of bug 109059</t>
  </si>
  <si>
    <t>2005-09-26 06:26:52 EDT</t>
  </si>
  <si>
    <t>2005-09-22 19:53 EDT</t>
  </si>
  <si>
    <t>[('CREATED', '2005-09-22 19:53 EDT'), ('RESOLVED', '2005-09-26 06:26:52 EDT', 'markus.kell.r'), ('DUPLICATE', '2005-09-26 06:26:52 EDT', 'markus.kell.r')]</t>
  </si>
  <si>
    <t>2005-09-23 08:49 EDT</t>
  </si>
  <si>
    <t>2006-07-05 10:36:30 EDT</t>
  </si>
  <si>
    <t>2018-11-21 12:53:15 EST</t>
  </si>
  <si>
    <t>[('CREATED', '2005-09-23 08:49 EDT'), ('[infer type arguments] leaves things raw although it could infer something', '2006-07-05 10:36:30 EDT', 'markus.kell.r'), ('stalebug', '2018-11-21 12:53:15 EST', 'genie')]</t>
  </si>
  <si>
    <t>2005-09-26 11:11:45 EDT</t>
  </si>
  <si>
    <t>2005-09-23 12:45 EDT</t>
  </si>
  <si>
    <t>[('CREATED', '2005-09-23 12:45 EDT'), ('martin_aeschlimann', '2005-09-26 11:11:45 EDT', 'martinae'), ('RESOLVED', '2005-09-26 11:11:45 EDT', 'martinae'), ('WORKSFORME', '2005-09-26 11:11:45 EDT', 'martinae')]</t>
  </si>
  <si>
    <t>RESOLVED  DUPLICATE  of bug 231112</t>
  </si>
  <si>
    <t>2008-05-08 08:45:08 EDT</t>
  </si>
  <si>
    <t>2005-09-24 18:34 EDT</t>
  </si>
  <si>
    <t>2005-09-25 09:48:32 EDT</t>
  </si>
  <si>
    <t>[('CREATED', '2005-09-24 18:34 EDT'), ('jdt-ui-inbox', '2005-09-25 09:48:32 EDT', 'frederic_fusier'), ('UI', '2005-09-25 09:48:32 EDT', 'frederic_fusier'), ('[Source]', '2005-09-25 09:48:32 EDT', 'frederic_fusier'), ('Method generation misses cursor position in presence of nested classes', '2005-09-25 09:49:47 EDT', 'frederic_fusier'), ('tobias_widmer', '2005-09-26 11:29:20 EDT', 'martinae'), ('doshiro', '2005-09-27 01:11:50 EDT', 'jluo'), ('[getter setter] misses cursor position in presence of nested classes [code generation]', '2006-05-29 08:04:36 EDT', 'tobias_widmer'), ('jdt-ui-inbox', '2007-06-14 10:43:38 EDT', 'martinae'), ('martin_aeschlimann', '2008-05-08 08:45:08 EDT', 'martinae'), ('RESOLVED', '2008-05-08 08:45:08 EDT', 'martinae'), ('DUPLICATE', '2008-05-08 08:45:08 EDT', 'martinae')]</t>
  </si>
  <si>
    <t>123839 (view as bug list)</t>
  </si>
  <si>
    <t>2006-02-15 09:32:07 EST</t>
  </si>
  <si>
    <t>2009-08-30 02:08:35 EDT</t>
  </si>
  <si>
    <t>2005-09-26 07:05 EDT</t>
  </si>
  <si>
    <t>2005-09-27 13:17:28 EDT</t>
  </si>
  <si>
    <t>[('CREATED', '2005-09-26 07:05 EDT'), ('akiezun', '2005-09-27 13:17:28 EDT', 'akiezun'), ('dirk_baeumer', '2005-10-10 05:25:03 EDT', 'martinae'), ('benno_baumgartner', '2005-10-10 05:25:03 EDT', 'martinae'), ('enhancement', '2005-10-10 05:32:50 EDT', 'dirk_baeumer'), ('martin_aeschlimann', '2005-10-11 04:39:57 EDT', 'martinae'), ('ASSIGNED', '2005-11-02 06:58:24 EST', 'benno.baumgartner'), ('[clean up][J2SE50]Refactoring: infer type arguments should really be: migrate to Java 5.0', '2005-11-10 11:11:14 EST', 'benno.baumgartner'), ('neil', '2006-01-30 03:57:04 EST', 'benno.baumgartner'), ('RESOLVED', '2006-02-15 09:32:07 EST', 'benno.baumgartner'), ('REMIND', '2006-02-15 09:32:07 EST', 'benno.baumgartner'), ('needinfo', '2009-08-30 02:08:35 EDT', 'denis.roy'), ('INVALID', '2009-08-30 02:08:35 EDT', 'denis.roy'), ('jdt-ui-inbox', '2009-08-30 02:08:35 EDT', 'denis.roy')]</t>
  </si>
  <si>
    <t>134761 (view as bug list)</t>
  </si>
  <si>
    <t>110811</t>
  </si>
  <si>
    <t>2006-07-04 05:45:45 EDT</t>
  </si>
  <si>
    <t>2005-09-26 10:22 EDT</t>
  </si>
  <si>
    <t>2005-09-26 13:25:38 EDT</t>
  </si>
  <si>
    <t>[('CREATED', '2005-09-26 10:22 EDT'), ('ASSIGNED', '2005-09-26 13:25:38 EDT', 'markus.kell.r'), ('110811', '2005-09-27 11:04:46 EDT', 'markus.kell.r'), ('Olivier_Thomann', '2006-07-03 09:23:23 EDT', 'markus.kell.r'), ('neil', '2006-07-03 09:40:39 EDT', 'neil'), ('RESOLVED', '2006-07-04 05:45:45 EDT', 'markus.kell.r'), ('FIXED', '2006-07-04 05:45:45 EDT', 'markus.kell.r'), ('3.3 M1', '2006-07-04 05:45:45 EDT', 'markus.kell.r')]</t>
  </si>
  <si>
    <t>111463 (view as bug list)</t>
  </si>
  <si>
    <t>2005-11-09 13:14:13 EST</t>
  </si>
  <si>
    <t>2005-12-13 06:37:52 EST</t>
  </si>
  <si>
    <t>2005-09-27 12:34:58 EDT</t>
  </si>
  <si>
    <t>2005-09-27 14:45:20 EDT</t>
  </si>
  <si>
    <t>2005-09-26 13:42 EDT</t>
  </si>
  <si>
    <t>2006-06-16 11:18:42 EDT</t>
  </si>
  <si>
    <t>GaryJohnston</t>
  </si>
  <si>
    <t>[('CREATED', '2005-09-26 13:42 EDT'), ('martin_aeschlimann', '2005-09-27 12:34:58 EDT', 'martinae'), ('RESOLVED', '2005-09-27 12:34:58 EDT', 'martinae'), ('WONTFIX', '2005-09-27 12:34:58 EDT', 'martinae'), ('---', '2005-09-27 14:45:20 EDT', 'GaryJohnston'), ('REOPENED', '2005-09-27 14:45:20 EDT', 'GaryJohnston'), ('richkulp', '2005-09-28 04:15:07 EDT', 'martinae'), ('vtrivedi', '2005-10-05 09:52:36 EDT', 'martinae'), ('[API] NewClassCreationWizard needs to be API', '2005-10-06 12:49:23 EDT', 'martinae'), ('martin_aeschlimann', '2005-11-09 13:14:01 EST', 'martinae'), ('NEW', '2005-11-09 13:14:01 EST', 'martinae'), ('RESOLVED', '2005-11-09 13:14:13 EST', 'martinae'), ('FIXED', '2005-11-09 13:14:13 EST', 'martinae'), ('3.2 M4', '2005-11-09 13:14:13 EST', 'martinae'), ('VERIFIED', '2005-12-13 06:37:52 EST', 'tobias_widmer'), ('CLOSED', '2006-06-16 11:18:42 EDT', 'GaryJohnston')]</t>
  </si>
  <si>
    <t>2005-09-28 11:17:41 EDT</t>
  </si>
  <si>
    <t>2005-11-01 11:29:26 EST</t>
  </si>
  <si>
    <t>2005-09-27 03:46 EDT</t>
  </si>
  <si>
    <t>2005-09-27 10:07:26 EDT</t>
  </si>
  <si>
    <t>[('CREATED', '2005-09-27 03:46 EDT'), ('jdt-ui-inbox', '2005-09-27 10:07:26 EDT', 'eclipse'), ('UI', '2005-09-27 10:07:26 EDT', 'eclipse'), ('markus_keller', '2005-09-28 05:13:46 EDT', 'martinae'), ('RESOLVED', '2005-09-28 11:17:41 EDT', 'markus.kell.r'), ('FIXED', '2005-09-28 11:17:41 EDT', 'markus.kell.r'), ('3.2 M3', '2005-09-28 11:17:41 EDT', 'markus.kell.r'), ('Michael.Bogdanov', '2005-09-29 06:17:20 EDT', 'Michael.Bogdanov'), ('VERIFIED', '2005-11-01 11:29:26 EST', 'markus.kell.r')]</t>
  </si>
  <si>
    <t>2005-11-11 05:22:44 EST</t>
  </si>
  <si>
    <t>2005-09-29 09:20 EDT</t>
  </si>
  <si>
    <t>2005-09-30 04:42:04 EDT</t>
  </si>
  <si>
    <t>[('CREATED', '2005-09-29 09:20 EDT'), ('philip_mayer', '2005-09-30 04:42:04 EDT', 'markus.kell.r'), ('N.Metchev', '2005-11-03 05:48:28 EST', 'nikolaymetchev'), ('1', '2005-11-11 04:04:19 EST', 'eclipsetalk2'), ('RESOLVED', '2005-11-11 05:22:44 EST', 'tobias_widmer'), ('FIXED', '2005-11-11 05:22:44 EST', 'tobias_widmer'), ('3.2 M4', '2005-11-11 05:22:44 EST', 'tobias_widmer')]</t>
  </si>
  <si>
    <t>2005-10-03 08:13 EDT</t>
  </si>
  <si>
    <t>2005-10-04 03:07:46 EDT</t>
  </si>
  <si>
    <t>2009-01-23 11:33:52 EST</t>
  </si>
  <si>
    <t>[('CREATED', '2005-10-03 08:13 EDT'), ('jdt-text-inbox', '2005-10-04 03:07:46 EDT', 'martinae'), ('Text', '2005-10-04 03:07:46 EDT', 'martinae'), ('martin_aeschlimann', '2005-10-04 03:27:03 EDT', 'daniel_megert'), ('UI', '2005-10-04 03:27:03 EDT', 'daniel_megert'), ('[import rewrite] DCR: new option to always use qualified type names', '2005-10-04 03:58:14 EDT', 'martinae'), ('jdt-ui-inbox', '2009-01-23 11:16:32 EST', 'daniel_megert'), ('ASSIGNED', '2009-01-23 11:33:52 EST', 'daniel_megert')]</t>
  </si>
  <si>
    <t>RESOLVED  DUPLICATE  of bug 128883</t>
  </si>
  <si>
    <t>2006-06-19 03:12:39 EDT</t>
  </si>
  <si>
    <t>2005-10-03 12:35 EDT</t>
  </si>
  <si>
    <t>2005-10-03 12:52:40 EDT</t>
  </si>
  <si>
    <t>[('CREATED', '2005-10-03 12:35 EDT'), ('jdt-ui-inbox', '2005-10-03 12:52:40 EDT', 'Olivier_Thomann'), ('UI', '2005-10-03 12:52:40 EDT', 'Olivier_Thomann'), ('[refactoring] Add "Infer Autoboxing" refactoring', '2005-10-04 03:12:40 EDT', 'martinae'), ('[clean up] Add "Infer Autoboxing" refactoring', '2006-06-16 16:32:21 EDT', 'martinae'), ('benno_baumgartner', '2006-06-16 16:32:21 EDT', 'martinae'), ('RESOLVED', '2006-06-19 03:12:39 EDT', 'benno.baumgartner'), ('DUPLICATE', '2006-06-19 03:12:39 EDT', 'benno.baumgartner')]</t>
  </si>
  <si>
    <t>2008-05-15 12:00:33 EDT</t>
  </si>
  <si>
    <t>2008-05-19 06:06:46 EDT</t>
  </si>
  <si>
    <t>2005-10-04 06:47 EDT</t>
  </si>
  <si>
    <t>2005-10-05 05:37:32 EDT</t>
  </si>
  <si>
    <t>[('CREATED', '2005-10-04 06:47 EDT'), ('tobias_widmer', '2005-10-05 05:37:32 EDT', 'martinae'), ('[general] move refactoring missed to update qualified names [refactoring]', '2006-05-29 08:05:25 EDT', 'tobias_widmer'), ('jdt-ui-inbox', '2007-06-14 10:43:12 EDT', 'martinae'), ('3.4', '2007-07-05 08:56:58 EDT', 'martinae'), ('benno_baumgartner, martin_aeschlimann', '2008-05-15 09:35:33 EDT', 'benno.baumgartner'), ('benno_baumgartner', '2008-05-15 09:35:33 EDT', 'benno.baumgartner'), ('3.4 RC1', '2008-05-15 09:35:33 EDT', 'benno.baumgartner'), ('review?(martin_aeschlimann)', '2008-05-15 09:52:12 EDT', 'benno.baumgartner'), ('review+', '2008-05-15 11:59:40 EDT', 'martinae'), ('RESOLVED', '2008-05-15 12:00:33 EDT', 'benno.baumgartner'), ('FIXED', '2008-05-15 12:00:33 EDT', 'benno.baumgartner'), ('VERIFIED', '2008-05-19 06:06:46 EDT', 'martinae')]</t>
  </si>
  <si>
    <t>2005-10-20 04:19:01 EDT</t>
  </si>
  <si>
    <t>2005-11-03 03:38:59 EST</t>
  </si>
  <si>
    <t>2005-10-04 07:03 EDT</t>
  </si>
  <si>
    <t>2005-10-05 05:40:21 EDT</t>
  </si>
  <si>
    <t>[('CREATED', '2005-10-04 07:03 EDT'), ('tobias_widmer', '2005-10-05 05:40:21 EDT', 'martinae'), ('[refactoring] Enable filtering in the Move refactoring preview dialog', '2005-10-05 05:40:21 EDT', 'martinae'), ('3.2 M3', '2005-10-20 04:19:01 EDT', 'tobias_widmer'), ('RESOLVED', '2005-10-20 04:19:01 EDT', 'tobias_widmer'), ('FIXED', '2005-10-20 04:19:01 EDT', 'tobias_widmer'), ('VERIFIED', '2005-11-03 03:38:59 EST', 'tobias_widmer')]</t>
  </si>
  <si>
    <t>2005-10-04 09:55 EDT</t>
  </si>
  <si>
    <t>2005-10-05 05:47:26 EDT</t>
  </si>
  <si>
    <t>2011-01-04 03:08:16 EST</t>
  </si>
  <si>
    <t>[('CREATED', '2005-10-04 09:55 EDT'), ('dirk_baeumer', '2005-10-05 05:47:26 EDT', 'martinae'), ('P2', '2005-10-05 05:47:26 EDT', 'martinae'), ('[Refactoring] preview page should sort/structure changed files', '2005-10-05 05:47:26 EDT', 'martinae'), ('daniel.megert', '2005-10-05 06:48:38 EDT', 'markus.kell.r'), ('P3', '2005-10-10 16:26:32 EDT', 'dirk_baeumer'), ('markus_keller', '2006-04-03 10:46:57 EDT', 'dirk_baeumer'), ('[refactoring] [ltk] preview page should sort/structure changed files', '2006-04-03 10:46:57 EDT', 'dirk_baeumer'), ('tobias_widmer', '2006-08-03 12:36:56 EDT', 'martinae'), ('[ltk] preview page should sort/structure changed files', '2006-08-03 12:36:56 EDT', 'martinae'), ('jdt-ui-inbox', '2007-06-14 10:44:25 EDT', 'martinae'), ('[ltk][refactoring] preview page should sort/structure changed files', '2007-07-24 06:44:37 EDT', 'markus.kell.r'), ('ASSIGNED', '2011-01-04 03:08:16 EST', 'daniel_megert')]</t>
  </si>
  <si>
    <t>2006-04-03 11:44:51 EDT</t>
  </si>
  <si>
    <t>2005-10-04 09:58 EDT</t>
  </si>
  <si>
    <t>2005-10-10 17:07:36 EDT</t>
  </si>
  <si>
    <t>[('CREATED', '2005-10-04 09:58 EDT'), ('P4', '2005-10-10 17:07:36 EDT', 'dirk_baeumer'), ('markus_keller', '2006-04-03 10:47:48 EDT', 'dirk_baeumer'), ('[refactoring] [ltk] filter button on preview page should do something', '2006-04-03 10:47:48 EDT', 'dirk_baeumer'), ('RESOLVED', '2006-04-03 11:44:51 EDT', 'markus.kell.r'), ('FIXED', '2006-04-03 11:44:51 EDT', 'markus.kell.r'), ('3.2 RC1', '2006-04-03 11:44:51 EDT', 'markus.kell.r')]</t>
  </si>
  <si>
    <t>RESOLVED  DUPLICATE  of bug 147516</t>
  </si>
  <si>
    <t>2006-08-22 05:54:01 EDT</t>
  </si>
  <si>
    <t>2005-10-04 10:36 EDT</t>
  </si>
  <si>
    <t>2005-10-10 05:26:10 EDT</t>
  </si>
  <si>
    <t>[('CREATED', '2005-10-04 10:36 EDT'), ('[plan] special treatment of derived resources', '2005-10-10 05:26:10 EDT', 'martinae'), ('markus_keller', '2005-10-11 06:28:24 EDT', 'markus.kell.r'), ('[plan] special treatment of generated resources', '2005-10-11 06:28:24 EDT', 'markus.kell.r'), ('ASSIGNED', '2005-11-07 11:19:48 EST', 'markus.kell.r'), ('wharley', '2005-11-08 13:47:43 EST', 'jgarms'), ('martin_aeschlimann', '2006-08-03 11:33:58 EDT', 'martinae'), ('jdt-ui-inbox', '2006-08-03 11:33:58 EDT', 'martinae'), ('NEW', '2006-08-03 11:33:58 EDT', 'martinae'), ('[refactoring] [plan] special treatment of generated resources', '2006-08-03 11:33:58 EDT', 'martinae'), ('RESOLVED', '2006-08-22 05:54:01 EDT', 'martinae'), ('DUPLICATE', '2006-08-22 05:54:01 EDT', 'martinae')]</t>
  </si>
  <si>
    <t>2005-10-05 09:46:39 EDT</t>
  </si>
  <si>
    <t>2005-10-04 10:37 EDT</t>
  </si>
  <si>
    <t>[('CREATED', '2005-10-04 10:37 EDT'), ('martin_aeschlimann', '2005-10-05 09:46:39 EDT', 'martinae'), ('RESOLVED', '2005-10-05 09:46:39 EDT', 'martinae'), ('WONTFIX', '2005-10-05 09:46:39 EDT', 'martinae')]</t>
  </si>
  <si>
    <t>2005-10-08 12:57:13 EDT</t>
  </si>
  <si>
    <t>2009-08-30 02:08:09 EDT</t>
  </si>
  <si>
    <t>2005-10-04 11:21 EDT</t>
  </si>
  <si>
    <t>2005-10-05 09:50:56 EDT</t>
  </si>
  <si>
    <t>[('CREATED', '2005-10-04 11:21 EDT'), ('markus_keller', '2005-10-05 09:50:56 EDT', 'martinae'), ('[API] Public api for Refactoring processors ...', '2005-10-06 12:48:00 EDT', 'martinae'), ('martin_aeschlimann', '2005-10-08 12:57:13 EDT', 'martinae'), ('RESOLVED', '2005-10-08 12:57:13 EDT', 'martinae'), ('REMIND', '2005-10-08 12:57:13 EDT', 'martinae'), ('dirk_baeumer', '2005-10-12 10:23:14 EDT', 'martinae'), ('needinfo', '2009-08-30 02:08:09 EDT', 'denis.roy'), ('INVALID', '2009-08-30 02:08:09 EDT', 'denis.roy')]</t>
  </si>
  <si>
    <t>2006-01-11 11:56:55 EST</t>
  </si>
  <si>
    <t>2006-01-11 11:57:15 EST</t>
  </si>
  <si>
    <t>2006-01-11 11:20:43 EST</t>
  </si>
  <si>
    <t>2005-10-04 14:39 EDT</t>
  </si>
  <si>
    <t>2005-10-06 12:48:14 EDT</t>
  </si>
  <si>
    <t>2007-07-12 11:54:32 EDT</t>
  </si>
  <si>
    <t>[('CREATED', '2005-10-04 14:39 EDT'), ('[API] Public api for adding method stubs ...', '2005-10-06 12:48:14 EDT', 'martinae'), ('[API] access to AddUnimplementedMethodsOperation', '2005-10-17 03:15:36 EDT', 'martinae'), ('philippe_mulet', '2005-10-18 04:38:39 EDT', 'dirk_baeumer'), ('dirk_baeumer', '2005-10-18 04:38:53 EDT', 'dirk_baeumer'), ('martin_aeschlimann', '2005-10-18 13:04:22 EDT', 'dirk_baeumer'), ('3.2', '2005-10-18 13:04:22 EDT', 'dirk_baeumer'), ('martin_aeschlimann', '2005-12-07 03:43:01 EST', 'martinae'), ('FIXED', '2005-12-08 07:13:49 EST', 'martinae'), ('3.2 M4', '2005-12-08 07:13:49 EST', 'martinae'), ('RESOLVED', '2005-12-08 07:13:49 EST', 'martinae'), ('markus_keller', '2005-12-13 08:53:22 EST', 'eclipsetalk2'), ('VERIFIED', '2005-12-13 09:03:46 EST', 'markus.kell.r'), ('REOPENED', '2006-01-11 11:20:43 EST', 'vtrivedi'), ('---', '2006-01-11 11:20:43 EST', 'vtrivedi'), ('RESOLVED', '2006-01-11 11:56:55 EST', 'martinae'), ('FIXED', '2006-01-11 11:56:55 EST', 'martinae'), ('VERIFIED', '2006-01-11 11:57:15 EST', 'martinae'), ('ramanday, cbridgha', '2007-07-12 11:54:32 EDT', 'ramanday')]</t>
  </si>
  <si>
    <t>118016 (view as bug list)</t>
  </si>
  <si>
    <t>2005-11-25 13:01:17 EST</t>
  </si>
  <si>
    <t>2005-10-05 05:21 EDT</t>
  </si>
  <si>
    <t>2005-10-05 06:06:22 EDT</t>
  </si>
  <si>
    <t>2005-11-30 11:27:31 EST</t>
  </si>
  <si>
    <t>[('CREATED', '2005-10-05 05:21 EDT'), ('ASSIGNED', '2005-10-05 06:06:22 EDT', 'markus.kell.r'), ('3.2 M4', '2005-11-01 11:53:47 EST', 'markus.kell.r'), ('RESOLVED', '2005-11-25 13:01:17 EST', 'markus.kell.r'), ('FIXED', '2005-11-25 13:01:17 EST', 'markus.kell.r'), ('frederic_fusier', '2005-11-30 11:27:31 EST', 'frederic_fusier')]</t>
  </si>
  <si>
    <t>2005-11-18 06:10:40 EST</t>
  </si>
  <si>
    <t>2005-12-13 12:08:29 EST</t>
  </si>
  <si>
    <t>2005-11-02 12:17:18 EST</t>
  </si>
  <si>
    <t>2005-10-05 05:43 EDT</t>
  </si>
  <si>
    <t>2005-10-19 11:12:02 EDT</t>
  </si>
  <si>
    <t>[('CREATED', '2005-10-05 05:43 EDT'), ('RESOLVED', '2005-10-19 11:12:02 EDT', 'tobias_widmer'), ('FIXED', '2005-10-19 11:12:02 EDT', 'tobias_widmer'), ("[refactoring] Move CU: 'New' button not clear", '2005-10-19 11:12:02 EDT', 'tobias_widmer'), ('3.2 M3', '2005-10-19 11:12:02 EDT', 'tobias_widmer'), ('markus_keller', '2005-11-01 12:00:29 EST', 'eclipsetalk2'), ('dirk_baeumer', '2005-11-02 12:17:18 EST', 'markus.kell.r'), ('REOPENED', '2005-11-02 12:17:18 EST', 'markus.kell.r'), ('---', '2005-11-02 12:17:18 EST', 'markus.kell.r'), ('3.2 M4', '2005-11-02 12:17:18 EST', 'markus.kell.r'), ('NEW', '2005-11-18 06:08:16 EST', 'markus.kell.r'), (nan, '2005-11-18 06:08:16 EST', 'markus.kell.r'), ('markus_keller', '2005-11-18 06:08:16 EST', 'markus.kell.r'), ('RESOLVED', '2005-11-18 06:10:40 EST', 'markus.kell.r'), ('FIXED', '2005-11-18 06:10:40 EST', 'markus.kell.r'), ('VERIFIED', '2005-12-13 12:08:29 EST', 'benno.baumgartner')]</t>
  </si>
  <si>
    <t>2006-04-09 18:33:38 EDT</t>
  </si>
  <si>
    <t>2005-10-05 06:02 EDT</t>
  </si>
  <si>
    <t>2005-10-05 06:02:13 EDT</t>
  </si>
  <si>
    <t>[('CREATED', '2005-10-05 06:02 EDT'), ('markus_keller', '2005-10-05 06:02:13 EDT', 'eclipsetalk2'), ('markus_keller', '2005-10-05 13:27:41 EDT', 'martinae'), ('tobias_widmer', '2005-10-05 13:31:26 EDT', 'martinae'), ('P2', '2005-10-05 13:31:26 EDT', 'martinae'), ('RESOLVED', '2006-04-09 18:33:38 EDT', 'tobias_widmer'), ('FIXED', '2006-04-09 18:33:38 EDT', 'tobias_widmer')]</t>
  </si>
  <si>
    <t>2005-11-23 11:16:47 EST</t>
  </si>
  <si>
    <t>2005-10-05 06:08 EDT</t>
  </si>
  <si>
    <t>2005-11-18 08:24:24 EST</t>
  </si>
  <si>
    <t>eclipsetalk2</t>
  </si>
  <si>
    <t>[('CREATED', '2005-10-05 06:08 EDT'), ('enhancement', '2005-11-18 08:24:24 EST', 'dirk_baeumer'), ('[refactoring] Change class should provide methods for re-parenting (or "cloning")', '2005-11-18 08:24:24 EST', 'dirk_baeumer'), ('RESOLVED', '2005-11-23 11:16:47 EST', 'eclipsetalk2'), ('INVALID', '2005-11-23 11:16:47 EST', 'eclipsetalk2')]</t>
  </si>
  <si>
    <t>RESOLVED  DUPLICATE  of bug 111573</t>
  </si>
  <si>
    <t>2005-10-05 13:52:39 EDT</t>
  </si>
  <si>
    <t>2005-10-05 13:17 EDT</t>
  </si>
  <si>
    <t>2005-10-05 13:19:56 EDT</t>
  </si>
  <si>
    <t>[('CREATED', '2005-10-05 13:17 EDT'), ('[Dialogs] Dialogs remembering last location will help them open on correct monitor', '2005-10-05 13:19:56 EDT', 'susan'), ('RESOLVED', '2005-10-05 13:52:39 EDT', 'martinae'), ('DUPLICATE', '2005-10-05 13:52:39 EDT', 'martinae')]</t>
  </si>
  <si>
    <t>2005-10-06 12:54:46 EDT</t>
  </si>
  <si>
    <t>2005-10-05 20:13 EDT</t>
  </si>
  <si>
    <t>[('CREATED', '2005-10-05 20:13 EDT'), ('martin_aeschlimann', '2005-10-06 12:54:46 EDT', 'martinae'), ('RESOLVED', '2005-10-06 12:54:46 EDT', 'martinae'), ('WORKSFORME', '2005-10-06 12:54:46 EDT', 'martinae'), ('[ccp] Copy paste of classes in Types view does not create a new class', '2005-10-06 12:54:46 EDT', 'martinae')]</t>
  </si>
  <si>
    <t>2005-10-19 05:41:27 EDT</t>
  </si>
  <si>
    <t>2005-10-06 12:07 EDT</t>
  </si>
  <si>
    <t>2005-10-08 11:17:11 EDT</t>
  </si>
  <si>
    <t>[('CREATED', '2005-10-06 12:07 EDT'), ('tobias_widmer', '2005-10-08 11:17:11 EDT', 'martinae'), ('RESOLVED', '2005-10-19 05:41:27 EDT', 'tobias_widmer'), ('WORKSFORME', '2005-10-19 05:41:27 EDT', 'tobias_widmer'), ('3.2 M3', '2005-10-19 05:41:27 EDT', 'tobias_widmer')]</t>
  </si>
  <si>
    <t>2005-10-27 05:23:56 EDT</t>
  </si>
  <si>
    <t>2005-10-06 13:34 EDT</t>
  </si>
  <si>
    <t>2005-10-07 17:26:49 EDT</t>
  </si>
  <si>
    <t>[('CREATED', '2005-10-06 13:34 EDT'), ('jdt-ui-inbox', '2005-10-07 17:26:49 EDT', 'pascal'), ('UI', '2005-10-07 17:26:49 EDT', 'pascal'), ('JDT', '2005-10-07 17:26:49 EDT', 'pascal'), ('dirk_baeumer', '2005-10-08 13:20:46 EDT', 'martinae'), ('1', '2005-10-24 08:21:34 EDT', 'dirk_baeumer'), ('1', '2005-10-25 10:59:51 EDT', 'douglas.pollock'), ('RESOLVED', '2005-10-27 05:23:56 EDT', 'dirk_baeumer'), ('FIXED', '2005-10-27 05:23:56 EDT', 'dirk_baeumer')]</t>
  </si>
  <si>
    <t>75603 (view as bug list)</t>
  </si>
  <si>
    <t>2006-03-27 08:30:08 EST</t>
  </si>
  <si>
    <t>2005-10-06 13:35 EDT</t>
  </si>
  <si>
    <t>2005-10-07 03:24:30 EDT</t>
  </si>
  <si>
    <t>[('CREATED', '2005-10-06 13:35 EDT'), ('preuss', '2005-10-07 03:24:30 EDT', 'preuss'), ('[refactoring] DCR: Extract Superclass refactoring', '2005-10-08 12:58:53 EDT', 'martinae'), ('tobias_widmer', '2005-10-31 05:21:47 EST', 'dirk_baeumer'), ('3.2', '2005-10-31 05:21:47 EST', 'dirk_baeumer'), ('Carolyn_MacLeod', '2005-10-31 05:25:06 EST', 'tobias_widmer'), ('eclipse', '2005-11-01 06:30:29 EST', 'eclipse'), ('RESOLVED', '2006-03-27 08:30:08 EST', 'tobias_widmer'), ('FIXED', '2006-03-27 08:30:08 EST', 'tobias_widmer'), ('3.2 M6', '2006-03-27 08:30:08 EST', 'tobias_widmer')]</t>
  </si>
  <si>
    <t>CLOSED  DUPLICATE  of bug 135522</t>
  </si>
  <si>
    <t>2005-10-31 05:23:25 EST</t>
  </si>
  <si>
    <t>2009-08-30 02:14:46 EDT</t>
  </si>
  <si>
    <t>2011-07-19 02:44:10 EDT</t>
  </si>
  <si>
    <t>2005-10-06 13:38 EDT</t>
  </si>
  <si>
    <t>2005-10-07 03:24:42 EDT</t>
  </si>
  <si>
    <t>[('CREATED', '2005-10-06 13:38 EDT'), ('preuss', '2005-10-07 03:24:42 EDT', 'preuss'), ('[refactoring] DCR: replace inheritance with delegation', '2005-10-08 12:59:16 EDT', 'martinae'), ('RESOLVED', '2005-10-31 05:23:25 EST', 'dirk_baeumer'), ('helpwanted', '2005-10-31 05:23:25 EST', 'dirk_baeumer'), ('LATER', '2005-10-31 05:23:25 EST', 'dirk_baeumer'), ('[refactoring] [2] DCR: replace inheritance with delegation', '2005-10-31 05:23:36 EST', 'dirk_baeumer'), ('eclipse', '2006-02-09 02:58:06 EST', 'eclipse'), ('WONTFIX', '2009-08-30 02:14:46 EDT', 'denis.roy'), ('junk', '2011-07-18 11:29:06 EDT', 'junk'), ('DUPLICATE', '2011-07-19 02:44:10 EDT', 'daniel_megert'), ('[refactoring] replace inheritance with delegation', '2011-07-19 02:44:10 EDT', 'daniel_megert'), ('CLOSED', '2011-07-19 02:44:10 EDT', 'daniel_megert'), ('daniel_megert', '2011-07-19 02:44:10 EDT', 'daniel_megert')]</t>
  </si>
  <si>
    <t>39904</t>
  </si>
  <si>
    <t>2005-10-06 13:41 EDT</t>
  </si>
  <si>
    <t>2005-10-07 03:24:16 EDT</t>
  </si>
  <si>
    <t>2005-10-08 13:11:41 EDT</t>
  </si>
  <si>
    <t>[('CREATED', '2005-10-06 13:41 EDT'), ('preuss', '2005-10-07 03:24:16 EDT', 'preuss'), ('39904', '2005-10-07 11:22:14 EDT', 'david'), ('saff', '2005-10-08 13:11:41 EDT', 'martinae'), ('[JUnit] refactoring: Replace Query with Fixture', '2005-10-08 13:11:41 EDT', 'martinae')]</t>
  </si>
  <si>
    <t>2020-02-22 07:14:13 EST</t>
  </si>
  <si>
    <t>2005-10-07 12:09 EDT</t>
  </si>
  <si>
    <t>2005-10-08 13:13:26 EDT</t>
  </si>
  <si>
    <t>[('CREATED', '2005-10-07 12:09 EDT'), ('markus_keller', '2005-10-08 13:13:26 EDT', 'martinae'), ('[introduce parameter] Idialog does not allow user to leave with Enter key', '2006-08-03 10:43:02 EDT', 'martinae'), ('stalebug', '2020-02-22 07:14:13 EST', 'genie'), ('CLOSED', '2020-02-22 07:14:13 EST', 'genie'), ('WONTFIX', '2020-02-22 07:14:13 EST', 'genie')]</t>
  </si>
  <si>
    <t>2006-04-03 10:49:06 EDT</t>
  </si>
  <si>
    <t>2009-05-04 06:27:03 EDT</t>
  </si>
  <si>
    <t>2005-10-09 21:07 EDT</t>
  </si>
  <si>
    <t>2005-10-10 05:31:36 EDT</t>
  </si>
  <si>
    <t>2014-04-15 15:44:16 EDT</t>
  </si>
  <si>
    <t>ian</t>
  </si>
  <si>
    <t>[('CREATED', '2005-10-09 21:07 EDT'), ('dirk_baeumer', '2005-10-10 05:31:36 EDT', 'martinae'), ('[refactoring] Extract method should recognize differing constants as parameter opportunities', '2005-10-10 05:31:36 EDT', 'martinae'), ('P4', '2005-10-10 09:24:24 EDT', 'dirk_baeumer'), ('RESOLVED', '2006-04-03 10:49:06 EDT', 'dirk_baeumer'), ('LATER', '2006-04-03 10:49:06 EDT', 'dirk_baeumer'), ('[refactoring] [extract method] Extract method should recognize differing constants as parameter opportunities', '2006-04-03 10:49:06 EDT', 'dirk_baeumer'), ('---', '2009-05-04 06:27:03 EDT', 'markus.kell.r'), ('markus_keller', '2009-05-04 06:27:03 EDT', 'markus.kell.r'), ('REOPENED', '2009-05-04 06:27:03 EDT', 'markus.kell.r'), ('ASSIGNED', '2009-05-04 06:27:14 EDT', 'markus.kell.r'), ('Brian.Miller', '2010-01-11 13:14:03 EST', 'Brian.Miller'), ('djanoiup', '2012-01-19 16:41:54 EST', 'djanoiup'), ('ian', '2014-04-15 15:44:16 EDT', 'ian')]</t>
  </si>
  <si>
    <t>2005-10-18 12:54:41 EDT</t>
  </si>
  <si>
    <t>2005-11-01 05:01:02 EST</t>
  </si>
  <si>
    <t>2005-10-09 21:30 EDT</t>
  </si>
  <si>
    <t>2005-10-10 05:32:26 EDT</t>
  </si>
  <si>
    <t>[('CREATED', '2005-10-09 21:30 EDT'), ('tobias_widmer', '2005-10-10 05:32:26 EDT', 'martinae'), ('P2', '2005-10-10 05:32:26 EDT', 'martinae'), ('3.2 M3', '2005-10-10 05:32:26 EDT', 'martinae'), ('FIXED', '2005-10-18 12:54:41 EDT', 'tobias_widmer'), ('RESOLVED', '2005-10-18 12:54:41 EDT', 'tobias_widmer'), ('VERIFIED', '2005-11-01 05:01:02 EST', 'markus.kell.r')]</t>
  </si>
  <si>
    <t>100613 383899 (view as bug list)</t>
  </si>
  <si>
    <t>2020-04-27 16:31:12 EDT</t>
  </si>
  <si>
    <t>2005-10-10 06:22 EDT</t>
  </si>
  <si>
    <t>2005-10-10 12:30:01 EDT</t>
  </si>
  <si>
    <t>[('CREATED', '2005-10-10 06:22 EDT'), ('dirk_baeumer', '2005-10-10 12:30:01 EDT', 'martinae'), ('markus_keller', '2006-06-02 05:45:55 EDT', 'martinae'), ('[inline] Inlining synchronized method should create a synchronized block', '2006-06-02 05:45:55 EDT', 'martinae'), ('b.muskalla', '2008-05-05 07:11:38 EDT', 'b.muskalla'), ('ahti', '2008-07-07 05:28:53 EDT', 'b.muskalla'), ('bmiller', '2008-07-07 13:30:46 EDT', 'markus.kell.r'), ('1', '2008-07-07 14:15:45 EDT', 'b.muskalla'), ('1', '2008-07-09 12:14:39 EDT', 'markus.kell.r'), ('cub1975', '2012-07-02 02:46:31 EDT', 'daniel_megert'), ('fix candidate', '2012-07-02 05:34:25 EDT', 'markus.kell.r'), ('normal', '2012-07-02 05:34:25 EDT', 'markus.kell.r'), ('ASSIGNED', '2012-07-02 05:34:25 EDT', 'markus.kell.r'), ('stalebug', '2020-04-27 16:31:12 EDT', 'genie'), ('CLOSED', '2020-04-27 16:31:12 EDT', 'genie'), ('WONTFIX', '2020-04-27 16:31:12 EDT', 'genie')]</t>
  </si>
  <si>
    <t>2005-10-14 04:22:25 EDT</t>
  </si>
  <si>
    <t>2005-10-11 10:47 EDT</t>
  </si>
  <si>
    <t>2005-10-11 15:19:03 EDT</t>
  </si>
  <si>
    <t>[('CREATED', '2005-10-11 10:47 EDT'), ('jdt-core-inbox', '2005-10-11 15:19:03 EDT', 'eclipse'), ('Core', '2005-10-11 15:19:03 EDT', 'eclipse'), ('JDT', '2005-10-11 15:19:03 EDT', 'eclipse'), ('jdt-ui-inbox', '2005-10-12 01:57:58 EDT', 'frederic_fusier'), ('UI', '2005-10-12 01:57:58 EDT', 'frederic_fusier'), ('RESOLVED', '2005-10-14 04:22:25 EDT', 'martinae'), ('WONTFIX', '2005-10-14 04:22:25 EDT', 'martinae')]</t>
  </si>
  <si>
    <t>434346 (view as bug list)</t>
  </si>
  <si>
    <t>2005-10-12 11:31 EDT</t>
  </si>
  <si>
    <t>2005-10-14 03:32:06 EDT</t>
  </si>
  <si>
    <t>2019-01-10 14:33:09 EST</t>
  </si>
  <si>
    <t>[('CREATED', '2005-10-12 11:31 EDT'), ('markus_keller', '2005-10-14 03:32:06 EDT', 'martinae'), ('[refactoring] Extract a single null literal', '2005-10-14 03:32:06 EDT', 'martinae'), ('markus_keller', '2005-10-14 03:52:53 EDT', 'markus.kell.r'), ('tobias_widmer', '2005-10-14 03:52:53 EDT', 'markus.kell.r'), (nan, '2006-04-09 19:09:53 EDT', 'tobias_widmer'), ('markus_keller', '2006-04-09 19:09:53 EDT', 'tobias_widmer'), ('[extract local] Extract a single null literal', '2006-08-03 12:24:48 EDT', 'martinae'), ('zorzella', '2014-05-08 04:15:10 EDT', 'daniel_megert'), ('timo.kinnunen', '2014-05-11 08:08:30 EDT', 'timo.kinnunen'), ('helpwanted', '2014-05-12 14:49:14 EDT', 'markus.kell.r'), ('ASSIGNED', '2014-05-12 14:49:14 EDT', 'markus.kell.r'), ('fix candidate', '2014-05-12 14:49:14 EDT', 'markus.kell.r'), (nan, '2014-05-13 04:57:18 EDT', 'markus.kell.r'), ('4.5', '2014-05-13 04:57:18 EDT', 'markus.kell.r'), (nan, '2014-05-13 04:57:18 EDT', 'markus.kell.r'), ('4.6', '2015-04-28 06:04:39 EDT', 'markus.kell.r'), ('4.7', '2016-04-21 14:26:01 EDT', 'markus.kell.r'), ('---', '2017-05-24 14:13:46 EDT', 'noopur_gupta'), ('pyvesdev', '2019-01-10 14:33:09 EST', 'pyvesdev')]</t>
  </si>
  <si>
    <t>2005-10-20 05:06:56 EDT</t>
  </si>
  <si>
    <t>2005-11-03 04:09:33 EST</t>
  </si>
  <si>
    <t>2005-10-12 14:09 EDT</t>
  </si>
  <si>
    <t>2005-10-14 03:33:39 EDT</t>
  </si>
  <si>
    <t>[('CREATED', '2005-10-12 14:09 EDT'), ('tobias_widmer', '2005-10-14 03:33:39 EDT', 'martinae'), ('Strange error dialog during Move refactoring', '2005-10-14 03:33:39 EDT', 'martinae'), ('3.2 M3', '2005-10-20 05:06:56 EDT', 'tobias_widmer'), ('RESOLVED', '2005-10-20 05:06:56 EDT', 'tobias_widmer'), ('FIXED', '2005-10-20 05:06:56 EDT', 'tobias_widmer'), ('benno_baumgartner', '2005-11-02 12:23:24 EST', 'tobias_widmer'), ('markus_keller', '2005-11-02 14:17:59 EST', 'markus.kell.r'), ('VERIFIED', '2005-11-03 04:09:33 EST', 'markus.kell.r')]</t>
  </si>
  <si>
    <t>2005-10-19 05:38:26 EDT</t>
  </si>
  <si>
    <t>2005-11-01 11:29:09 EST</t>
  </si>
  <si>
    <t>2005-10-13 04:31 EDT</t>
  </si>
  <si>
    <t>2005-10-13 17:48:36 EDT</t>
  </si>
  <si>
    <t>[('CREATED', '2005-10-13 04:31 EDT'), ('tobias_widmer', '2005-10-13 17:48:36 EDT', 'markus.kell.r'), ('RESOLVED', '2005-10-19 05:38:26 EDT', 'tobias_widmer'), ('FIXED', '2005-10-19 05:38:26 EDT', 'tobias_widmer'), ('3.2 M3', '2005-10-19 05:38:26 EDT', 'tobias_widmer'), ('VERIFIED', '2005-11-01 11:29:09 EST', 'markus.kell.r')]</t>
  </si>
  <si>
    <t>2005-10-14 08:40:57 EDT</t>
  </si>
  <si>
    <t>2005-11-01 11:25:01 EST</t>
  </si>
  <si>
    <t>2005-10-13 08:23 EDT</t>
  </si>
  <si>
    <t>2005-10-13 11:45:01 EDT</t>
  </si>
  <si>
    <t>[('CREATED', '2005-10-13 08:23 EDT'), ('jdt-ui-inbox', '2005-10-13 11:45:01 EDT', 'jgarms'), ('UI', '2005-10-13 11:45:01 EDT', 'jgarms'), ('markus_keller', '2005-10-14 04:18:20 EDT', 'martinae'), ('3.2 M3', '2005-10-14 08:40:57 EDT', 'markus.kell.r'), ('martin_aeschlimann', '2005-10-14 08:40:57 EDT', 'markus.kell.r'), ('RESOLVED', '2005-10-14 08:40:57 EDT', 'markus.kell.r'), ('FIXED', '2005-10-14 08:40:57 EDT', 'markus.kell.r'), ('VERIFIED', '2005-11-01 11:25:01 EST', 'markus.kell.r')]</t>
  </si>
  <si>
    <t>2005-10-19 12:44:22 EDT</t>
  </si>
  <si>
    <t>2005-10-14 11:03 EDT</t>
  </si>
  <si>
    <t>2005-10-17 03:27:05 EDT</t>
  </si>
  <si>
    <t>[('CREATED', '2005-10-14 11:03 EDT'), ('tobias_widmer', '2005-10-17 03:27:05 EDT', 'martinae'), ('RESOLVED', '2005-10-19 12:44:22 EDT', 'tobias_widmer'), ('WORKSFORME', '2005-10-19 12:44:22 EDT', 'tobias_widmer')]</t>
  </si>
  <si>
    <t>2005-10-18 13:35 EDT</t>
  </si>
  <si>
    <t>2005-10-19 03:52:39 EDT</t>
  </si>
  <si>
    <t>2020-05-29 19:18:05 EDT</t>
  </si>
  <si>
    <t>[('CREATED', '2005-10-18 13:35 EDT'), ('markus_keller', '2005-10-19 03:52:39 EDT', 'martinae'), ('[infer type arguments] - StackOverflowError', '2006-07-05 10:32:07 EDT', 'markus.kell.r'), ('stalebug', '2020-05-29 19:18:05 EDT', 'genie')]</t>
  </si>
  <si>
    <t>61567 318612 374449 422001 (view as bug list)</t>
  </si>
  <si>
    <t>2005-10-18 16:14 EDT</t>
  </si>
  <si>
    <t>2005-10-19 04:02:06 EDT</t>
  </si>
  <si>
    <t>2013-11-19 08:12:18 EST</t>
  </si>
  <si>
    <t>[('CREATED', '2005-10-18 16:14 EDT'), ('benno_baumgartner', '2005-10-19 04:02:06 EDT', 'martinae'), ('ASSIGNED', '2005-11-10 11:06:43 EST', 'benno.baumgartner'), ('[clean up][code style] Refactoring to remove/add all fully qualified type names', '2005-11-10 11:06:43 EST', 'benno.baumgartner'), ('eclipse', '2006-02-15 07:39:26 EST', 'eclipse'), ('3.2 M6', '2006-02-15 09:44:19 EST', 'benno.baumgartner'), ('---', '2006-03-27 11:59:02 EST', 'benno.baumgartner'), ('daniel_megert', '2006-07-07 08:47:22 EDT', 'daniel_megert'), ('markus_keller', '2006-08-09 05:00:41 EDT', 'markus.kell.r'), ('jdt-ui-inbox', '2008-07-16 06:04:38 EDT', 'benno.baumgartner'), ('NEW', '2008-07-16 06:04:38 EDT', 'benno.baumgartner'), ('benno_baumgartner', '2008-07-16 06:05:26 EDT', 'benno.baumgartner'), ('ASSIGNED', '2008-07-16 06:05:26 EDT', 'benno.baumgartner'), ('helpwanted', '2008-07-16 06:05:26 EDT', 'benno.baumgartner'), ('1', '2009-02-04 08:23:44 EST', 'daniel_megert'), ('thsoft', '2010-04-15 06:59:37 EDT', 'thsoft'), ('oxvalley', '2010-07-28 08:40:16 EDT', 'daniel_megert'), ('preuss', '2012-03-19 07:59:39 EDT', 'daniel_megert'), ('eclipse.*.dserodio', '2012-03-19 07:59:45 EDT', 'daniel_megert'), ('heiko.boettger', '2013-05-24 05:36:27 EDT', 'heiko.boettger'), ('the.ubik', '2013-11-19 08:12:18 EST', 'daniel_megert')]</t>
  </si>
  <si>
    <t>2005-10-20 13:14:28 EDT</t>
  </si>
  <si>
    <t>2005-10-19 06:52 EDT</t>
  </si>
  <si>
    <t>2005-10-19 06:53:13 EDT</t>
  </si>
  <si>
    <t>[('CREATED', '2005-10-19 06:52 EDT'), ('erich_gamma', '2005-10-19 06:53:13 EDT', 'philippe_mulet'), ('RESOLVED', '2005-10-20 13:14:28 EDT', 'dirk_baeumer'), ('LATER', '2005-10-20 13:14:28 EDT', 'dirk_baeumer'), ('[refactoring] [general issue] Trigger refactoring actions from observing user edits', '2005-10-20 13:14:28 EDT', 'dirk_baeumer'), ('WONTFIX', '2009-08-30 02:38:57 EDT', 'webmaster')]</t>
  </si>
  <si>
    <t>2005-10-19 10:54:00 EDT</t>
  </si>
  <si>
    <t>2005-11-03 05:11:55 EST</t>
  </si>
  <si>
    <t>2005-10-19 10:44 EDT</t>
  </si>
  <si>
    <t>[('CREATED', '2005-10-19 10:44 EDT'), ('RESOLVED', '2005-10-19 10:54:00 EDT', 'tobias_widmer'), ('FIXED', '2005-10-19 10:54:00 EDT', 'tobias_widmer'), ('3.2 M3', '2005-10-19 10:54:00 EDT', 'tobias_widmer'), ('benno_baumgartner', '2005-11-03 04:27:29 EST', 'benno.baumgartner'), ('VERIFIED', '2005-11-03 05:11:55 EST', 'markus.kell.r')]</t>
  </si>
  <si>
    <t>2006-01-11 12:39:55 EST</t>
  </si>
  <si>
    <t>2006-02-14 10:03:26 EST</t>
  </si>
  <si>
    <t>2005-10-21 13:59 EDT</t>
  </si>
  <si>
    <t>2005-10-22 13:26:01 EDT</t>
  </si>
  <si>
    <t>[('CREATED', '2005-10-21 13:59 EDT'), ('dirk_baeumer', '2005-10-22 13:26:01 EDT', 'dirk_baeumer'), ('tobias_widmer', '2005-10-22 13:26:01 EDT', 'dirk_baeumer'), ('[refactoring] [pull up] Pull up refactoring loses method annotation', '2005-10-22 13:26:01 EDT', 'dirk_baeumer'), ('3.1.2', '2005-12-13 12:07:45 EST', 'tobias_widmer'), ('---', '2006-01-05 10:10:35 EST', 'martinae'), ('RESOLVED', '2006-01-11 12:39:55 EST', 'tobias_widmer'), ('FIXED', '2006-01-11 12:39:55 EST', 'tobias_widmer'), ('3.2 M5', '2006-01-11 12:39:55 EST', 'tobias_widmer'), ('VERIFIED', '2006-02-14 10:03:26 EST', 'benno.baumgartner')]</t>
  </si>
  <si>
    <t>2006-04-11 09:57:37 EDT</t>
  </si>
  <si>
    <t>2005-10-24 05:21 EDT</t>
  </si>
  <si>
    <t>2005-10-31 05:44:39 EST</t>
  </si>
  <si>
    <t>[('CREATED', '2005-10-24 05:21 EDT'), ('tobias_widmer', '2005-10-31 05:44:39 EST', 'dirk_baeumer'), ('3.2', '2006-04-09 19:02:25 EDT', 'tobias_widmer'), ('RESOLVED', '2006-04-11 09:57:37 EDT', 'tobias_widmer'), ('WORKSFORME', '2006-04-11 09:57:37 EDT', 'tobias_widmer')]</t>
  </si>
  <si>
    <t>2006-11-17 11:17:35 EST</t>
  </si>
  <si>
    <t>2005-10-24 16:31 EDT</t>
  </si>
  <si>
    <t>2005-10-25 06:29:26 EDT</t>
  </si>
  <si>
    <t>2006-11-17 11:17:45 EST</t>
  </si>
  <si>
    <t>[('CREATED', '2005-10-24 16:31 EDT'), ('markus_keller', '2005-10-25 06:29:26 EDT', 'dirk_baeumer'), ('[refactoring] Change Method Signature dialog should provide unique parameter names', '2005-10-25 06:29:26 EDT', 'dirk_baeumer'), ('3.2', '2005-10-25 06:29:26 EDT', 'dirk_baeumer'), ('3.3', '2006-05-04 08:59:58 EDT', 'markus.kell.r'), ('ASSIGNED', '2006-06-08 11:26:43 EDT', 'markus.kell.r'), ('[change method signature] dialog should provide unique parameter names', '2006-06-08 11:26:43 EDT', 'markus.kell.r'), ('3.3 M6', '2006-10-13 10:05:14 EDT', 'philippe_mulet'), ('FIXED', '2006-11-17 11:17:35 EST', 'markus.kell.r'), ('3.2 M4', '2006-11-17 11:17:35 EST', 'markus.kell.r'), ('RESOLVED', '2006-11-17 11:17:35 EST', 'markus.kell.r'), ('3.3 M4', '2006-11-17 11:17:45 EST', 'markus.kell.r')]</t>
  </si>
  <si>
    <t>2009-10-14 13:45:14 EDT</t>
  </si>
  <si>
    <t>2005-10-26 01:48 EDT</t>
  </si>
  <si>
    <t>2005-10-26 03:34:51 EDT</t>
  </si>
  <si>
    <t>[('CREATED', '2005-10-26 01:48 EDT'), ('jdt-ui-inbox', '2005-10-26 03:34:51 EDT', 'frederic_fusier'), ('UI', '2005-10-26 03:34:51 EDT', 'frederic_fusier'), ('"Rename Package" window gets bigger and bigger', '2005-10-26 03:34:51 EDT', 'frederic_fusier'), ('markus_keller', '2005-10-27 05:44:58 EDT', 'dirk_baeumer'), ('[refactoring] [rename] "Rename Package" window gets bigger and bigger', '2005-10-27 05:44:58 EDT', 'dirk_baeumer'), ('ASSIGNED', '2005-11-04 06:51:32 EST', 'markus.kell.r'), ('3.2', '2005-11-04 06:51:32 EST', 'markus.kell.r'), ('3.3', '2006-05-04 08:59:46 EDT', 'markus.kell.r'), ('[refactoring] preview page gets bigger and bigger', '2006-06-08 11:27:52 EDT', 'markus.kell.r'), ('3.4', '2007-05-11 18:54:19 EDT', 'markus.kell.r'), ('3.5', '2008-05-10 12:20:23 EDT', 'markus.kell.r'), ('3.6', '2009-05-06 07:04:46 EDT', 'markus.kell.r'), ('M1', '2009-05-06 07:04:46 EDT', 'markus.kell.r'), (nan, '2009-06-09 06:06:12 EDT', 'daniel_megert'), ('3.6 M1', '2009-06-09 06:06:12 EDT', 'daniel_megert'), ('3.6 M2', '2009-08-05 10:23:46 EDT', 'markus.kell.r'), ('3.6 M3', '2009-09-14 13:58:33 EDT', 'markus.kell.r'), ('RESOLVED', '2009-10-14 13:45:14 EDT', 'markus.kell.r'), ('FIXED', '2009-10-14 13:45:14 EDT', 'markus.kell.r')]</t>
  </si>
  <si>
    <t>RESOLVED  DUPLICATE  of bug 109988</t>
  </si>
  <si>
    <t>2005-10-26 20:17:41 EDT</t>
  </si>
  <si>
    <t>2005-10-26 20:10 EDT</t>
  </si>
  <si>
    <t>2005-10-26 20:12:13 EDT</t>
  </si>
  <si>
    <t>brill</t>
  </si>
  <si>
    <t>[('CREATED', '2005-10-26 20:10 EDT'), ('consistency, usability', '2005-10-26 20:12:13 EDT', 'brill'), ('RESOLVED', '2005-10-26 20:17:41 EDT', 'brill'), ('DUPLICATE', '2005-10-26 20:17:41 EDT', 'brill')]</t>
  </si>
  <si>
    <t>113840 (view as bug list)</t>
  </si>
  <si>
    <t>2005-12-09 09:30:00 EST</t>
  </si>
  <si>
    <t>2005-12-13 07:11:16 EST</t>
  </si>
  <si>
    <t>2005-10-27 14:51 EDT</t>
  </si>
  <si>
    <t>2005-10-27 14:51:30 EDT</t>
  </si>
  <si>
    <t>[('CREATED', '2005-10-27 14:51 EDT'), ('Geert.Poels', '2005-10-27 14:51:30 EDT', 'Geert.Poels'), ('jdt-ui-inbox', '2005-10-28 04:31:41 EDT', 'jerome_lanneluc'), ('UI', '2005-10-28 04:31:41 EDT', 'jerome_lanneluc'), ('benno_baumgartner', '2005-10-28 05:56:25 EDT', 'dirk_baeumer'), ('[build path] External source folders on the Java Build Path should be editable/changable', '2005-10-28 05:56:25 EDT', 'dirk_baeumer'), ('ASSIGNED', '2005-11-11 11:13:46 EST', 'benno.baumgartner'), ('3.2 M4', '2005-11-11 11:13:46 EST', 'benno.baumgartner'), ('martin_aeschlimann', '2005-11-11 11:16:58 EST', 'benno.baumgartner'), ('1', '2005-11-21 11:20:16 EST', 'benno.baumgartner'), ('1', '2005-12-09 09:25:07 EST', 'benno.baumgartner'), ('RESOLVED', '2005-12-09 09:30:00 EST', 'benno.baumgartner'), ('FIXED', '2005-12-09 09:30:00 EST', 'benno.baumgartner'), ('markus_keller', '2005-12-13 06:50:45 EST', 'eclipsetalk2'), ('VERIFIED', '2005-12-13 07:11:16 EST', 'benno.baumgartner')]</t>
  </si>
  <si>
    <t>2005-10-28 05:06 EDT</t>
  </si>
  <si>
    <t>2005-10-28 05:55:25 EDT</t>
  </si>
  <si>
    <t>2009-01-23 11:34:02 EST</t>
  </si>
  <si>
    <t>[('CREATED', '2005-10-28 05:06 EDT'), ('martin_aeschlimann', '2005-10-28 05:55:25 EDT', 'dirk_baeumer'), ('[search] Find references should also look in text files', '2005-10-28 05:55:25 EDT', 'dirk_baeumer'), ('jdt-ui-inbox', '2009-01-23 11:16:39 EST', 'daniel_megert'), ('ASSIGNED', '2009-01-23 11:34:02 EST', 'daniel_megert')]</t>
  </si>
  <si>
    <t>2005-10-28 05:55:22 EDT</t>
  </si>
  <si>
    <t>2009-08-30 02:40:21 EDT</t>
  </si>
  <si>
    <t>2005-10-28 05:14 EDT</t>
  </si>
  <si>
    <t>[('CREATED', '2005-10-28 05:14 EDT'), ('RESOLVED', '2005-10-28 05:55:22 EDT', 'dirk_baeumer'), ('LATER', '2005-10-28 05:55:22 EDT', 'dirk_baeumer'), ('[call hierarchy] Analyse outgoing dependencies', '2005-10-28 05:55:22 EDT', 'dirk_baeumer'), ('WONTFIX', '2009-08-30 02:40:21 EDT', 'webmaster')]</t>
  </si>
  <si>
    <t>2005-11-23 10:54:51 EST</t>
  </si>
  <si>
    <t>2005-12-13 06:24:21 EST</t>
  </si>
  <si>
    <t>2005-10-28 13:24 EDT</t>
  </si>
  <si>
    <t>2005-10-31 05:16:38 EST</t>
  </si>
  <si>
    <t>[('CREATED', '2005-10-28 13:24 EDT'), ('markus_keller', '2005-10-31 05:16:38 EST', 'dirk_baeumer'), ('3.2 M4', '2005-10-31 05:16:38 EST', 'dirk_baeumer'), ('daniel.megert', '2005-11-22 09:03:00 EST', 'daniel_megert'), ('jtan', '2005-11-22 09:07:30 EST', 'daniel_megert'), ('RESOLVED', '2005-11-23 10:54:51 EST', 'markus.kell.r'), ('FIXED', '2005-11-23 10:54:51 EST', 'markus.kell.r'), ('VERIFIED', '2005-12-13 06:24:21 EST', 'benno.baumgartner')]</t>
  </si>
  <si>
    <t>2005-11-01 08:36:41 EST</t>
  </si>
  <si>
    <t>2005-11-03 05:10:43 EST</t>
  </si>
  <si>
    <t>2005-11-01 05:33 EST</t>
  </si>
  <si>
    <t>2005-11-01 08:15:10 EST</t>
  </si>
  <si>
    <t>[('CREATED', '2005-11-01 05:33 EST'), ('tobias_widmer', '2005-11-01 08:15:10 EST', 'dirk_baeumer'), ('[refactoring] CCE in NullRefactoringHistory', '2005-11-01 08:15:10 EST', 'dirk_baeumer'), ('3.2 M3', '2005-11-01 08:15:10 EST', 'dirk_baeumer'), ('RESOLVED', '2005-11-01 08:36:41 EST', 'tobias_widmer'), ('FIXED', '2005-11-01 08:36:41 EST', 'tobias_widmer'), ('VERIFIED', '2005-11-03 05:10:43 EST', 'markus.kell.r')]</t>
  </si>
  <si>
    <t>2006-01-11 11:01:59 EST</t>
  </si>
  <si>
    <t>2005-11-01 08:48 EST</t>
  </si>
  <si>
    <t>2005-11-01 09:49:56 EST</t>
  </si>
  <si>
    <t>[('CREATED', '2005-11-01 08:48 EST'), ('tobias_widmer', '2005-11-01 09:49:56 EST', 'dirk_baeumer'), ('[refactoring] Move instance method with generating delegates unnecessarily raises field visibility', '2005-11-01 09:49:56 EST', 'dirk_baeumer'), ('3.2', '2005-11-01 09:49:56 EST', 'dirk_baeumer'), ('RESOLVED', '2006-01-11 11:01:59 EST', 'tobias_widmer'), ('FIXED', '2006-01-11 11:01:59 EST', 'tobias_widmer'), ('3.2 M5', '2006-01-11 11:01:59 EST', 'tobias_widmer')]</t>
  </si>
  <si>
    <t>2005-11-01 09:02 EST</t>
  </si>
  <si>
    <t>2005-11-01 09:48:33 EST</t>
  </si>
  <si>
    <t>2018-12-24 19:36:18 EST</t>
  </si>
  <si>
    <t>[('CREATED', '2005-11-01 09:02 EST'), ('tobias_widmer', '2005-11-01 09:48:33 EST', 'dirk_baeumer'), ('[refactoring] Move type to new file generates unused import', '2005-11-01 09:48:33 EST', 'dirk_baeumer'), ('3.2 M4', '2005-11-01 09:48:33 EST', 'dirk_baeumer'), ('3.2 M5', '2005-12-09 05:02:38 EST', 'tobias_widmer'), ('---', '2006-01-25 05:19:23 EST', 'tobias_widmer'), ('[move member type] generates unused import [refactoring]', '2006-05-29 08:06:10 EDT', 'tobias_widmer'), ('jdt-ui-inbox', '2007-06-14 10:44:43 EDT', 'martinae'), ('stalebug', '2018-12-24 19:36:18 EST', 'genie')]</t>
  </si>
  <si>
    <t>2006-06-19 11:07:32 EDT</t>
  </si>
  <si>
    <t>2009-08-30 02:06:57 EDT</t>
  </si>
  <si>
    <t>2005-11-01 10:26 EST</t>
  </si>
  <si>
    <t>2005-11-01 11:12:29 EST</t>
  </si>
  <si>
    <t>[('CREATED', '2005-11-01 10:26 EST'), ('ASSIGNED', '2005-11-01 11:12:29 EST', 'dirk_baeumer'), ('daniel_megert', '2006-06-19 11:07:32 EDT', 'martinae'), ('RESOLVED', '2006-06-19 11:07:32 EDT', 'martinae'), ('REMIND', '2006-06-19 11:07:32 EDT', 'martinae'), ('[refactoring] Single-CU refactorings should not save on undo/redo', '2006-06-19 11:07:32 EDT', 'martinae'), ('needinfo', '2009-08-30 02:06:57 EDT', 'denis.roy'), ('INVALID', '2009-08-30 02:06:57 EDT', 'denis.roy')]</t>
  </si>
  <si>
    <t>2005-11-02 09:17:23 EST</t>
  </si>
  <si>
    <t>2005-11-03 04:48:11 EST</t>
  </si>
  <si>
    <t>2005-11-01 10:36 EST</t>
  </si>
  <si>
    <t>2005-11-01 11:05:09 EST</t>
  </si>
  <si>
    <t>[('CREATED', '2005-11-01 10:36 EST'), ('benno_baumgartner', '2005-11-01 11:05:09 EST', 'dirk_baeumer'), ('[clean up] clean up does not convert static accesses as promised', '2005-11-01 11:05:09 EST', 'dirk_baeumer'), ('3.2 M4', '2005-11-01 11:05:09 EST', 'dirk_baeumer'), ('dirk_baeumer', '2005-11-02 06:19:40 EST', 'benno.baumgartner'), ('ASSIGNED', '2005-11-02 06:19:40 EST', 'benno.baumgartner'), ('markus_keller', '2005-11-02 06:21:45 EST', 'benno.baumgartner'), ('3.2 M3', '2005-11-02 07:03:57 EST', 'benno.baumgartner'), ('FIXED', '2005-11-02 09:17:23 EST', 'markus.kell.r'), ('RESOLVED', '2005-11-02 09:17:23 EST', 'markus.kell.r'), ('VERIFIED', '2005-11-03 04:48:11 EST', 'benno.baumgartner')]</t>
  </si>
  <si>
    <t>2005-11-29 12:42:46 EST</t>
  </si>
  <si>
    <t>2005-12-13 13:05:11 EST</t>
  </si>
  <si>
    <t>2005-11-02 05:31 EST</t>
  </si>
  <si>
    <t>2005-11-10 11:09:27 EST</t>
  </si>
  <si>
    <t>[('CREATED', '2005-11-02 05:31 EST'), ('ASSIGNED', '2005-11-10 11:09:27 EST', 'benno.baumgartner'), ('[clean up][unused code] remove unused local/field should be added again.', '2005-11-10 11:09:27 EST', 'benno.baumgartner'), ('martin_aeschlimann', '2005-11-23 12:35:58 EST', 'benno.baumgartner'), ('3.2 M4', '2005-11-23 12:35:58 EST', 'benno.baumgartner'), ('RESOLVED', '2005-11-29 12:42:46 EST', 'martinae'), ('FIXED', '2005-11-29 12:42:46 EST', 'martinae'), ('markus_keller', '2005-12-13 12:26:34 EST', 'eclipsetalk2'), ('VERIFIED', '2005-12-13 13:05:11 EST', 'markus.kell.r')]</t>
  </si>
  <si>
    <t>2005-11-02 13:00 EST</t>
  </si>
  <si>
    <t>2005-11-03 06:31:09 EST</t>
  </si>
  <si>
    <t>2006-06-22 12:24:27 EDT</t>
  </si>
  <si>
    <t>[('CREATED', '2005-11-02 13:00 EST'), ('jdt-ui-inbox', '2005-11-03 06:31:09 EST', 'jerome_lanneluc'), ('UI', '2005-11-03 06:31:09 EST', 'jerome_lanneluc'), ('ASSIGNED', '2005-11-03 13:33:03 EST', 'dirk_baeumer'), ('[compare] [2] Reduce compare noise as a result of Organize Imports', '2005-11-03 13:33:03 EST', 'dirk_baeumer'), ('[compare] Reduce compare noise as a result of Organize Imports', '2006-06-22 12:24:27 EDT', 'martinae')]</t>
  </si>
  <si>
    <t>205965 (view as bug list)</t>
  </si>
  <si>
    <t>2005-12-09 04:19:21 EST</t>
  </si>
  <si>
    <t>2005-11-03 12:27 EST</t>
  </si>
  <si>
    <t>2005-11-03 13:27:04 EST</t>
  </si>
  <si>
    <t>2007-10-11 09:35:56 EDT</t>
  </si>
  <si>
    <t>[('CREATED', '2005-11-03 12:27 EST'), ('tobias_widmer', '2005-11-03 13:27:04 EST', 'dirk_baeumer'), ('3.2 M4', '2005-11-03 13:27:04 EST', 'dirk_baeumer'), ('markus_keller', '2005-11-21 05:38:11 EST', 'tobias_widmer'), ('tobias_widmer', '2005-11-23 11:23:28 EST', 'markus.kell.r'), ('markus_keller', '2005-11-23 11:23:28 EST', 'markus.kell.r'), ('RESOLVED', '2005-12-09 04:19:21 EST', 'tobias_widmer'), ('WORKSFORME', '2005-12-09 04:19:21 EST', 'tobias_widmer'), ('3.2', '2005-12-09 04:19:21 EST', 'tobias_widmer'), ('tjwatson', '2007-10-11 09:26:11 EDT', 'benno.baumgartner'), ('benno_baumgartner', '2007-10-11 09:35:56 EDT', 'benno.baumgartner'), ('[reorg] Copy and paste in package explorer occasionally raises NullPointerException', '2007-10-11 09:35:56 EDT', 'benno.baumgartner')]</t>
  </si>
  <si>
    <t>106369 (view as bug list)</t>
  </si>
  <si>
    <t>2006-04-03 12:00:00 EDT</t>
  </si>
  <si>
    <t>2005-11-08 07:20 EST</t>
  </si>
  <si>
    <t>2005-11-08 08:32:48 EST</t>
  </si>
  <si>
    <t>[('CREATED', '2005-11-08 07:20 EST'), ('dirk_baeumer', '2005-11-08 08:32:48 EST', 'martinae'), ('RESOLVED', '2006-04-03 12:00:00 EDT', 'dirk_baeumer'), ('FIXED', '2006-04-03 12:00:00 EDT', 'dirk_baeumer'), ('3.2 RC1', '2006-04-03 12:00:00 EDT', 'dirk_baeumer'), ('tobias_widmer', '2006-04-03 12:05:48 EDT', 'dirk_baeumer')]</t>
  </si>
  <si>
    <t>115858</t>
  </si>
  <si>
    <t>2005-11-18 06:56:04 EST</t>
  </si>
  <si>
    <t>2005-12-13 11:29:34 EST</t>
  </si>
  <si>
    <t>2005-11-10 12:07 EST</t>
  </si>
  <si>
    <t>2005-11-10 12:08:24 EST</t>
  </si>
  <si>
    <t>[('CREATED', '2005-11-10 12:07 EST'), ('115858', '2005-11-10 12:08:24 EST', 'valentam'), ('dirk_baeumer', '2005-11-11 05:48:02 EST', 'martinae'), ('3.2 M4', '2005-11-11 05:48:02 EST', 'martinae'), ('tobias_widmer', '2005-11-14 05:43:36 EST', 'dirk_baeumer'), ('tobias_widmer', '2005-11-14 06:21:42 EST', 'tobias_widmer'), ('RESOLVED', '2005-11-18 06:56:04 EST', 'tobias_widmer'), ('FIXED', '2005-11-18 06:56:04 EST', 'tobias_widmer'), ('VERIFIED', '2005-12-13 11:29:34 EST', 'benno.baumgartner')]</t>
  </si>
  <si>
    <t>RESOLVED  DUPLICATE  of bug 109280</t>
  </si>
  <si>
    <t>2005-11-11 11:27 EST</t>
  </si>
  <si>
    <t>2005-11-14 10:58:23 EST</t>
  </si>
  <si>
    <t>2006-12-11 13:05:08 EST</t>
  </si>
  <si>
    <t>hollisc</t>
  </si>
  <si>
    <t>[('CREATED', '2005-11-11 11:27 EST'), ('dirk_baeumer', '2005-11-14 10:58:23 EST', 'martinae'), ('[refactoring] Extract Method results in compile errors in new method.', '2005-11-14 11:44:33 EST', 'dirk_baeumer'), ('akiezun', '2006-03-23 09:04:19 EST', 'akiezun'), ('RESOLVED', '2006-04-03 12:04:13 EDT', 'dirk_baeumer'), ('DUPLICATE', '2006-04-03 12:04:13 EDT', 'dirk_baeumer'), ('hollisc', '2006-12-11 13:05:08 EST', 'hollisc')]</t>
  </si>
  <si>
    <t>2005-11-16 18:49:10 EST</t>
  </si>
  <si>
    <t>2009-08-30 02:15:06 EDT</t>
  </si>
  <si>
    <t>2005-11-11 13:54 EST</t>
  </si>
  <si>
    <t>2005-11-14 12:45:15 EST</t>
  </si>
  <si>
    <t>[('CREATED', '2005-11-11 13:54 EST'), ('martin_aeschlimann', '2005-11-14 12:45:15 EST', 'dirk_baeumer'), ('minor', '2005-11-15 15:02:40 EST', 'bmiller'), ('RESOLVED', '2005-11-16 18:49:10 EST', 'martinae'), ('LATER', '2005-11-16 18:49:10 EST', 'martinae'), ('WONTFIX', '2009-08-30 02:15:06 EDT', 'denis.roy')]</t>
  </si>
  <si>
    <t>2006-01-03 12:05:54 EST</t>
  </si>
  <si>
    <t>2005-11-14 09:20 EST</t>
  </si>
  <si>
    <t>2005-11-14 12:30:13 EST</t>
  </si>
  <si>
    <t>[('CREATED', '2005-11-14 09:20 EST'), ('dirk_baeumer', '2005-11-14 12:30:13 EST', 'dirk_baeumer'), ('[refactoring] ProcessorBasedRefactoring does not handle exceptions thrown by participants', '2005-11-14 12:30:13 EST', 'dirk_baeumer'), ('3.2 M4', '2005-11-14 12:30:13 EST', 'dirk_baeumer'), ('3.2 M5', '2005-12-13 12:01:36 EST', 'martinae'), ('RESOLVED', '2006-01-03 12:05:54 EST', 'dirk_baeumer'), ('FIXED', '2006-01-03 12:05:54 EST', 'dirk_baeumer')]</t>
  </si>
  <si>
    <t>2006-03-10 13:08:48 EST</t>
  </si>
  <si>
    <t>2005-11-14 09:24 EST</t>
  </si>
  <si>
    <t>2005-11-14 12:30:47 EST</t>
  </si>
  <si>
    <t>[('CREATED', '2005-11-14 09:24 EST'), ('tobias_widmer', '2005-11-14 12:30:47 EST', 'dirk_baeumer'), ('[refactoring] [pull up] UI issues in Pull Up Wizard', '2005-11-14 12:30:47 EST', 'dirk_baeumer'), ('3.2 M6', '2006-03-06 05:49:18 EST', 'tobias_widmer'), ('RESOLVED', '2006-03-10 13:08:48 EST', 'tobias_widmer'), ('FIXED', '2006-03-10 13:08:48 EST', 'tobias_widmer')]</t>
  </si>
  <si>
    <t>2005-11-17 06:57:45 EST</t>
  </si>
  <si>
    <t>2005-12-13 11:09:50 EST</t>
  </si>
  <si>
    <t>2005-11-14 13:51 EST</t>
  </si>
  <si>
    <t>2005-11-14 13:51:55 EST</t>
  </si>
  <si>
    <t>[('CREATED', '2005-11-14 13:51 EST'), ('3.2 M4', '2005-11-14 13:51:55 EST', 'dirk_baeumer'), ('RESOLVED', '2005-11-17 06:57:45 EST', 'tobias_widmer'), ('FIXED', '2005-11-17 06:57:45 EST', 'tobias_widmer'), ('VERIFIED', '2005-12-13 11:09:50 EST', 'benno.baumgartner')]</t>
  </si>
  <si>
    <t>2005-11-20 19:01:34 EST</t>
  </si>
  <si>
    <t>2005-12-13 04:19:27 EST</t>
  </si>
  <si>
    <t>2005-11-14 17:24 EST</t>
  </si>
  <si>
    <t>2005-11-16 18:23:09 EST</t>
  </si>
  <si>
    <t>[('CREATED', '2005-11-14 17:24 EST'), ('dirk_baeumer', '2005-11-16 18:23:09 EST', 'martinae'), ('P2', '2005-11-20 19:01:34 EST', 'dirk_baeumer'), ('FIXED', '2005-11-20 19:01:34 EST', 'dirk_baeumer'), ('3.2 M4', '2005-11-20 19:01:34 EST', 'dirk_baeumer'), ('RESOLVED', '2005-11-20 19:01:34 EST', 'dirk_baeumer'), ('markus_keller', '2005-12-13 04:18:51 EST', 'eclipsetalk2'), ('VERIFIED', '2005-12-13 04:19:27 EST', 'benno.baumgartner')]</t>
  </si>
  <si>
    <t>2005-11-16 18:40:34 EST</t>
  </si>
  <si>
    <t>2009-08-30 02:16:14 EDT</t>
  </si>
  <si>
    <t>2005-11-15 14:02 EST</t>
  </si>
  <si>
    <t>[('CREATED', '2005-11-15 14:02 EST'), ('RESOLVED', '2005-11-16 18:40:34 EST', 'martinae'), ('LATER', '2005-11-16 18:40:34 EST', 'martinae'), ('WONTFIX', '2009-08-30 02:16:14 EDT', 'denis.roy')]</t>
  </si>
  <si>
    <t>2006-03-03 09:13:38 EST</t>
  </si>
  <si>
    <t>2005-11-18 00:49 EST</t>
  </si>
  <si>
    <t>2005-11-18 07:15:19 EST</t>
  </si>
  <si>
    <t>[('CREATED', '2005-11-18 00:49 EST'), ('jdt-ui-inbox', '2005-11-18 07:15:19 EST', 'jerome_lanneluc'), ('UI', '2005-11-18 07:15:19 EST', 'jerome_lanneluc'), ('tobias_widmer', '2005-11-19 03:54:28 EST', 'martinae'), ('critical', '2005-12-15 23:59:53 EST', 'ravighanate'), ('normal', '2005-12-16 03:43:35 EST', 'tobias_widmer'), ('3.2 M5', '2005-12-16 03:43:35 EST', 'tobias_widmer'), ('3.2 M6', '2006-02-15 02:16:28 EST', 'martinae'), ('RESOLVED', '2006-03-03 09:13:38 EST', 'tobias_widmer'), ('INVALID', '2006-03-03 09:13:38 EST', 'tobias_widmer'), ('---', '2006-03-03 09:13:38 EST', 'tobias_widmer')]</t>
  </si>
  <si>
    <t>2005-11-23 05:49:17 EST</t>
  </si>
  <si>
    <t>2005-12-13 08:06:01 EST</t>
  </si>
  <si>
    <t>2005-11-18 04:41 EST</t>
  </si>
  <si>
    <t>2005-11-18 05:35:40 EST</t>
  </si>
  <si>
    <t>[('CREATED', '2005-11-18 04:41 EST'), ('ASSIGNED', '2005-11-18 05:35:40 EST', 'markus.kell.r'), ('[refactoring] Rename type should not rely on ".java"', '2005-11-18 05:35:40 EST', 'markus.kell.r'), ('3.2 M4', '2005-11-18 05:35:40 EST', 'markus.kell.r'), ('RESOLVED', '2005-11-23 05:49:17 EST', 'markus.kell.r'), ('FIXED', '2005-11-23 05:49:17 EST', 'markus.kell.r'), ('VERIFIED', '2005-12-13 08:06:01 EST', 'markus.kell.r')]</t>
  </si>
  <si>
    <t>2005-11-21 06:16:17 EST</t>
  </si>
  <si>
    <t>2005-12-13 08:09:39 EST</t>
  </si>
  <si>
    <t>2005-11-18 04:59 EST</t>
  </si>
  <si>
    <t>2005-11-18 08:28:52 EST</t>
  </si>
  <si>
    <t>[('CREATED', '2005-11-18 04:59 EST'), ('[refactoring] Move Inner to Top should not hardcode ".java"', '2005-11-18 08:28:52 EST', 'martinae'), ('RESOLVED', '2005-11-21 06:16:17 EST', 'tobias_widmer'), ('FIXED', '2005-11-21 06:16:17 EST', 'tobias_widmer'), ('3.2 M4', '2005-11-21 06:16:17 EST', 'tobias_widmer'), ('markus_keller', '2005-12-13 06:12:46 EST', 'eclipsetalk2'), ('VERIFIED', '2005-12-13 08:09:39 EST', 'markus.kell.r')]</t>
  </si>
  <si>
    <t>2005-11-19 05:47:45 EST</t>
  </si>
  <si>
    <t>2005-12-13 06:40:58 EST</t>
  </si>
  <si>
    <t>2005-11-18 07:26 EST</t>
  </si>
  <si>
    <t>2005-11-18 07:29:06 EST</t>
  </si>
  <si>
    <t>[('CREATED', '2005-11-18 07:26 EST'), ('philippe_mulet', '2005-11-18 07:29:06 EST', 'frederic_fusier'), ('martin_aeschlimann', '2005-11-19 05:40:16 EST', 'martinae'), ('RESOLVED', '2005-11-19 05:47:45 EST', 'martinae'), ('FIXED', '2005-11-19 05:47:45 EST', 'martinae'), ('3.2 M4', '2005-11-19 05:47:45 EST', 'martinae'), ('VERIFIED', '2005-12-13 06:40:58 EST', 'benno.baumgartner')]</t>
  </si>
  <si>
    <t>2006-04-04 09:27:42 EDT</t>
  </si>
  <si>
    <t>2005-11-18 10:38 EST</t>
  </si>
  <si>
    <t>2005-11-19 05:56:10 EST</t>
  </si>
  <si>
    <t>[('CREATED', '2005-11-18 10:38 EST'), ('dirk_baeumer', '2005-11-19 05:56:10 EST', 'martinae'), ('[inline refactoring] Incorrect indenting after inline method', '2005-11-19 05:56:10 EST', 'martinae'), ('[ast rewriter] Incorrect indenting after inline method', '2005-11-20 11:21:48 EST', 'dirk_baeumer'), ('dirk_baeumer', '2005-11-20 11:21:48 EST', 'dirk_baeumer'), ('martin_aeschlimann', '2005-11-20 11:21:48 EST', 'dirk_baeumer'), ('dirk_baeumer', '2005-11-21 06:00:49 EST', 'martinae'), ('RESOLVED', '2006-04-04 09:27:42 EDT', 'dirk_baeumer'), ('FIXED', '2006-04-04 09:27:42 EDT', 'dirk_baeumer'), ('3.2 RC1', '2006-04-04 09:27:42 EDT', 'dirk_baeumer')]</t>
  </si>
  <si>
    <t>2005-11-28 10:04:43 EST</t>
  </si>
  <si>
    <t>2005-12-13 06:55:15 EST</t>
  </si>
  <si>
    <t>2005-11-20 12:53 EST</t>
  </si>
  <si>
    <t>2005-11-22 11:53:08 EST</t>
  </si>
  <si>
    <t>[('CREATED', '2005-11-20 12:53 EST'), ('Support JDK version 1.6', '2005-11-22 11:53:08 EST', 'martinae'), ('martin_aeschlimann', '2005-11-28 03:38:26 EST', 'martinae'), ('[preferences] Support JDK version 1.6', '2005-11-28 03:38:26 EST', 'martinae'), ('3.2 M4', '2005-11-28 03:38:26 EST', 'martinae'), ('RESOLVED', '2005-11-28 10:04:43 EST', 'martinae'), ('FIXED', '2005-11-28 10:04:43 EST', 'martinae'), ('VERIFIED', '2005-12-13 06:55:15 EST', 'benno.baumgartner')]</t>
  </si>
  <si>
    <t>2005-11-22 04:30:35 EST</t>
  </si>
  <si>
    <t>2005-11-21 05:51 EST</t>
  </si>
  <si>
    <t>2005-11-21 06:02:14 EST</t>
  </si>
  <si>
    <t>2005-11-22 07:04:18 EST</t>
  </si>
  <si>
    <t>[('CREATED', '2005-11-21 05:51 EST'), ('scheglov_ke', '2005-11-21 06:02:14 EST', 'Konstantin.Scheglov'), ('eclipse', '2005-11-22 04:12:03 EST', 'eclipse'), ('RESOLVED', '2005-11-22 04:30:35 EST', 'martinae'), ('FIXED', '2005-11-22 04:30:35 EST', 'martinae'), ('3.2 M4', '2005-11-22 04:30:35 EST', 'martinae'), ('markus_keller', '2005-11-22 07:04:18 EST', 'benno.baumgartner')]</t>
  </si>
  <si>
    <t>2005-12-14 04:29:53 EST</t>
  </si>
  <si>
    <t>2005-12-15 04:25:53 EST</t>
  </si>
  <si>
    <t>2005-12-13 10:58:01 EST</t>
  </si>
  <si>
    <t>2005-11-21 10:31 EST</t>
  </si>
  <si>
    <t>2005-11-22 11:59:59 EST</t>
  </si>
  <si>
    <t>[('CREATED', '2005-11-21 10:31 EST'), ('markus_keller', '2005-11-22 11:59:59 EST', 'martinae'), ('markus_keller', '2005-11-23 07:29:16 EST', 'markus.kell.r'), ('philip_mayer', '2005-11-23 07:29:16 EST', 'markus.kell.r'), ('RESOLVED', '2005-11-23 09:37:57 EST', 'markus.kell.r'), ('FIXED', '2005-11-23 09:37:57 EST', 'markus.kell.r'), ('3.2 M4', '2005-11-23 09:37:57 EST', 'markus.kell.r'), ('REOPENED', '2005-12-13 10:58:01 EST', 'benno.baumgartner'), ('---', '2005-12-13 10:58:01 EST', 'benno.baumgartner'), ('3.2 M5', '2005-12-13 10:58:01 EST', 'benno.baumgartner'), ('3.2 M4', '2005-12-13 11:56:54 EST', 'markus.kell.r'), ('RESOLVED', '2005-12-14 04:29:53 EST', 'markus.kell.r'), ('FIXED', '2005-12-14 04:29:53 EST', 'markus.kell.r'), ('VERIFIED', '2005-12-15 04:25:53 EST', 'benno.baumgartner')]</t>
  </si>
  <si>
    <t>118782 (view as bug list)</t>
  </si>
  <si>
    <t>2005-11-23 07:15:52 EST</t>
  </si>
  <si>
    <t>2005-12-13 10:32:45 EST</t>
  </si>
  <si>
    <t>2005-11-21 11:41 EST</t>
  </si>
  <si>
    <t>2005-11-21 14:09:39 EST</t>
  </si>
  <si>
    <t>[('CREATED', '2005-11-21 11:41 EST'), ('john_arthorne', '2005-11-21 14:09:39 EST', 'john.arthorne'), ('jdt-ui-inbox', '2005-11-21 14:09:39 EST', 'john.arthorne'), ('UI', '2005-11-21 14:09:39 EST', 'john.arthorne'), ('JDT', '2005-11-21 14:09:39 EST', 'john.arthorne'), ('markus_keller', '2005-11-22 12:43:09 EST', 'martinae'), ('RESOLVED', '2005-11-23 07:15:52 EST', 'markus.kell.r'), ('FIXED', '2005-11-23 07:15:52 EST', 'markus.kell.r'), ('3.2 M4', '2005-11-23 07:15:52 EST', 'markus.kell.r'), ('gdo', '2005-12-02 04:10:11 EST', 'markus.kell.r'), ('VERIFIED', '2005-12-13 10:32:45 EST', 'benno.baumgartner')]</t>
  </si>
  <si>
    <t>2005-11-22 12:54:23 EST</t>
  </si>
  <si>
    <t>2005-11-22 06:06 EST</t>
  </si>
  <si>
    <t>[('CREATED', '2005-11-22 06:06 EST'), ('RESOLVED', '2005-11-22 12:54:23 EST', 'martinae'), ('LATER', '2005-11-22 12:54:23 EST', 'martinae'), ('WONTFIX', '2009-08-30 02:22:19 EDT', 'denis.roy')]</t>
  </si>
  <si>
    <t>2005-11-22 06:07 EST</t>
  </si>
  <si>
    <t>2005-11-22 12:55:29 EST</t>
  </si>
  <si>
    <t>2007-06-14 10:44:29 EDT</t>
  </si>
  <si>
    <t>[('CREATED', '2005-11-22 06:07 EST'), ('dirk_baeumer', '2005-11-22 12:55:29 EST', 'martinae'), ('tobias_widmer', '2005-11-22 13:18:22 EST', 'dirk_baeumer'), ('enhancement', '2005-11-22 13:18:22 EST', 'dirk_baeumer'), ('[ltk] [refactoring] Refactoring preview dialog does not cycle through changes', '2005-11-22 13:18:22 EST', 'dirk_baeumer'), ('[ltk] refactoring preview dialog does not cycle through changes [refactoring]', '2006-05-29 08:07:04 EDT', 'tobias_widmer'), ('jdt-ui-inbox', '2007-06-14 10:44:29 EDT', 'martinae')]</t>
  </si>
  <si>
    <t>2006-01-10 05:03:02 EST</t>
  </si>
  <si>
    <t>2005-11-22 06:12 EST</t>
  </si>
  <si>
    <t>2005-11-22 12:56:27 EST</t>
  </si>
  <si>
    <t>[('CREATED', '2005-11-22 06:12 EST'), ('philip_mayer', '2005-11-22 12:56:27 EST', 'martinae'), ('ASSIGNED', '2005-12-15 06:08:01 EST', 'eclipsetalk2'), ('tobias_widmer', '2005-12-15 09:57:50 EST', 'eclipsetalk2'), ('RESOLVED', '2006-01-10 05:03:02 EST', 'tobias_widmer'), ('FIXED', '2006-01-10 05:03:02 EST', 'tobias_widmer'), ('3.2 M5', '2006-01-10 05:03:02 EST', 'tobias_widmer')]</t>
  </si>
  <si>
    <t>2005-11-23 03:22:36 EST</t>
  </si>
  <si>
    <t>2005-11-22 06:42 EST</t>
  </si>
  <si>
    <t>2005-11-22 12:59:04 EST</t>
  </si>
  <si>
    <t>[('CREATED', '2005-11-22 06:42 EST'), ('benno_baumgartner', '2005-11-22 12:59:04 EST', 'martinae'), ('RESOLVED', '2005-11-23 03:22:36 EST', 'benno.baumgartner'), ('FIXED', '2005-11-23 03:22:36 EST', 'benno.baumgartner')]</t>
  </si>
  <si>
    <t>120723 (view as bug list)</t>
  </si>
  <si>
    <t>2007-04-23 03:43:00 EDT</t>
  </si>
  <si>
    <t>2007-05-02 12:55:03 EDT</t>
  </si>
  <si>
    <t>2005-11-23 05:54 EST</t>
  </si>
  <si>
    <t>2005-11-23 22:04:25 EST</t>
  </si>
  <si>
    <t>[('CREATED', '2005-11-23 05:54 EST'), ('Olivier_Thomann', '2005-11-23 22:04:25 EST', 'Olivier_Thomann'), ('tobias_widmer', '2005-11-24 10:54:54 EST', 'martinae'), ('[reorg] exceptions when moving a CU in Package Explorer [refactoring]', '2006-05-29 08:07:33 EDT', 'tobias_widmer'), ('P2', '2007-02-16 04:32:38 EST', 'martinae'), ('3.3', '2007-02-16 04:32:38 EST', 'martinae'), ('chanskw', '2007-02-16 04:33:25 EST', 'martinae'), ('martin_aeschlimann', '2007-04-03 03:36:41 EDT', 'daniel_megert'), ('3.3 M7', '2007-04-03 03:36:41 EDT', 'daniel_megert'), ('mlists', '2007-04-19 21:40:29 EDT', 'mlists'), ('RESOLVED', '2007-04-23 03:43:00 EDT', 'tobias_widmer'), ('FIXED', '2007-04-23 03:43:00 EDT', 'tobias_widmer'), ('VERIFIED', '2007-05-02 12:55:03 EDT', 'martinae')]</t>
  </si>
  <si>
    <t>117637 117751 (view as bug list)</t>
  </si>
  <si>
    <t>2005-11-23 09:23:30 EST</t>
  </si>
  <si>
    <t>2005-12-13 04:15:05 EST</t>
  </si>
  <si>
    <t>2005-11-23 07:14 EST</t>
  </si>
  <si>
    <t>2005-11-23 07:20:46 EST</t>
  </si>
  <si>
    <t>[('CREATED', '2005-11-23 07:14 EST'), ('tobias_widmer', '2005-11-23 07:20:46 EST', 'daniel_megert'), ('wassimm', '2005-11-23 08:22:42 EST', 'valentam'), ('RESOLVED', '2005-11-23 09:23:30 EST', 'tobias_widmer'), ('FIXED', '2005-11-23 09:23:30 EST', 'tobias_widmer'), ('3.2 M4', '2005-11-23 09:23:30 EST', 'tobias_widmer'), ('felipe_heidrich', '2005-11-23 12:47:19 EST', 'valentam'), ('markus_keller', '2005-12-13 04:01:30 EST', 'eclipsetalk2'), ('VERIFIED', '2005-12-13 04:15:05 EST', 'markus.kell.r')]</t>
  </si>
  <si>
    <t>2005-11-24 08:49:30 EST</t>
  </si>
  <si>
    <t>2005-12-13 08:40:33 EST</t>
  </si>
  <si>
    <t>2005-11-24 06:54 EST</t>
  </si>
  <si>
    <t>2005-11-24 08:49:07 EST</t>
  </si>
  <si>
    <t>[('CREATED', '2005-11-24 06:54 EST'), ('benno_baumgartner', '2005-11-24 08:49:07 EST', 'martinae'), ('3.2 M4', '2005-11-24 08:49:07 EST', 'martinae'), ('RESOLVED', '2005-11-24 08:49:30 EST', 'martinae'), ('FIXED', '2005-11-24 08:49:30 EST', 'martinae'), ('markus_keller', '2005-12-13 08:28:56 EST', 'eclipsetalk2'), ('VERIFIED', '2005-12-13 08:40:33 EST', 'benno.baumgartner')]</t>
  </si>
  <si>
    <t>338449 (view as bug list)</t>
  </si>
  <si>
    <t>2005-11-28 07:05:18 EST</t>
  </si>
  <si>
    <t>2007-03-13 07:45:24 EDT</t>
  </si>
  <si>
    <t>2005-11-25 06:23 EST</t>
  </si>
  <si>
    <t>2005-11-28 04:09:50 EST</t>
  </si>
  <si>
    <t>2015-12-22 16:02:26 EST</t>
  </si>
  <si>
    <t>gautier.desaintmartinlacaze</t>
  </si>
  <si>
    <t>[('CREATED', '2005-11-25 06:23 EST'), ('RESOLVED', '2005-11-28 04:09:50 EST', 'martinae'), ('DUPLICATE', '2005-11-28 04:09:50 EST', 'martinae'), ('[refactoring] provide an action to make instance methods static', '2005-11-28 04:09:50 EST', 'martinae'), ('---', '2005-11-28 04:09:50 EST', 'martinae'), ('REOPENED', '2005-11-28 04:45:23 EST', 'eclipse'), ('---', '2005-11-28 04:45:23 EST', 'eclipse'), ('RESOLVED', '2005-11-28 07:05:18 EST', 'martinae'), ('DUPLICATE', '2005-11-28 07:05:18 EST', 'martinae'), ('tsteininger', '2007-03-13 04:56:40 EDT', 'tsteininger'), ('REOPENED', '2007-03-13 07:45:24 EDT', 'eclipse'), ('---', '2007-03-13 07:45:24 EDT', 'eclipse'), ('markus_keller', '2007-03-29 06:30:36 EDT', 'markus.kell.r'), ('[refactoring] [dcr] provide an action to make instance methods static', '2007-03-29 06:30:36 EDT', 'markus.kell.r'), ('[refactoring] [dcr] make instance methods static', '2007-04-25 05:11:50 EDT', 'martinae'), ('dcorbin', '2007-04-25 05:12:38 EDT', 'martinae'), ('enhancement', '2007-05-16 10:57:41 EDT', 'martinae'), ('ASSIGNED', '2007-05-16 10:57:41 EDT', 'martinae'), ('232660', '2008-05-22 05:30:40 EDT', 'martinae'), ('bmuskalla', '2009-08-02 09:13:28 EDT', 'b.muskalla'), ('daniel_megert', '2010-06-08 07:15:43 EDT', 'daniel_megert'), ('[refactoring] make instance methods static', '2010-06-08 07:16:49 EDT', 'daniel_megert'), ('[refactoring] Make instance method static', '2010-06-08 07:20:43 EDT', 'daniel_megert'), ('P2', '2010-09-21 07:27:35 EDT', 'raksha.vasisht'), ('raksha.vasisht', '2010-09-21 07:27:35 EDT', 'raksha.vasisht'), ('raksha.vasisht', '2010-09-21 07:27:35 EDT', 'raksha.vasisht'), ('3.7 M3', '2010-09-21 07:27:35 EDT', 'raksha.vasisht'), ('P4', '2010-09-23 03:40:24 EDT', 'daniel_megert'), ('3.7 M4', '2010-10-26 07:05:06 EDT', 'raksha.vasisht'), ('P2', '2010-11-04 12:10:28 EDT', 'daniel_megert'), ('3.7 M5', '2010-11-30 05:30:53 EST', 'raksha.vasisht'), ('P4', '2011-01-05 06:04:57 EST', 'daniel_megert'), ('3.7 M6', '2011-01-18 05:27:50 EST', 'raksha.vasisht'), ('albzey+eclipsebugs', '2011-03-01 05:53:05 EST', 'markus.kell.r'), ('3.7 M7', '2011-03-04 12:31:34 EST', 'markus.kell.r'), ('---', '2011-03-15 11:56:48 EDT', 'daniel_megert'), ('P3', '2011-03-15 11:56:56 EDT', 'daniel_megert'), ("[refactoring] Make instance method static (add 'this' as parameter if necessary)", '2011-12-01 10:48:28 EST', 'markus.kell.r'), ('reprogrammer', '2011-12-01 11:49:47 EST', 'reprogrammer'), ('jdt-ui-inbox', '2012-01-31 04:32:55 EST', 'daniel_megert'), ('emond.papegaaij', '2014-01-30 16:39:08 EST', 'emond.papegaaij'), ('timo.kinnunen', '2015-12-20 02:23:23 EST', 'timo.kinnunen'), ('gautier.desaintmartinlacaze', '2015-12-22 16:02:26 EST', 'gautier.desaintmartinlacaze')]</t>
  </si>
  <si>
    <t>2020-03-22 16:39:31 EDT</t>
  </si>
  <si>
    <t>2005-11-25 07:16 EST</t>
  </si>
  <si>
    <t>2005-11-28 04:11:26 EST</t>
  </si>
  <si>
    <t>[('CREATED', '2005-11-25 07:16 EST'), ('---', '2005-11-28 04:11:26 EST', 'martinae'), ('dirk_baeumer', '2005-11-28 04:11:26 EST', 'martinae'), ('[extract method] Erroneous warning about variable name clash (ignoring the static context)', '2005-11-28 04:11:26 EST', 'martinae'), ('[refactoring] [extract method] Erroneous warning about variable name clash (ignoring the static context)', '2005-11-28 04:51:00 EST', 'dirk_baeumer'), ('jdt-ui-inbox', '2006-06-02 06:08:01 EDT', 'martinae'), ('[extract method] Erroneous warning about variable name clash (ignoring the static context)', '2006-06-02 06:08:01 EDT', 'martinae'), ('BrianMiller', '2008-09-10 13:16:09 EDT', 'Brian.Miller'), ('daniel_megert', '2008-09-11 03:44:07 EDT', 'daniel_megert'), ('ASSIGNED', '2008-09-11 03:44:07 EDT', 'daniel_megert'), ('WONTFIX', '2020-03-22 16:39:31 EDT', 'genie'), ('stalebug', '2020-03-22 16:39:31 EDT', 'genie'), ('CLOSED', '2020-03-22 16:39:31 EDT', 'genie')]</t>
  </si>
  <si>
    <t>2005-11-28 05:18:37 EST</t>
  </si>
  <si>
    <t>2005-12-13 09:31:34 EST</t>
  </si>
  <si>
    <t>2005-11-28 04:16:55 EST</t>
  </si>
  <si>
    <t>2005-11-28 04:49:31 EST</t>
  </si>
  <si>
    <t>2005-11-25 07:27 EST</t>
  </si>
  <si>
    <t>2005-11-25 08:34:29 EST</t>
  </si>
  <si>
    <t>[('CREATED', '2005-11-25 07:27 EST'), ('jdt-ui-inbox', '2005-11-25 08:34:29 EST', 'Olivier_Thomann'), ('UI', '2005-11-25 08:34:29 EST', 'Olivier_Thomann'), ('---', '2005-11-25 08:34:29 EST', 'Olivier_Thomann'), ('tobias_widmer', '2005-11-28 04:12:43 EST', 'martinae'), ('normal', '2005-11-28 04:16:55 EST', 'tobias_widmer'), ('RESOLVED', '2005-11-28 04:16:55 EST', 'tobias_widmer'), ('WORKSFORME', '2005-11-28 04:16:55 EST', 'tobias_widmer'), ('REOPENED', '2005-11-28 04:49:31 EST', 'eclipse'), ('---', '2005-11-28 04:49:31 EST', 'eclipse'), ('FIXED', '2005-11-28 05:18:37 EST', 'tobias_widmer'), ('3.2 M4', '2005-11-28 05:18:37 EST', 'tobias_widmer'), ('RESOLVED', '2005-11-28 05:18:37 EST', 'tobias_widmer'), ('VERIFIED', '2005-12-13 09:31:34 EST', 'benno.baumgartner')]</t>
  </si>
  <si>
    <t>2006-03-16 14:09:27 EST</t>
  </si>
  <si>
    <t>2005-11-25 10:21 EST</t>
  </si>
  <si>
    <t>2005-11-28 05:51:21 EST</t>
  </si>
  <si>
    <t>[('CREATED', '2005-11-25 10:21 EST'), ('tobias_widmer', '2005-11-28 05:51:21 EST', 'martinae'), ('3.2 M5', '2006-01-23 17:05:11 EST', 'tobias_widmer'), ('jdt-ui-inbox', '2006-02-15 10:13:41 EST', 'tobias_widmer'), ('3.2', '2006-02-15 10:13:41 EST', 'tobias_widmer'), ('tobias_widmer', '2006-02-16 05:11:54 EST', 'martinae'), ('FIXED', '2006-03-16 14:09:27 EST', 'tobias_widmer'), ('3.2 M6', '2006-03-16 14:09:27 EST', 'tobias_widmer'), ('RESOLVED', '2006-03-16 14:09:27 EST', 'tobias_widmer')]</t>
  </si>
  <si>
    <t>2005-11-28 06:41:50 EST</t>
  </si>
  <si>
    <t>2005-12-13 07:02:59 EST</t>
  </si>
  <si>
    <t>2005-11-26 11:25 EST</t>
  </si>
  <si>
    <t>2005-11-28 06:07:18 EST</t>
  </si>
  <si>
    <t>[('CREATED', '2005-11-26 11:25 EST'), ('markus_keller', '2005-11-28 06:07:18 EST', 'martinae'), ('ASSIGNED', '2005-11-28 06:23:01 EST', 'markus.kell.r'), ('3.2 M4', '2005-11-28 06:23:01 EST', 'markus.kell.r'), ('RESOLVED', '2005-11-28 06:41:50 EST', 'markus.kell.r'), ('FIXED', '2005-11-28 06:41:50 EST', 'markus.kell.r'), ('VERIFIED', '2005-12-13 07:02:59 EST', 'benno.baumgartner')]</t>
  </si>
  <si>
    <t>2005-11-28 06:34:08 EST</t>
  </si>
  <si>
    <t>2005-11-26 11:31 EST</t>
  </si>
  <si>
    <t>2005-11-26 18:55:41 EST</t>
  </si>
  <si>
    <t>[('CREATED', '2005-11-26 11:31 EST'), ('jdt-ui-inbox', '2005-11-26 18:55:41 EST', 'Olivier_Thomann'), ('UI', '2005-11-26 18:55:41 EST', 'Olivier_Thomann'), ('markus_keller', '2005-11-28 06:17:28 EST', 'martinae'), ('DUPLICATE', '2005-11-28 06:34:08 EST', 'markus.kell.r'), ('RESOLVED', '2005-11-28 06:34:08 EST', 'markus.kell.r')]</t>
  </si>
  <si>
    <t>2005-11-28 12:10:24 EST</t>
  </si>
  <si>
    <t>2005-11-28 06:29:29 EST</t>
  </si>
  <si>
    <t>2005-11-28 07:25:54 EST</t>
  </si>
  <si>
    <t>2005-11-26 12:13 EST</t>
  </si>
  <si>
    <t>2005-11-26 18:56:23 EST</t>
  </si>
  <si>
    <t>[('CREATED', '2005-11-26 12:13 EST'), ('jdt-ui-inbox', '2005-11-26 18:56:23 EST', 'Olivier_Thomann'), ('enhancement', '2005-11-26 18:56:23 EST', 'Olivier_Thomann'), ('UI', '2005-11-26 18:56:23 EST', 'Olivier_Thomann'), ('WORKSFORME', '2005-11-28 06:29:29 EST', 'martinae'), ('RESOLVED', '2005-11-28 06:29:29 EST', 'martinae'), ('REOPENED', '2005-11-28 07:25:54 EST', 'eclipse'), ('---', '2005-11-28 07:25:54 EST', 'eclipse'), ('RESOLVED', '2005-11-28 12:10:24 EST', 'martinae'), ('DUPLICATE', '2005-11-28 12:10:24 EST', 'martinae')]</t>
  </si>
  <si>
    <t>2005-11-28 11:03:28 EST</t>
  </si>
  <si>
    <t>2005-12-13 09:28:24 EST</t>
  </si>
  <si>
    <t>2005-11-28 05:39 EST</t>
  </si>
  <si>
    <t>2005-11-28 07:13:55 EST</t>
  </si>
  <si>
    <t>[('CREATED', '2005-11-28 05:39 EST'), ('markus_keller', '2005-11-28 07:13:55 EST', 'martinae'), ('philip_mayer', '2005-11-28 07:13:55 EST', 'martinae'), ('RESOLVED', '2005-11-28 11:03:28 EST', 'markus.kell.r'), ('FIXED', '2005-11-28 11:03:28 EST', 'markus.kell.r'), ('3.2 M4', '2005-11-28 11:03:28 EST', 'markus.kell.r'), ('VERIFIED', '2005-12-13 09:28:24 EST', 'benno.baumgartner')]</t>
  </si>
  <si>
    <t>2005-12-02 14:22:32 EST</t>
  </si>
  <si>
    <t>2005-12-13 09:20:47 EST</t>
  </si>
  <si>
    <t>2005-11-29 05:31 EST</t>
  </si>
  <si>
    <t>2005-11-30 02:42:12 EST</t>
  </si>
  <si>
    <t>[('CREATED', '2005-11-29 05:31 EST'), ('eu', '2005-11-30 02:42:12 EST', 'ekuleshov'), ('mlists', '2005-11-30 05:46:05 EST', 'mlists'), ('ASSIGNED', '2005-12-02 04:13:55 EST', 'eclipsetalk2'), ('RESOLVED', '2005-12-02 14:22:32 EST', 'markus.kell.r'), ('FIXED', '2005-12-02 14:22:32 EST', 'markus.kell.r'), ('3.2 M4', '2005-12-02 14:22:32 EST', 'markus.kell.r'), ('VERIFIED', '2005-12-13 09:20:47 EST', 'benno.baumgartner')]</t>
  </si>
  <si>
    <t>2005-11-30 05:33:35 EST</t>
  </si>
  <si>
    <t>2005-12-13 09:10:55 EST</t>
  </si>
  <si>
    <t>2005-11-29 06:16 EST</t>
  </si>
  <si>
    <t>2005-11-29 06:18:08 EST</t>
  </si>
  <si>
    <t>[('CREATED', '2005-11-29 06:16 EST'), ('philip_mayer', '2005-11-29 06:18:08 EST', 'dirk_baeumer'), ('markus_keller', '2005-11-29 10:05:06 EST', 'eclipsetalk2'), ('3.2 M4', '2005-11-29 13:24:22 EST', 'markus.kell.r'), ('1', '2005-11-30 04:56:25 EST', 'eclipsetalk2'), ('RESOLVED', '2005-11-30 05:33:35 EST', 'markus.kell.r'), ('FIXED', '2005-11-30 05:33:35 EST', 'markus.kell.r'), ('VERIFIED', '2005-12-13 09:10:55 EST', 'benno.baumgartner')]</t>
  </si>
  <si>
    <t>RESOLVED  DUPLICATE  of bug 117328</t>
  </si>
  <si>
    <t>2005-12-02 04:10:11 EST</t>
  </si>
  <si>
    <t>2005-12-01 03:57 EST</t>
  </si>
  <si>
    <t>2005-12-01 11:04:48 EST</t>
  </si>
  <si>
    <t>[('CREATED', '2005-12-01 03:57 EST'), ('jdt-ui-inbox', '2005-12-01 11:04:48 EST', 'eclipse'), ('UI', '2005-12-01 11:04:48 EST', 'eclipse'), ('JDT', '2005-12-01 11:04:48 EST', 'eclipse'), ('markus_keller', '2005-12-02 03:40:44 EST', 'martinae'), ('RESOLVED', '2005-12-02 04:10:11 EST', 'markus.kell.r'), ('DUPLICATE', '2005-12-02 04:10:11 EST', 'markus.kell.r')]</t>
  </si>
  <si>
    <t>2005-12-16 08:54:30 EST</t>
  </si>
  <si>
    <t>2005-12-01 12:06 EST</t>
  </si>
  <si>
    <t>2005-12-01 12:06:34 EST</t>
  </si>
  <si>
    <t>[('CREATED', '2005-12-01 12:06 EST'), ('philip_mayer', '2005-12-01 12:06:34 EST', 'markus.kell.r'), ('ASSIGNED', '2005-12-15 10:20:26 EST', 'eclipsetalk2'), ('RESOLVED', '2005-12-16 08:54:30 EST', 'markus.kell.r'), ('FIXED', '2005-12-16 08:54:30 EST', 'markus.kell.r'), ('3.2 M5', '2005-12-16 08:54:30 EST', 'markus.kell.r')]</t>
  </si>
  <si>
    <t>2005-12-02 15:10:19 EST</t>
  </si>
  <si>
    <t>2005-12-13 08:58:57 EST</t>
  </si>
  <si>
    <t>2005-12-01 12:39 EST</t>
  </si>
  <si>
    <t>2005-12-01 12:40:11 EST</t>
  </si>
  <si>
    <t>[('CREATED', '2005-12-01 12:39 EST'), ('philip_mayer', '2005-12-01 12:40:11 EST', 'markus.kell.r'), ('ASSIGNED', '2005-12-02 10:55:03 EST', 'eclipsetalk2'), ('RESOLVED', '2005-12-02 15:10:19 EST', 'markus.kell.r'), ('FIXED', '2005-12-02 15:10:19 EST', 'markus.kell.r'), ('VERIFIED', '2005-12-13 08:58:57 EST', 'benno.baumgartner')]</t>
  </si>
  <si>
    <t>2005-12-04 11:10:51 EST</t>
  </si>
  <si>
    <t>2009-08-30 02:18:35 EDT</t>
  </si>
  <si>
    <t>2005-12-02 17:53 EST</t>
  </si>
  <si>
    <t>2005-12-02 19:01:47 EST</t>
  </si>
  <si>
    <t>[('CREATED', '2005-12-02 17:53 EST'), ('jdt-ui-inbox', '2005-12-02 19:01:47 EST', 'Olivier_Thomann'), ('UI', '2005-12-02 19:01:47 EST', 'Olivier_Thomann'), ('RESOLVED', '2005-12-04 11:10:51 EST', 'martinae'), ('LATER', '2005-12-04 11:10:51 EST', 'martinae'), ('WONTFIX', '2009-08-30 02:18:35 EDT', 'denis.roy')]</t>
  </si>
  <si>
    <t>2006-03-22 05:11:48 EST</t>
  </si>
  <si>
    <t>2005-12-02 17:58 EST</t>
  </si>
  <si>
    <t>2005-12-02 19:00:49 EST</t>
  </si>
  <si>
    <t>[('CREATED', '2005-12-02 17:58 EST'), ('jdt-ui-inbox', '2005-12-02 19:00:49 EST', 'Olivier_Thomann'), ('UI', '2005-12-02 19:00:49 EST', 'Olivier_Thomann'), ('markus_keller', '2005-12-04 11:07:56 EST', 'martinae'), ('RESOLVED', '2006-03-22 05:11:48 EST', 'markus.kell.r'), ('DUPLICATE', '2006-03-22 05:11:48 EST', 'markus.kell.r')]</t>
  </si>
  <si>
    <t>2013-02-20 10:17:00 EST</t>
  </si>
  <si>
    <t>2013-03-14 10:42:52 EDT</t>
  </si>
  <si>
    <t>2005-12-03 20:37 EST</t>
  </si>
  <si>
    <t>2005-12-04 12:20:17 EST</t>
  </si>
  <si>
    <t>[('CREATED', '2005-12-03 20:37 EST'), ('martin_aeschlimann', '2005-12-04 12:20:17 EST', 'martinae'), ('[quick assist] Invert if statement without else', '2005-12-04 12:20:17 EST', 'martinae'), ('jdt-ui-inbox', '2009-01-23 11:16:53 EST', 'daniel_megert'), ('ASSIGNED', '2009-01-23 11:34:23 EST', 'daniel_megert'), ('deepak.azad', '2010-12-04 11:10:35 EST', 'deepakazad'), ('bugday', '2012-10-18 16:07:07 EDT', 'deepakazad'), ('daniel_megert', '2013-01-10 08:23:12 EST', 'daniel_megert'), ('[quick assist] Convert to if-return', '2013-01-10 08:23:12 EST', 'daniel_megert'), ('markus_keller', '2013-01-10 10:58:30 EST', 'markus.kell.r'), ('review?(daniel_megert)', '2013-01-24 01:50:11 EST', 'noopur_gupta'), ('noopur_gupta', '2013-01-24 01:50:11 EST', 'noopur_gupta'), ('manju_mathew', '2013-01-24 01:58:37 EST', 'manju656'), ('noopur_gupta', '2013-01-24 01:58:37 EST', 'manju656'), (nan, '2013-02-13 11:46:23 EST', 'daniel_megert'), ('1', '2013-02-13 11:46:49 EST', 'daniel_megert'), ('review-', '2013-02-13 11:46:49 EST', 'daniel_megert'), ('1', '2013-02-15 10:34:49 EST', 'noopur_gupta'), ('review?(daniel_megert)', '2013-02-15 10:35:15 EST', 'noopur_gupta'), ('1', '2013-02-15 10:48:41 EST', 'noopur_gupta'), ('1', '2013-02-18 00:18:19 EST', 'noopur_gupta'), ('RESOLVED', '2013-02-20 10:17:00 EST', 'daniel_megert'), ('FIXED', '2013-02-20 10:17:00 EST', 'daniel_megert'), ('review+', '2013-02-20 10:17:00 EST', 'daniel_megert'), ('review+', '2013-02-20 10:21:23 EST', 'daniel_megert'), ('4.3 M6', '2013-03-11 13:54:42 EDT', 'daniel_megert'), ('VERIFIED', '2013-03-14 10:42:52 EDT', 'daniel_megert')]</t>
  </si>
  <si>
    <t>125907 135425 (view as bug list)</t>
  </si>
  <si>
    <t>129309</t>
  </si>
  <si>
    <t>2006-04-25 11:39:18 EDT</t>
  </si>
  <si>
    <t>2005-12-05 10:47 EST</t>
  </si>
  <si>
    <t>2006-02-09 03:04:05 EST</t>
  </si>
  <si>
    <t>[('CREATED', '2005-12-05 10:47 EST'), ('andreas', '2006-02-09 03:04:05 EST', 'martinae'), ('129309', '2006-02-24 04:56:42 EST', 'martinae'), ('3.2', '2006-02-24 04:56:42 EST', 'martinae'), ('benno_baumgartner', '2006-04-10 12:51:05 EDT', 'martinae'), ('kweiner', '2006-04-10 12:51:41 EDT', 'martinae'), ('martin_aeschlimann', '2006-04-13 05:00:37 EDT', 'benno.baumgartner'), ('RESOLVED', '2006-04-25 11:39:18 EDT', 'benno.baumgartner'), ('FIXED', '2006-04-25 11:39:18 EDT', 'benno.baumgartner'), ('3.2 RC2', '2006-04-25 11:39:18 EDT', 'benno.baumgartner')]</t>
  </si>
  <si>
    <t>2005-12-07 06:04:18 EST</t>
  </si>
  <si>
    <t>2005-12-05 16:21 EST</t>
  </si>
  <si>
    <t>2005-12-06 04:36:19 EST</t>
  </si>
  <si>
    <t>[('CREATED', '2005-12-05 16:21 EST'), ('tobias_widmer', '2005-12-06 04:36:19 EST', 'tobias_widmer'), ('3.2 M4', '2005-12-06 04:36:19 EST', 'tobias_widmer'), ('RESOLVED', '2005-12-07 06:04:18 EST', 'tobias_widmer'), ('FIXED', '2005-12-07 06:04:18 EST', 'tobias_widmer')]</t>
  </si>
  <si>
    <t>2005-12-09 13:03:54 EST</t>
  </si>
  <si>
    <t>2005-12-13 08:56:27 EST</t>
  </si>
  <si>
    <t>2005-12-06 05:55 EST</t>
  </si>
  <si>
    <t>2005-12-07 05:03:32 EST</t>
  </si>
  <si>
    <t>[('CREATED', '2005-12-06 05:55 EST'), ('philip_mayer', '2005-12-07 05:03:32 EST', 'martinae'), ('markus_keller', '2005-12-09 10:43:29 EST', 'eclipsetalk2'), ('1', '2005-12-09 11:18:49 EST', 'eclipsetalk2'), ('FIXED', '2005-12-09 13:03:54 EST', 'markus.kell.r'), ('3.2 M4', '2005-12-09 13:03:54 EST', 'markus.kell.r'), ('RESOLVED', '2005-12-09 13:03:54 EST', 'markus.kell.r'), ('VERIFIED', '2005-12-13 08:56:27 EST', 'benno.baumgartner')]</t>
  </si>
  <si>
    <t>2005-12-07 05:07:36 EST</t>
  </si>
  <si>
    <t>2005-12-06 05:58 EST</t>
  </si>
  <si>
    <t>[('CREATED', '2005-12-06 05:58 EST'), ('RESOLVED', '2005-12-07 05:07:36 EST', 'martinae'), ('WONTFIX', '2005-12-07 05:07:36 EST', 'martinae')]</t>
  </si>
  <si>
    <t>2005-12-07 09:08:26 EST</t>
  </si>
  <si>
    <t>2005-12-13 05:38:36 EST</t>
  </si>
  <si>
    <t>2005-12-06 06:52 EST</t>
  </si>
  <si>
    <t>2005-12-07 05:08:24 EST</t>
  </si>
  <si>
    <t>[('CREATED', '2005-12-06 06:52 EST'), ('markus_keller', '2005-12-07 05:08:24 EST', 'martinae'), ('[refactoring] IndexOutOfBoundsException in Change Method Signature', '2005-12-07 05:08:24 EST', 'martinae'), ('RESOLVED', '2005-12-07 09:08:26 EST', 'markus.kell.r'), ('FIXED', '2005-12-07 09:08:26 EST', 'markus.kell.r'), ('3.2 M4', '2005-12-07 09:08:26 EST', 'markus.kell.r'), ('VERIFIED', '2005-12-13 05:38:36 EST', 'eclipsetalk2')]</t>
  </si>
  <si>
    <t>2005-12-09 09:01:33 EST</t>
  </si>
  <si>
    <t>2005-12-13 09:35:34 EST</t>
  </si>
  <si>
    <t>2005-12-07 13:39 EST</t>
  </si>
  <si>
    <t>2005-12-09 08:53:42 EST</t>
  </si>
  <si>
    <t>[('CREATED', '2005-12-07 13:39 EST'), ('tobias_widmer', '2005-12-09 08:53:42 EST', 'martinae'), ('3.2 M4', '2005-12-09 08:53:42 EST', 'martinae'), ('RESOLVED', '2005-12-09 09:01:33 EST', 'tobias_widmer'), ('FIXED', '2005-12-09 09:01:33 EST', 'tobias_widmer'), ('[ltk][refactoring] org.eclipse.ltk.core.refactoring.participants.IParticipantDesciptorFilter has a spelling error', '2005-12-09 09:01:33 EST', 'tobias_widmer'), ('markus_keller', '2005-12-13 08:41:37 EST', 'eclipsetalk2'), ('VERIFIED', '2005-12-13 09:35:34 EST', 'markus.kell.r')]</t>
  </si>
  <si>
    <t>RESOLVED  DUPLICATE  of bug 119822</t>
  </si>
  <si>
    <t>2005-12-08 03:51:48 EST</t>
  </si>
  <si>
    <t>2005-12-07 14:45 EST</t>
  </si>
  <si>
    <t>[('CREATED', '2005-12-07 14:45 EST'), ('RESOLVED', '2005-12-08 03:51:48 EST', 'markus.kell.r'), ('DUPLICATE', '2005-12-08 03:51:48 EST', 'markus.kell.r')]</t>
  </si>
  <si>
    <t>2005-12-11 04:54:53 EST</t>
  </si>
  <si>
    <t>2005-12-07 17:48 EST</t>
  </si>
  <si>
    <t>[('CREATED', '2005-12-07 17:48 EST'), ('RESOLVED', '2005-12-11 04:54:53 EST', 'martinae'), ('WONTFIX', '2005-12-11 04:54:53 EST', 'martinae')]</t>
  </si>
  <si>
    <t>119717 (view as bug list)</t>
  </si>
  <si>
    <t>2005-12-08 04:57:08 EST</t>
  </si>
  <si>
    <t>2005-12-13 03:47:51 EST</t>
  </si>
  <si>
    <t>2005-12-08 03:06 EST</t>
  </si>
  <si>
    <t>2005-12-08 03:10:57 EST</t>
  </si>
  <si>
    <t>[('CREATED', '2005-12-08 03:06 EST'), ('tobias_widmer', '2005-12-08 03:10:57 EST', 'dirk_baeumer'), ('blocker', '2005-12-08 03:10:57 EST', 'dirk_baeumer'), ('P2', '2005-12-08 03:10:57 EST', 'dirk_baeumer'), ('[refactoring] NPE in when switching to refactoring preview page', '2005-12-08 03:10:57 EST', 'dirk_baeumer'), ('markus_keller', '2005-12-08 03:51:48 EST', 'markus.kell.r'), ('3.2 M4', '2005-12-08 04:06:00 EST', 'markus.kell.r'), ('RESOLVED', '2005-12-08 04:57:08 EST', 'tobias_widmer'), ('FIXED', '2005-12-08 04:57:08 EST', 'tobias_widmer'), ('VERIFIED', '2005-12-13 03:47:51 EST', 'markus.kell.r')]</t>
  </si>
  <si>
    <t>2006-02-06 14:37:54 EST</t>
  </si>
  <si>
    <t>2005-12-08 14:13 EST</t>
  </si>
  <si>
    <t>2005-12-09 09:58:07 EST</t>
  </si>
  <si>
    <t>[('CREATED', '2005-12-08 14:13 EST'), ('tobias_widmer', '2005-12-09 09:58:07 EST', 'martinae'), ('major', '2005-12-09 10:11:28 EST', 'valentam'), ('3.2 M5', '2005-12-09 10:25:20 EST', 'tobias_widmer'), ('normal', '2005-12-09 10:38:12 EST', 'valentam'), ('Make incoming Java files in-sync after catching up to a rafactoring', '2005-12-09 10:38:12 EST', 'valentam'), ('RESOLVED', '2006-02-06 14:37:54 EST', 'tobias_widmer'), ('FIXED', '2006-02-06 14:37:54 EST', 'tobias_widmer')]</t>
  </si>
  <si>
    <t>289855 (view as bug list)</t>
  </si>
  <si>
    <t>2005-12-11 04:58:28 EST</t>
  </si>
  <si>
    <t>2005-12-09 05:21 EST</t>
  </si>
  <si>
    <t>2005-12-09 08:16:09 EST</t>
  </si>
  <si>
    <t>2009-10-05 14:09:32 EDT</t>
  </si>
  <si>
    <t>[('CREATED', '2005-12-09 05:21 EST'), ('JDT', '2005-12-09 08:16:09 EST', 'eclipse'), ('jdt-ui-inbox', '2005-12-09 08:16:09 EST', 'eclipse'), ('UI', '2005-12-09 08:16:09 EST', 'eclipse'), ('[dnd] Moving packages by dragging', '2005-12-09 10:02:55 EST', 'martinae'), ('RESOLVED', '2005-12-11 04:58:28 EST', 'martinae'), ('WONTFIX', '2005-12-11 04:58:28 EST', 'martinae'), ('p.rader', '2009-10-05 14:09:32 EDT', 'markus.kell.r')]</t>
  </si>
  <si>
    <t>2006-02-10 04:33:40 EST</t>
  </si>
  <si>
    <t>2006-02-14 06:07:05 EST</t>
  </si>
  <si>
    <t>2005-12-09 17:26 EST</t>
  </si>
  <si>
    <t>2005-12-11 04:59:58 EST</t>
  </si>
  <si>
    <t>[('CREATED', '2005-12-09 17:26 EST'), ('[performance] huge memory usage when large file selected in package explorer', '2005-12-11 04:59:58 EST', 'martinae'), ('3.2 M5', '2005-12-11 04:59:58 EST', 'martinae'), ('daniel.megert', '2005-12-12 06:18:58 EST', 'daniel_megert'), ('benno_baumgartner', '2006-02-06 09:55:19 EST', 'martinae'), ('RESOLVED', '2006-02-10 04:33:40 EST', 'benno.baumgartner'), ('FIXED', '2006-02-10 04:33:40 EST', 'benno.baumgartner'), ('VERIFIED', '2006-02-14 06:07:05 EST', 'daniel_megert')]</t>
  </si>
  <si>
    <t>2020-02-23 14:13:43 EST</t>
  </si>
  <si>
    <t>2005-12-11 12:22 EST</t>
  </si>
  <si>
    <t>2006-06-23 08:18:26 EDT</t>
  </si>
  <si>
    <t>[('CREATED', '2005-12-11 12:22 EST'), ('tobias_widmer', '2006-06-23 08:18:26 EDT', 'martinae'), ('ASSIGNED', '2006-06-23 08:21:04 EDT', 'tobias_widmer'), ('3.3', '2006-06-23 08:21:04 EDT', 'tobias_widmer'), ('P2', '2007-02-16 04:10:38 EST', 'martinae'), ('jdt-ui-inbox', '2007-04-23 03:50:18 EDT', 'tobias_widmer'), ('NEW', '2007-04-23 03:50:18 EDT', 'tobias_widmer'), ('3.4', '2007-04-23 03:50:18 EDT', 'tobias_widmer'), ('P3', '2008-04-23 11:10:36 EDT', 'martinae'), ('---', '2008-04-23 11:10:36 EDT', 'martinae'), ('martin_aeschlimann', '2008-04-23 11:10:36 EDT', 'martinae'), ('daniel_megert', '2008-10-28 07:50:09 EDT', 'daniel_megert'), ('ASSIGNED', '2008-10-28 07:50:09 EDT', 'daniel_megert'), ('CLOSED', '2020-02-23 14:13:43 EST', 'genie'), ('stalebug', '2020-02-23 14:13:43 EST', 'genie'), ('WONTFIX', '2020-02-23 14:13:43 EST', 'genie')]</t>
  </si>
  <si>
    <t>2007-04-23 03:44:07 EDT</t>
  </si>
  <si>
    <t>2007-05-02 11:28:51 EDT</t>
  </si>
  <si>
    <t>2006-06-23 08:18:43 EDT</t>
  </si>
  <si>
    <t>[('CREATED', '2005-12-11 12:22 EST'), ('tobias_widmer', '2006-06-23 08:18:43 EDT', 'martinae'), ('ASSIGNED', '2006-06-23 08:21:45 EDT', 'tobias_widmer'), ('3.3', '2006-06-23 08:21:45 EDT', 'tobias_widmer'), ('P2', '2007-02-16 04:10:19 EST', 'martinae'), ('RESOLVED', '2007-04-23 03:44:07 EDT', 'tobias_widmer'), ('FIXED', '2007-04-23 03:44:07 EDT', 'tobias_widmer'), ('3.3 M7', '2007-04-23 03:44:07 EDT', 'tobias_widmer'), ('VERIFIED', '2007-05-02 11:28:51 EDT', 'benno.baumgartner')]</t>
  </si>
  <si>
    <t>2006-04-12 04:39:30 EDT</t>
  </si>
  <si>
    <t>2005-12-13 09:24:43 EST</t>
  </si>
  <si>
    <t>2005-12-12 14:36 EST</t>
  </si>
  <si>
    <t>2005-12-12 15:36:05 EST</t>
  </si>
  <si>
    <t>[('CREATED', '2005-12-12 14:36 EST'), ('martin_aeschlimann', '2005-12-12 15:36:05 EST', 'martinae'), ('tobias_widmer', '2005-12-12 15:36:05 EST', 'martinae'), ('RESOLVED', '2005-12-13 05:42:56 EST', 'tobias_widmer'), ('DUPLICATE', '2005-12-13 05:42:56 EST', 'tobias_widmer'), ('REOPENED', '2005-12-13 09:24:43 EST', 'tobias_widmer'), ('---', '2005-12-13 09:24:43 EST', 'tobias_widmer'), ('3.2 M5', '2005-12-13 09:26:58 EST', 'tobias_widmer'), ('3.2 M6', '2006-02-15 02:12:44 EST', 'martinae'), ('3.1 RC1', '2006-03-29 03:54:41 EST', 'tobias_widmer'), ('3.2 RC1', '2006-03-29 07:09:12 EST', 'tobias_widmer'), ('RESOLVED', '2006-04-12 04:39:30 EDT', 'tobias_widmer'), ('FIXED', '2006-04-12 04:39:30 EDT', 'tobias_widmer')]</t>
  </si>
  <si>
    <t>2006-01-06 08:36:36 EST</t>
  </si>
  <si>
    <t>2005-12-13 05:03 EST</t>
  </si>
  <si>
    <t>2005-12-13 05:14:42 EST</t>
  </si>
  <si>
    <t>2006-02-15 07:10:52 EST</t>
  </si>
  <si>
    <t>Konstantin.Scheglov</t>
  </si>
  <si>
    <t>[('CREATED', '2005-12-13 05:03 EST'), ('daniel.megert', '2005-12-13 05:14:42 EST', 'daniel_megert'), ('Invoking Clean-Up inside editor behaves unexpected', '2005-12-13 10:29:22 EST', 'eclipsetalk2'), ('eclipse', '2005-12-13 10:42:16 EST', 'eclipse'), ('[clean up] inside editor behaves unexpected', '2005-12-13 16:33:46 EST', 'martinae'), ('benno_baumgartner', '2005-12-13 16:33:46 EST', 'martinae'), ('martin_aeschlimann', '2005-12-14 05:31:53 EST', 'benno.baumgartner'), ('ASSIGNED', '2005-12-14 05:31:53 EST', 'benno.baumgartner'), ('markus_keller', '2005-12-14 05:32:40 EST', 'benno.baumgartner'), ('RESOLVED', '2006-01-06 08:36:36 EST', 'benno.baumgartner'), ('FIXED', '2006-01-06 08:36:36 EST', 'benno.baumgartner'), ('3.2 M5', '2006-01-06 08:36:36 EST', 'benno.baumgartner'), ('scheglov_ke', '2006-02-15 07:10:52 EST', 'Konstantin.Scheglov')]</t>
  </si>
  <si>
    <t>2006-01-04 05:54:05 EST</t>
  </si>
  <si>
    <t>2005-12-13 06:46 EST</t>
  </si>
  <si>
    <t>2005-12-13 06:46:55 EST</t>
  </si>
  <si>
    <t>[('CREATED', '2005-12-13 06:46 EST'), ('UI', '2005-12-13 06:46:55 EST', 'eclipsetalk2'), ('JDT', '2005-12-13 06:46:55 EST', 'eclipsetalk2'), ('jdt-ui-inbox', '2005-12-13 06:50:12 EST', 'markus.kell.r'), ('[build path] Editing external source folder does not persist', '2005-12-13 08:18:13 EST', 'martinae'), ('benno_baumgartner', '2005-12-13 08:18:38 EST', 'martinae'), ('RESOLVED', '2006-01-04 05:54:05 EST', 'benno.baumgartner'), ('FIXED', '2006-01-04 05:54:05 EST', 'benno.baumgartner'), ('3.2 M5', '2006-01-04 05:54:05 EST', 'benno.baumgartner')]</t>
  </si>
  <si>
    <t>CLOSED  DUPLICATE  of bug 150561</t>
  </si>
  <si>
    <t>2010-01-25 08:38:02 EST</t>
  </si>
  <si>
    <t>2005-12-13 10:29 EST</t>
  </si>
  <si>
    <t>2005-12-13 10:47:14 EST</t>
  </si>
  <si>
    <t>[('CREATED', '2005-12-13 10:29 EST'), ('frederic_fusier', '2005-12-13 10:47:14 EST', 'frederic_fusier'), ('tobias_widmer', '2005-12-13 16:34:46 EST', 'martinae'), ('[reorg] move does not correctly qualify static members [refactoring]', '2006-05-29 08:08:29 EDT', 'tobias_widmer'), ('jdt-ui-inbox', '2007-06-14 10:47:33 EDT', 'martinae'), ('CLOSED', '2010-01-25 08:38:02 EST', 'markus.kell.r'), ('markus_keller', '2010-01-25 08:38:02 EST', 'markus.kell.r'), ('DUPLICATE', '2010-01-25 08:38:02 EST', 'markus.kell.r')]</t>
  </si>
  <si>
    <t>2006-01-16 12:24:26 EST</t>
  </si>
  <si>
    <t>2005-12-13 11:26 EST</t>
  </si>
  <si>
    <t>2005-12-13 12:01:03 EST</t>
  </si>
  <si>
    <t>[('CREATED', '2005-12-13 11:26 EST'), ('tobias_widmer', '2005-12-13 12:01:03 EST', 'tobias_widmer'), ('3.2 M5', '2005-12-13 12:01:03 EST', 'tobias_widmer'), ('RESOLVED', '2006-01-16 12:24:26 EST', 'tobias_widmer'), ('FIXED', '2006-01-16 12:24:26 EST', 'tobias_widmer')]</t>
  </si>
  <si>
    <t>2006-01-16 12:25:51 EST</t>
  </si>
  <si>
    <t>2005-12-13 11:30 EST</t>
  </si>
  <si>
    <t>2005-12-13 12:02:26 EST</t>
  </si>
  <si>
    <t>[('CREATED', '2005-12-13 11:30 EST'), ('tobias_widmer', '2005-12-13 12:02:26 EST', 'tobias_widmer'), ('3.2 M5', '2005-12-13 12:02:26 EST', 'tobias_widmer'), ('RESOLVED', '2006-01-16 12:25:51 EST', 'tobias_widmer'), ('FIXED', '2006-01-16 12:25:51 EST', 'tobias_widmer')]</t>
  </si>
  <si>
    <t>2005-12-13 12:37:01 EST</t>
  </si>
  <si>
    <t>2005-12-14 11:33:18 EST</t>
  </si>
  <si>
    <t>2005-12-13 11:32 EST</t>
  </si>
  <si>
    <t>2005-12-13 11:36:42 EST</t>
  </si>
  <si>
    <t>[('CREATED', '2005-12-13 11:32 EST'), ('tobias_widmer', '2005-12-13 11:36:42 EST', 'tobias_widmer'), ('override ResourceMapping#getModelProviderId RefactoringDescriptor/RefactoringHistoryResourceMapping should', '2005-12-13 11:36:42 EST', 'tobias_widmer'), ('3.2 M5', '2005-12-13 11:36:42 EST', 'tobias_widmer'), ('martin_aeschlimann', '2005-12-13 11:55:23 EST', 'tobias_widmer'), ('3.2 M4', '2005-12-13 11:55:23 EST', 'tobias_widmer'), ('[refactoring] Refactoring History resource mappings should override getModelProviderId()', '2005-12-13 12:19:16 EST', 'tobias_widmer'), ('RESOLVED', '2005-12-13 12:37:01 EST', 'tobias_widmer'), ('FIXED', '2005-12-13 12:37:01 EST', 'tobias_widmer'), ('markus_keller', '2005-12-14 10:08:46 EST', 'eclipsetalk2'), ('VERIFIED', '2005-12-14 11:33:18 EST', 'markus.kell.r')]</t>
  </si>
  <si>
    <t>2005-12-14 03:56:10 EST</t>
  </si>
  <si>
    <t>2005-12-14 11:02:29 EST</t>
  </si>
  <si>
    <t>2005-12-13 11:38 EST</t>
  </si>
  <si>
    <t>2005-12-13 11:42:50 EST</t>
  </si>
  <si>
    <t>[('CREATED', '2005-12-13 11:38 EST'), ('tobias_widmer', '2005-12-13 11:42:50 EST', 'tobias_widmer'), ('[jar import] Fatal errors when renaming fields in external jar', '2005-12-13 11:42:50 EST', 'tobias_widmer'), ('3.2 M4', '2005-12-13 12:57:56 EST', 'tobias_widmer'), ('martin_aeschlimann', '2005-12-13 13:02:13 EST', 'tobias_widmer'), ('RESOLVED', '2005-12-14 03:56:10 EST', 'tobias_widmer'), ('FIXED', '2005-12-14 03:56:10 EST', 'tobias_widmer'), ('VERIFIED', '2005-12-14 11:02:29 EST', 'eclipsetalk2')]</t>
  </si>
  <si>
    <t>RESOLVED  DUPLICATE  of bug 97411</t>
  </si>
  <si>
    <t>2005-12-14 11:24:23 EST</t>
  </si>
  <si>
    <t>2005-12-13 12:31 EST</t>
  </si>
  <si>
    <t>2005-12-13 12:40:47 EST</t>
  </si>
  <si>
    <t>[('CREATED', '2005-12-13 12:31 EST'), ('jdt-ui-inbox', '2005-12-13 12:40:47 EST', 'jerome_lanneluc'), ('UI', '2005-12-13 12:40:47 EST', 'jerome_lanneluc'), ('[refactoring] modifying a serializable inner class breaks (de)serialization', '2005-12-13 16:58:46 EST', 'martinae'), ('markus_keller', '2005-12-13 16:58:46 EST', 'martinae'), ('tobias_widmer', '2005-12-13 16:58:46 EST', 'martinae'), ('3.2 M5', '2005-12-14 04:09:46 EST', 'tobias_widmer'), ('RESOLVED', '2005-12-14 11:24:23 EST', 'tobias_widmer'), ('DUPLICATE', '2005-12-14 11:24:23 EST', 'tobias_widmer')]</t>
  </si>
  <si>
    <t>RESOLVED  DUPLICATE  of bug 117698</t>
  </si>
  <si>
    <t>2007-02-16 04:33:25 EST</t>
  </si>
  <si>
    <t>2005-12-13 15:41 EST</t>
  </si>
  <si>
    <t>2005-12-14 03:48:06 EST</t>
  </si>
  <si>
    <t>[('CREATED', '2005-12-13 15:41 EST'), ('platform-resources-inbox', '2005-12-14 03:48:06 EST', 'frederic_fusier'), ('Resources', '2005-12-14 03:48:06 EST', 'frederic_fusier'), ('Platform', '2005-12-14 03:48:06 EST', 'frederic_fusier'), ('jdt-core-inbox', '2005-12-14 03:58:26 EST', 'frederic_fusier'), ('Core', '2005-12-14 03:58:26 EST', 'frederic_fusier'), ('JDT', '2005-12-14 03:58:26 EST', 'frederic_fusier'), ('jdt-ui-inbox', '2005-12-14 04:22:52 EST', 'frederic_fusier'), ('UI', '2005-12-14 04:22:52 EST', 'frederic_fusier'), ('tobias_widmer', '2005-12-14 09:23:57 EST', 'martinae'), ('[reorg] exception in error log when moving java class between packages [refactoring]', '2006-05-29 08:09:11 EDT', 'tobias_widmer'), ('RESOLVED', '2007-02-16 04:33:25 EST', 'martinae'), ('DUPLICATE', '2007-02-16 04:33:25 EST', 'martinae')]</t>
  </si>
  <si>
    <t>2005-12-14 11:22:59 EST</t>
  </si>
  <si>
    <t>2005-12-14 02:19 EST</t>
  </si>
  <si>
    <t>2005-12-14 02:20:13 EST</t>
  </si>
  <si>
    <t>[('CREATED', '2005-12-14 02:19 EST'), ('Code can run into NPE after Rafactor &gt; Extract Local Variable...', '2005-12-14 02:20:13 EST', 'daniel_megert'), ('markus_keller', '2005-12-14 09:19:37 EST', 'martinae'), ('RESOLVED', '2005-12-14 11:22:59 EST', 'markus.kell.r'), ('DUPLICATE', '2005-12-14 11:22:59 EST', 'markus.kell.r')]</t>
  </si>
  <si>
    <t>2005-12-14 05:19 EST</t>
  </si>
  <si>
    <t>2006-02-09 11:39:03 EST</t>
  </si>
  <si>
    <t>2019-10-12 03:38:23 EDT</t>
  </si>
  <si>
    <t>[('CREATED', '2005-12-14 05:19 EST'), ('3.2 M6', '2006-02-09 11:39:03 EST', 'markus.kell.r'), ('ASSIGNED', '2006-03-20 13:23:49 EST', 'markus.kell.r'), ('---', '2006-03-20 13:23:49 EST', 'markus.kell.r'), ('stalebug', '2019-10-12 03:38:23 EDT', 'genie')]</t>
  </si>
  <si>
    <t>2005-12-14 08:58:03 EST</t>
  </si>
  <si>
    <t>2005-12-15 05:13:33 EST</t>
  </si>
  <si>
    <t>2005-12-14 05:45 EST</t>
  </si>
  <si>
    <t>2005-12-14 07:08:31 EST</t>
  </si>
  <si>
    <t>[('CREATED', '2005-12-14 05:45 EST'), ('1', '2005-12-14 07:08:31 EST', 'tobias_widmer'), ('1', '2005-12-14 08:27:24 EST', 'tobias_widmer'), ('martin_aeschlimann', '2005-12-14 08:27:51 EST', 'tobias_widmer'), ('tobias_widmer', '2005-12-14 08:27:51 EST', 'tobias_widmer'), ('3.2 M4', '2005-12-14 08:27:51 EST', 'tobias_widmer'), ('RESOLVED', '2005-12-14 08:58:03 EST', 'tobias_widmer'), ('FIXED', '2005-12-14 08:58:03 EST', 'tobias_widmer'), ('VERIFIED', '2005-12-15 05:13:33 EST', 'benno.baumgartner')]</t>
  </si>
  <si>
    <t>2005-12-14 10:24:43 EST</t>
  </si>
  <si>
    <t>2005-12-14 06:22 EST</t>
  </si>
  <si>
    <t>2005-12-14 09:25:36 EST</t>
  </si>
  <si>
    <t>[('CREATED', '2005-12-14 06:22 EST'), ('tobias_widmer', '2005-12-14 09:25:36 EST', 'martinae'), ('WORKSFORME', '2005-12-14 10:24:43 EST', 'tobias_widmer'), ('RESOLVED', '2005-12-14 10:24:43 EST', 'tobias_widmer')]</t>
  </si>
  <si>
    <t>2006-03-06 05:46:12 EST</t>
  </si>
  <si>
    <t>2005-12-14 06:27 EST</t>
  </si>
  <si>
    <t>2005-12-14 09:27:06 EST</t>
  </si>
  <si>
    <t>[('CREATED', '2005-12-14 06:27 EST'), ('tobias_widmer', '2005-12-14 09:27:06 EST', 'martinae'), ('RESOLVED', '2006-03-06 05:46:12 EST', 'tobias_widmer'), ('WORKSFORME', '2006-03-06 05:46:12 EST', 'tobias_widmer')]</t>
  </si>
  <si>
    <t>2006-02-17 11:50:34 EST</t>
  </si>
  <si>
    <t>2005-12-14 06:39 EST</t>
  </si>
  <si>
    <t>2005-12-14 09:28:33 EST</t>
  </si>
  <si>
    <t>[('CREATED', '2005-12-14 06:39 EST'), ('tobias_widmer', '2005-12-14 09:28:33 EST', 'martinae'), ('jdt-core-inbox', '2006-02-16 06:20:06 EST', 'tobias_widmer'), ('jdt-ui-inbox', '2006-02-16 11:00:26 EST', 'jerome_lanneluc'), ('jdt-core-inbox', '2006-02-16 11:05:10 EST', 'tobias_widmer'), ('Core', '2006-02-16 11:05:10 EST', 'tobias_widmer'), ('frederic_fusier', '2006-02-16 11:07:41 EST', 'frederic_fusier'), ('jdt-ui-inbox', '2006-02-16 11:07:41 EST', 'frederic_fusier'), ('UI', '2006-02-16 11:07:41 EST', 'frederic_fusier'), ('jdt-core-inbox', '2006-02-16 12:01:34 EST', 'tobias_widmer'), ('Core', '2006-02-16 12:01:34 EST', 'tobias_widmer'), ('UI', '2006-02-16 12:24:07 EST', 'frederic_fusier'), ('jerome_lanneluc', '2006-02-16 12:24:49 EST', 'frederic_fusier'), ('[hierarchy] Jar Export/Import with refactorings fails when renaming type and similar elements', '2006-02-16 12:24:49 EST', 'frederic_fusier'), ('jdt-ui-inbox', '2006-02-16 12:52:51 EST', 'jerome_lanneluc'), ('tobias_widmer', '2006-02-17 03:30:20 EST', 'tobias_widmer'), ('jerome_lanneluc', '2006-02-17 05:44:38 EST', 'frederic_fusier'), ('RESOLVED', '2006-02-17 11:50:34 EST', 'tobias_widmer'), ('FIXED', '2006-02-17 11:50:34 EST', 'tobias_widmer'), ('3.2 M6', '2006-02-17 11:50:34 EST', 'tobias_widmer')]</t>
  </si>
  <si>
    <t>2006-01-09 06:52:27 EST</t>
  </si>
  <si>
    <t>2005-12-14 06:56 EST</t>
  </si>
  <si>
    <t>2005-12-14 09:29:22 EST</t>
  </si>
  <si>
    <t>[('CREATED', '2005-12-14 06:56 EST'), ('tobias_widmer', '2005-12-14 09:29:22 EST', 'martinae'), ('3.2 M5', '2005-12-14 10:36:11 EST', 'tobias_widmer'), ('RESOLVED', '2006-01-09 06:52:27 EST', 'tobias_widmer'), ('FIXED', '2006-01-09 06:52:27 EST', 'tobias_widmer')]</t>
  </si>
  <si>
    <t>2005-12-14 11:29:08 EST</t>
  </si>
  <si>
    <t>2005-12-14 08:03 EST</t>
  </si>
  <si>
    <t>[('CREATED', '2005-12-14 08:03 EST'), ('enhancement', '2005-12-14 11:29:08 EST', 'martinae'), ('RESOLVED', '2005-12-14 11:29:08 EST', 'martinae'), ('LATER', '2005-12-14 11:29:08 EST', 'martinae'), ('WONTFIX', '2009-08-30 02:13:55 EDT', 'denis.roy')]</t>
  </si>
  <si>
    <t>2006-07-17 12:10:18 EDT</t>
  </si>
  <si>
    <t>2005-12-14 11:22 EST</t>
  </si>
  <si>
    <t>2006-05-29 08:09:58 EDT</t>
  </si>
  <si>
    <t>[('CREATED', '2005-12-14 11:22 EST'), ('[push down][pull up] should not move writeObject() and readObject() [refactoring]', '2006-05-29 08:09:58 EDT', 'tobias_widmer'), ('RESOLVED', '2006-07-17 12:10:18 EDT', 'tobias_widmer'), ('WONTFIX', '2006-07-17 12:10:18 EDT', 'tobias_widmer')]</t>
  </si>
  <si>
    <t>2005-12-21 04:37:57 EST</t>
  </si>
  <si>
    <t>2005-12-15 04:53 EST</t>
  </si>
  <si>
    <t>2005-12-15 05:10:23 EST</t>
  </si>
  <si>
    <t>[('CREATED', '2005-12-15 04:53 EST'), ('tobias_widmer', '2005-12-15 05:10:23 EST', 'benno.baumgartner'), ('ASSIGNED', '2005-12-15 05:52:17 EST', 'tobias_widmer'), ('[jar import] Misleading error message because of potential changes', '2005-12-15 05:52:17 EST', 'tobias_widmer'), ('3.2 M5', '2005-12-15 05:52:17 EST', 'tobias_widmer'), ('RESOLVED', '2005-12-21 04:37:57 EST', 'tobias_widmer'), ('FIXED', '2005-12-21 04:37:57 EST', 'tobias_widmer')]</t>
  </si>
  <si>
    <t>127667 (view as bug list)</t>
  </si>
  <si>
    <t>2006-02-24 11:00:21 EST</t>
  </si>
  <si>
    <t>2005-12-15 05:16 EST</t>
  </si>
  <si>
    <t>2005-12-15 05:52:35 EST</t>
  </si>
  <si>
    <t>[('CREATED', '2005-12-15 05:16 EST'), ('3.2 M5', '2005-12-15 05:52:35 EST', 'tobias_widmer'), ('3.2 M6', '2006-02-13 09:51:47 EST', 'tobias_widmer'), ('benno_baumgartner', '2006-02-14 06:37:58 EST', 'tobias_widmer'), ('RESOLVED', '2006-02-24 11:00:21 EST', 'tobias_widmer'), ('FIXED', '2006-02-24 11:00:21 EST', 'tobias_widmer')]</t>
  </si>
  <si>
    <t>2020-03-30 20:05:49 EDT</t>
  </si>
  <si>
    <t>2005-12-15 14:15 EST</t>
  </si>
  <si>
    <t>2005-12-16 03:34:09 EST</t>
  </si>
  <si>
    <t>[('CREATED', '2005-12-15 14:15 EST'), ('tobias_widmer', '2005-12-16 03:34:09 EST', 'tobias_widmer'), ('[ltk][refactoring] Preview filter: unchecking element in filtered tree should not uncheck hidden children', '2005-12-16 03:34:09 EST', 'tobias_widmer'), ('3.2 M5', '2005-12-16 03:34:09 EST', 'tobias_widmer'), ('3.2 M6', '2006-02-06 14:35:27 EST', 'tobias_widmer'), ('3.2', '2006-03-28 03:44:24 EST', 'tobias_widmer'), ('ASSIGNED', '2006-04-27 04:45:39 EDT', 'tobias_widmer'), ('3.3', '2006-04-27 04:45:39 EDT', 'tobias_widmer'), ('[ltk] unchecking element in filtered change tree should not uncheck hidden children [refactoring]', '2006-05-29 05:26:24 EDT', 'tobias_widmer'), ('---', '2007-04-30 06:51:01 EDT', 'tobias_widmer'), ('jdt-ui-inbox', '2007-06-14 10:44:32 EDT', 'martinae'), ('NEW', '2007-06-14 10:44:32 EDT', 'martinae'), ('stalebug', '2020-03-30 20:05:49 EDT', 'genie'), ('WONTFIX', '2020-03-30 20:05:49 EDT', 'genie'), ('CLOSED', '2020-03-30 20:05:49 EDT', 'genie')]</t>
  </si>
  <si>
    <t>2005-12-21 04:34:46 EST</t>
  </si>
  <si>
    <t>2005-12-16 08:15 EST</t>
  </si>
  <si>
    <t>[('CREATED', '2005-12-16 08:15 EST'), ('RESOLVED', '2005-12-21 04:34:46 EST', 'tobias_widmer'), ('FIXED', '2005-12-21 04:34:46 EST', 'tobias_widmer')]</t>
  </si>
  <si>
    <t>2006-01-04 10:56:36 EST</t>
  </si>
  <si>
    <t>2009-08-30 02:05:14 EDT</t>
  </si>
  <si>
    <t>2005-12-16 21:18 EST</t>
  </si>
  <si>
    <t>2006-01-04 06:24:19 EST</t>
  </si>
  <si>
    <t>[('CREATED', '2005-12-16 21:18 EST'), ('jdt-ui-inbox', '2006-01-04 06:24:19 EST', 'jerome_lanneluc'), ('UI', '2006-01-04 06:24:19 EST', 'jerome_lanneluc'), ('RESOLVED', '2006-01-04 10:56:36 EST', 'martinae'), ('REMIND', '2006-01-04 10:56:36 EST', 'martinae'), ('Mac OS X', '2007-07-29 09:18:39 EDT', 'webmaster'), ('needinfo', '2009-08-30 02:05:14 EDT', 'denis.roy'), ('INVALID', '2009-08-30 02:05:14 EDT', 'denis.roy')]</t>
  </si>
  <si>
    <t>2020-04-15 11:39:05 EDT</t>
  </si>
  <si>
    <t>2005-12-19 08:58 EST</t>
  </si>
  <si>
    <t>2005-12-19 09:00:17 EST</t>
  </si>
  <si>
    <t>[('CREATED', '2005-12-19 08:58 EST'), ('jdt-ui-inbox', '2005-12-19 09:00:17 EST', 'daniel_megert'), ('UI', '2005-12-19 09:00:17 EST', 'daniel_megert'), ('tobias_widmer', '2005-12-19 09:06:20 EST', 'tobias_widmer'), ('refactor/move dialog should handle working sets', '2006-01-17 04:11:20 EST', 'tobias.schwarz'), ('[reorg] move dialog should handle working sets [refactoring]', '2006-05-29 08:10:25 EDT', 'tobias_widmer'), ('jdt-ui-inbox', '2007-06-14 10:47:30 EDT', 'martinae'), ('stalebug', '2020-04-15 11:39:05 EDT', 'genie'), ('CLOSED', '2020-04-15 11:39:05 EDT', 'genie'), ('WONTFIX', '2020-04-15 11:39:05 EDT', 'genie')]</t>
  </si>
  <si>
    <t>2006-01-06 06:07:18 EST</t>
  </si>
  <si>
    <t>2005-12-22 04:16 EST</t>
  </si>
  <si>
    <t>[('CREATED', '2005-12-22 04:16 EST'), ('RESOLVED', '2006-01-06 06:07:18 EST', 'benno.baumgartner'), ('FIXED', '2006-01-06 06:07:18 EST', 'benno.baumgartner')]</t>
  </si>
  <si>
    <t>2005-12-22 08:08:17 EST</t>
  </si>
  <si>
    <t>2005-12-22 08:04 EST</t>
  </si>
  <si>
    <t>[('CREATED', '2005-12-22 08:04 EST'), ('RESOLVED', '2005-12-22 08:08:17 EST', 'benno.baumgartner'), ('FIXED', '2005-12-22 08:08:17 EST', 'benno.baumgartner')]</t>
  </si>
  <si>
    <t>127642 (view as bug list)</t>
  </si>
  <si>
    <t>2006-03-22 13:58:54 EST</t>
  </si>
  <si>
    <t>2005-12-22 08:23 EST</t>
  </si>
  <si>
    <t>2005-12-22 13:16:20 EST</t>
  </si>
  <si>
    <t>[('CREATED', '2005-12-22 08:23 EST'), ('ASSIGNED', '2005-12-22 13:16:20 EST', 'benno.baumgartner'), ('[build path] refactoring of build path code (simplify, code sharing)', '2005-12-22 13:16:20 EST', 'benno.baumgartner'), ('3.2 M6', '2006-02-15 09:49:27 EST', 'benno.baumgartner'), ('eclipse', '2006-02-15 09:50:18 EST', 'benno.baumgartner'), ('RESOLVED', '2006-03-22 13:58:54 EST', 'benno.baumgartner'), ('FIXED', '2006-03-22 13:58:54 EST', 'benno.baumgartner')]</t>
  </si>
  <si>
    <t>101475 (view as bug list)</t>
  </si>
  <si>
    <t>2006-01-05 04:55:30 EST</t>
  </si>
  <si>
    <t>2005-12-29 08:56 EST</t>
  </si>
  <si>
    <t>2006-01-04 08:55:31 EST</t>
  </si>
  <si>
    <t>2006-08-03 09:42:35 EDT</t>
  </si>
  <si>
    <t>[('CREATED', '2005-12-29 08:56 EST'), ('dirk_baeumer', '2006-01-04 08:55:31 EST', 'martinae'), ('[working sets] JME while trying to delete missing project', '2006-01-04 08:55:31 EST', 'martinae'), ('---', '2006-01-04 08:55:31 EST', 'martinae'), ('FIXED', '2006-01-05 04:55:30 EST', 'dirk_baeumer'), ('3.2 M5', '2006-01-05 04:55:30 EST', 'dirk_baeumer'), ('RESOLVED', '2006-01-05 04:55:30 EST', 'dirk_baeumer'), ('pwebster', '2006-08-03 09:42:35 EDT', 'martinae')]</t>
  </si>
  <si>
    <t>2006-01-04 09:09:09 EST</t>
  </si>
  <si>
    <t>2009-08-30 02:09:10 EDT</t>
  </si>
  <si>
    <t>2005-12-29 21:05 EST</t>
  </si>
  <si>
    <t>[('CREATED', '2005-12-29 21:05 EST'), ('RESOLVED', '2006-01-04 09:09:09 EST', 'martinae'), ('REMIND', '2006-01-04 09:09:09 EST', 'martinae'), ('needinfo', '2009-08-30 02:09:10 EDT', 'denis.roy'), ('INVALID', '2009-08-30 02:09:10 EDT', 'denis.roy')]</t>
  </si>
  <si>
    <t>2006-01-03 09:41:08 EST</t>
  </si>
  <si>
    <t>2005-12-30 11:49 EST</t>
  </si>
  <si>
    <t>2005-12-30 14:14:31 EST</t>
  </si>
  <si>
    <t>2006-01-03 09:41:21 EST</t>
  </si>
  <si>
    <t>[('CREATED', '2005-12-30 11:49 EST'), ('jdt-ui-inbox', '2005-12-30 14:14:31 EST', 'Olivier_Thomann'), ('UI', '2005-12-30 14:14:31 EST', 'Olivier_Thomann'), ('dirk_baeumer', '2006-01-03 05:10:04 EST', 'dirk_baeumer'), ('RESOLVED', '2006-01-03 09:41:08 EST', 'dirk_baeumer'), ('FIXED', '2006-01-03 09:41:08 EST', 'dirk_baeumer'), ('3.2 M5', '2006-01-03 09:41:21 EST', 'dirk_baeumer')]</t>
  </si>
  <si>
    <t>2006-01-04 09:28:36 EST</t>
  </si>
  <si>
    <t>2006-01-01 14:39 EST</t>
  </si>
  <si>
    <t>2008-02-20 07:21:48 EST</t>
  </si>
  <si>
    <t>[('CREATED', '2006-01-01 14:39 EST'), ('RESOLVED', '2006-01-04 09:28:36 EST', 'martinae'), ('WONTFIX', '2006-01-04 09:28:36 EST', 'martinae'), ('martin_aeschlimann', '2008-02-20 07:21:48 EST', 'martinae')]</t>
  </si>
  <si>
    <t>2006-01-09 07:02:58 EST</t>
  </si>
  <si>
    <t>2006-01-03 04:15 EST</t>
  </si>
  <si>
    <t>2006-01-03 04:36:44 EST</t>
  </si>
  <si>
    <t>[('CREATED', '2006-01-03 04:15 EST'), ('markus_keller', '2006-01-03 04:36:44 EST', 'eclipsetalk2'), ('markus_keller', '2006-01-04 10:43:34 EST', 'martinae'), ('tobias_widmer', '2006-01-04 11:43:14 EST', 'markus.kell.r'), ('RESOLVED', '2006-01-09 07:02:58 EST', 'tobias_widmer'), ('FIXED', '2006-01-09 07:02:58 EST', 'tobias_widmer'), ('3.2 M5', '2006-01-09 07:02:58 EST', 'tobias_widmer')]</t>
  </si>
  <si>
    <t>139969 140264 (view as bug list)</t>
  </si>
  <si>
    <t>2006-06-01 06:11:47 EDT</t>
  </si>
  <si>
    <t>2006-06-02 09:48:48 EDT</t>
  </si>
  <si>
    <t>2006-01-03 04:25 EST</t>
  </si>
  <si>
    <t>2006-01-06 08:37:36 EST</t>
  </si>
  <si>
    <t>[('CREATED', '2006-01-03 04:25 EST'), ('enhancement', '2006-01-06 08:37:36 EST', 'benno.baumgartner'), ('[clean up] [infrastructure] Missing context help', '2006-01-25 14:21:58 EST', 'curtispd'), ('normal', '2006-02-03 15:14:18 EST', 'curtispd'), ('3.2 M6', '2006-02-15 09:58:10 EST', 'benno.baumgartner'), ('ASSIGNED', '2006-02-15 09:58:10 EST', 'benno.baumgartner'), ('jdt-ui-inbox', '2006-02-15 10:22:50 EST', 'benno.baumgartner'), ('NEW', '2006-02-15 10:22:50 EST', 'benno.baumgartner'), ('Missing context help in JDT/UI', '2006-02-15 10:22:50 EST', 'benno.baumgartner'), ('---', '2006-02-15 10:22:50 EST', 'benno.baumgartner'), ('benno_baumgartner', '2006-02-24 05:51:04 EST', 'martinae'), ('3.2 RC2', '2006-04-25 12:04:20 EDT', 'benno.baumgartner'), ('3.2 RC3', '2006-04-27 13:57:47 EDT', 'martinae'), ('---', '2006-04-28 09:43:21 EDT', 'daniel_megert'), ('RC3 candidate', '2006-04-28 12:54:31 EDT', 'daniel_megert'), ('eclipse', '2006-05-03 15:16:56 EDT', 'daniel_megert'), ('eclipse', '2006-05-03 15:18:05 EDT', 'daniel_megert'), ('P4', '2006-05-04 08:44:04 EDT', 'daniel_megert'), ('3.2 RC4', '2006-05-05 09:38:31 EDT', 'daniel_megert'), (nan, '2006-05-05 09:38:39 EDT', 'daniel_megert'), ('markus_keller', '2006-05-12 09:33:16 EDT', 'markus.kell.r'), ('tobias_widmer', '2006-05-12 11:18:57 EDT', 'markus.kell.r'), ('ASSIGNED', '2006-05-12 11:18:57 EDT', 'markus.kell.r'), ('3.2', '2006-05-15 04:18:40 EDT', 'martinae'), ('3.2 RC5', '2006-05-16 05:35:27 EDT', 'markus.kell.r'), ('daniel_megert', '2006-05-18 05:31:46 EDT', 'martinae'), ('1', '2006-05-24 08:34:11 EDT', 'markus.kell.r'), ('1', '2006-05-24 08:34:11 EDT', 'markus.kell.r'), ('3.2 RC7', '2006-05-26 06:20:37 EDT', 'martinae'), ('1', '2006-05-31 10:30:06 EDT', 'benno.baumgartner'), ('philippe_mulet', '2006-05-31 11:49:49 EDT', 'martinae'), ('Darin_Wright', '2006-05-31 11:55:00 EDT', 'martinae'), ('martin_aeschlimann', '2006-05-31 12:09:36 EDT', 'martinae'), ('RESOLVED', '2006-06-01 06:11:47 EDT', 'martinae'), ('FIXED', '2006-06-01 06:11:47 EDT', 'martinae'), ('VERIFIED', '2006-06-02 09:48:48 EDT', 'markus.kell.r')]</t>
  </si>
  <si>
    <t>2006-02-15 10:00:39 EST</t>
  </si>
  <si>
    <t>2006-02-16 04:29:24 EST</t>
  </si>
  <si>
    <t>2006-01-03 16:28 EST</t>
  </si>
  <si>
    <t>2006-01-03 16:38:00 EST</t>
  </si>
  <si>
    <t>[('CREATED', '2006-01-03 16:28 EST'), ('john_arthorne', '2006-01-03 16:38:00 EST', 'john.arthorne'), ('jdt-ui-inbox', '2006-01-03 16:38:00 EST', 'john.arthorne'), ('UI', '2006-01-03 16:38:00 EST', 'john.arthorne'), ('JDT', '2006-01-03 16:38:00 EST', 'john.arthorne'), ('tobias_widmer', '2006-01-04 10:49:54 EST', 'martinae'), ('ASSIGNED', '2006-01-24 16:34:29 EST', 'Michael_Rennie'), ('markus_keller', '2006-02-01 07:08:13 EST', 'markus.kell.r'), ('3.2 M5', '2006-02-01 13:35:43 EST', 'tobias_widmer'), ('martin_aeschlimann', '2006-02-14 12:38:07 EST', 'tobias_widmer'), ('RESOLVED', '2006-02-15 10:00:39 EST', 'tobias_widmer'), ('FIXED', '2006-02-15 10:00:39 EST', 'tobias_widmer'), ('VERIFIED', '2006-02-16 04:29:24 EST', 'benno.baumgartner')]</t>
  </si>
  <si>
    <t>CLOSED  DUPLICATE  of bug 66457</t>
  </si>
  <si>
    <t>2011-02-09 09:11:44 EST</t>
  </si>
  <si>
    <t>2006-01-06 16:58 EST</t>
  </si>
  <si>
    <t>2006-01-09 09:45:21 EST</t>
  </si>
  <si>
    <t>[('CREATED', '2006-01-06 16:58 EST'), ('jdt-ui-inbox', '2006-01-09 09:45:21 EST', 'eclipse'), ('UI', '2006-01-09 09:45:21 EST', 'eclipse'), ('JDT', '2006-01-09 09:45:21 EST', 'eclipse'), ('markus_keller', '2006-01-10 12:39:10 EST', 'martinae'), ('tobias_widmer', '2006-08-03 10:04:15 EDT', 'martinae'), ('[convert local] Comments Eaten When Field Created', '2006-08-03 10:04:15 EDT', 'martinae'), ('jdt-ui-inbox', '2007-06-14 10:42:25 EDT', 'martinae'), ('deepak.azad', '2011-02-09 09:11:44 EST', 'deepakazad'), ('DUPLICATE', '2011-02-09 09:11:44 EST', 'deepakazad'), ('CLOSED', '2011-02-09 09:11:44 EST', 'deepakazad')]</t>
  </si>
  <si>
    <t>2006-01-09 04:56 EST</t>
  </si>
  <si>
    <t>2006-01-10 10:53:07 EST</t>
  </si>
  <si>
    <t>2006-08-07 03:47:11 EDT</t>
  </si>
  <si>
    <t>[('CREATED', '2006-01-09 04:56 EST'), ('markus_keller', '2006-01-10 10:53:07 EST', 'martinae'), ('ASSIGNED', '2006-01-10 11:47:04 EST', 'markus.kell.r'), ('[refactoring] Encapsulate field default access modifier should be public', '2006-01-10 11:47:04 EST', 'markus.kell.r'), ('3.2 M5', '2006-01-10 11:47:04 EST', 'markus.kell.r'), ('3.2 M6', '2006-02-09 11:39:51 EST', 'markus.kell.r'), ('3.2 RC1', '2006-03-27 12:13:47 EST', 'markus.kell.r'), ('3.2 RC2', '2006-04-13 12:18:52 EDT', 'martinae'), ('enhancement', '2006-04-27 13:21:33 EDT', 'markus.kell.r'), ('---', '2006-04-27 13:21:33 EDT', 'markus.kell.r'), ('jdt-ui-inbox', '2006-08-03 12:24:03 EDT', 'martinae'), ('NEW', '2006-08-03 12:24:03 EDT', 'martinae'), ('[encapsulate field] default access modifier should be public', '2006-08-03 12:24:03 EDT', 'martinae'), ('ASSIGNED', '2006-08-07 03:47:11 EDT', 'martinae')]</t>
  </si>
  <si>
    <t>2006-01-09 11:09 EST</t>
  </si>
  <si>
    <t>2006-01-09 11:12:35 EST</t>
  </si>
  <si>
    <t>2007-06-14 10:46:58 EDT</t>
  </si>
  <si>
    <t>[('CREATED', '2006-01-09 11:09 EST'), ('jdt-ui-inbox', '2006-01-09 11:12:35 EST', 'Olivier_Thomann'), ('UI', '2006-01-09 11:12:35 EST', 'Olivier_Thomann'), ('tobias_widmer', '2006-01-10 12:44:57 EST', 'martinae'), ('[refactoring] allow moving a type inside a type', '2006-01-10 12:44:57 EST', 'martinae'), ('[reorg] allow moving a type inside a type [refactoring]', '2006-05-29 08:57:11 EDT', 'tobias_widmer'), ('jdt-ui-inbox', '2007-06-14 10:46:58 EDT', 'martinae')]</t>
  </si>
  <si>
    <t>2006-04-09 19:00:03 EDT</t>
  </si>
  <si>
    <t>2006-01-09 11:57 EST</t>
  </si>
  <si>
    <t>2006-01-10 10:59:24 EST</t>
  </si>
  <si>
    <t>[('CREATED', '2006-01-09 11:57 EST'), ('tobias_widmer', '2006-01-10 10:59:24 EST', 'martinae'), ('markus_keller', '2006-01-11 04:10:17 EST', 'eclipsetalk2'), ('RESOLVED', '2006-04-09 19:00:03 EDT', 'tobias_widmer'), ('FIXED', '2006-04-09 19:00:03 EDT', 'tobias_widmer')]</t>
  </si>
  <si>
    <t>136387</t>
  </si>
  <si>
    <t>2019-01-27 10:21:23 EST</t>
  </si>
  <si>
    <t>2006-01-10 07:49 EST</t>
  </si>
  <si>
    <t>2006-01-10 09:44:42 EST</t>
  </si>
  <si>
    <t>[('CREATED', '2006-01-10 07:49 EST'), ('tobias_widmer', '2006-01-10 09:44:42 EST', 'martinae'), ('3.2 M5', '2006-01-10 09:44:42 EST', 'martinae'), ('jdt-ui-inbox', '2006-02-15 02:14:09 EST', 'martinae'), ('3.2 M6', '2006-02-15 02:14:09 EST', 'martinae'), ('tobias_widmer', '2006-02-24 05:07:21 EST', 'martinae'), ('3.2 RC1', '2006-03-29 03:51:16 EST', 'tobias_widmer'), ('136387', '2006-04-12 13:27:34 EDT', 'tobias_widmer'), ('3.2', '2006-04-12 13:27:34 EDT', 'tobias_widmer'), ('3.3', '2006-04-28 11:23:18 EDT', 'tobias_widmer'), ('ASSIGNED', '2006-05-29 05:27:19 EDT', 'tobias_widmer'), ('[reorg] import rewrite conflict during move [refactoring]', '2006-05-29 05:27:19 EDT', 'tobias_widmer'), ('---', '2007-02-16 04:50:46 EST', 'martinae'), ('jdt-ui-inbox', '2007-06-14 10:47:21 EDT', 'martinae'), ('NEW', '2007-06-14 10:47:21 EDT', 'martinae'), ('stalebug', '2019-01-27 02:57:14 EST', 'genie'), ('RESOLVED', '2019-01-27 10:21:23 EST', 'daniel_megert'), ('daniel_megert', '2019-01-27 10:21:23 EST', 'daniel_megert'), ('WORKSFORME', '2019-01-27 10:21:23 EST', 'daniel_megert'), (nan, '2019-01-27 10:21:23 EST', 'daniel_megert')]</t>
  </si>
  <si>
    <t>2006-03-16 14:10:13 EST</t>
  </si>
  <si>
    <t>2006-03-30 12:12:24 EST</t>
  </si>
  <si>
    <t>2006-01-10 09:40 EST</t>
  </si>
  <si>
    <t>2006-01-10 09:41:08 EST</t>
  </si>
  <si>
    <t>[('CREATED', '2006-01-10 09:40 EST'), ('major', '2006-01-10 09:41:08 EST', 'philippe_mulet'), ('tobias_widmer', '2006-01-10 09:45:47 EST', 'martinae'), ('3.2 M5', '2006-01-10 09:45:47 EST', 'martinae'), ('jdt-ui-inbox', '2006-02-15 02:14:33 EST', 'martinae'), ('3.2 M6', '2006-02-15 02:14:33 EST', 'martinae'), ('tobias_widmer', '2006-02-24 05:07:50 EST', 'martinae'), ('RESOLVED', '2006-03-16 14:10:13 EST', 'tobias_widmer'), ('FIXED', '2006-03-16 14:10:13 EST', 'tobias_widmer'), ('VERIFIED', '2006-03-30 12:12:24 EST', 'benno.baumgartner')]</t>
  </si>
  <si>
    <t>2006-04-07 05:16:34 EDT</t>
  </si>
  <si>
    <t>2006-01-10 19:11 EST</t>
  </si>
  <si>
    <t>2006-01-12 06:07:05 EST</t>
  </si>
  <si>
    <t>[('CREATED', '2006-01-10 19:11 EST'), ('dirk_baeumer', '2006-01-12 06:07:05 EST', 'martinae'), ('[inline refactoring] Method inlining breaks runtime behavior.', '2006-01-12 06:07:05 EST', 'martinae'), ('3.2 RC1', '2006-04-04 14:14:13 EDT', 'dirk_baeumer'), ('RESOLVED', '2006-04-07 05:16:34 EDT', 'dirk_baeumer'), ('FIXED', '2006-04-07 05:16:34 EDT', 'dirk_baeumer')]</t>
  </si>
  <si>
    <t>2006-01-11 10:25 EST</t>
  </si>
  <si>
    <t>2006-08-03 11:52:07 EDT</t>
  </si>
  <si>
    <t>2019-04-15 11:05:35 EDT</t>
  </si>
  <si>
    <t>[('CREATED', '2006-01-11 10:25 EST'), ('[refactoring] Simplify TTypes for multi-dimensional arrays with ITypeBinding#getComponentType()', '2006-08-03 11:52:07 EDT', 'martinae'), ('stalebug', '2019-04-15 11:05:35 EDT', 'genie')]</t>
  </si>
  <si>
    <t>2006-01-12 11:04:45 EST</t>
  </si>
  <si>
    <t>2006-01-11 20:35 EST</t>
  </si>
  <si>
    <t>[('CREATED', '2006-01-11 20:35 EST'), ('RESOLVED', '2006-01-12 11:04:45 EST', 'martinae'), ('WONTFIX', '2006-01-12 11:04:45 EST', 'martinae')]</t>
  </si>
  <si>
    <t>2006-01-30 03:53:18 EST</t>
  </si>
  <si>
    <t>2006-01-12 11:55 EST</t>
  </si>
  <si>
    <t>2006-01-27 06:55:28 EST</t>
  </si>
  <si>
    <t>[('CREATED', '2006-01-12 11:55 EST'), ('ASSIGNED', '2006-01-27 06:55:28 EST', 'benno.baumgartner'), ('[cleanup] Generated Serial Version UIDs clean up', '2006-01-27 06:55:28 EST', 'benno.baumgartner'), ('3.2 M5', '2006-01-30 03:53:18 EST', 'benno.baumgartner'), ('RESOLVED', '2006-01-30 03:53:18 EST', 'benno.baumgartner'), ('FIXED', '2006-01-30 03:53:18 EST', 'benno.baumgartner')]</t>
  </si>
  <si>
    <t>2006-01-13 08:50 EST</t>
  </si>
  <si>
    <t>2006-01-13 10:18:51 EST</t>
  </si>
  <si>
    <t>2018-11-25 17:52:30 EST</t>
  </si>
  <si>
    <t>[('CREATED', '2006-01-13 08:50 EST'), (nan, '2006-01-13 10:18:51 EST', 'markus.kell.r'), ('markus_keller', '2006-01-13 10:18:51 EST', 'markus.kell.r'), ('3.2 M5', '2006-01-13 10:18:51 EST', 'markus.kell.r'), ('---', '2006-02-09 11:48:19 EST', 'markus.kell.r'), ('ASSIGNED', '2006-06-09 05:53:56 EDT', 'markus.kell.r'), ('[introduce indirection] issues with binary targets', '2006-06-09 05:53:56 EDT', 'markus.kell.r'), ('stalebug', '2018-11-25 17:52:30 EST', 'genie')]</t>
  </si>
  <si>
    <t>RESOLVED  DUPLICATE  of bug 110579</t>
  </si>
  <si>
    <t>2006-01-30 03:57:04 EST</t>
  </si>
  <si>
    <t>2006-01-13 17:16 EST</t>
  </si>
  <si>
    <t>2006-01-13 20:38:13 EST</t>
  </si>
  <si>
    <t>[('CREATED', '2006-01-13 17:16 EST'), ('jdt-ui-inbox', '2006-01-13 20:38:13 EST', 'Olivier_Thomann'), ('UI', '2006-01-13 20:38:13 EST', 'Olivier_Thomann'), ('benno_baumgartner', '2006-01-18 05:42:10 EST', 'martinae'), ('[clean up] request: convert raw type usage to generic', '2006-01-18 05:42:10 EST', 'martinae'), ('RESOLVED', '2006-01-30 03:57:04 EST', 'benno.baumgartner'), ('DUPLICATE', '2006-01-30 03:57:04 EST', 'benno.baumgartner')]</t>
  </si>
  <si>
    <t>2006-01-24 04:49:04 EST</t>
  </si>
  <si>
    <t>2009-08-30 02:09:19 EDT</t>
  </si>
  <si>
    <t>2006-01-13 20:19 EST</t>
  </si>
  <si>
    <t>2006-01-16 04:54:23 EST</t>
  </si>
  <si>
    <t>[('CREATED', '2006-01-13 20:19 EST'), ('jdt-ui-inbox', '2006-01-16 04:54:23 EST', 'daniel_megert'), ('UI', '2006-01-16 04:54:23 EST', 'daniel_megert'), ('RESOLVED', '2006-01-24 04:49:04 EST', 'martinae'), ('REMIND', '2006-01-24 04:49:04 EST', 'martinae'), ('needinfo', '2009-08-30 02:09:19 EDT', 'denis.roy'), ('INVALID', '2009-08-30 02:09:19 EDT', 'denis.roy')]</t>
  </si>
  <si>
    <t>2006-04-28 11:28:55 EDT</t>
  </si>
  <si>
    <t>2006-01-17 12:12 EST</t>
  </si>
  <si>
    <t>2006-01-18 05:13:52 EST</t>
  </si>
  <si>
    <t>[('CREATED', '2006-01-17 12:12 EST'), ('tobias_widmer', '2006-01-18 05:13:52 EST', 'martinae'), ('3.2 M5', '2006-01-23 18:10:13 EST', 'tobias_widmer'), ('martin_aeschlimann', '2006-02-13 09:12:41 EST', 'tobias_widmer'), ('3.2 M6', '2006-02-14 09:16:43 EST', 'tobias_widmer'), ('performance', '2006-03-27 08:40:47 EST', 'tobias_widmer'), ('3.2', '2006-03-27 08:40:47 EST', 'tobias_widmer'), ('RESOLVED', '2006-04-28 11:28:55 EDT', 'tobias_widmer'), ('FIXED', '2006-04-28 11:28:55 EDT', 'tobias_widmer'), ('3.2 RC2', '2006-04-28 11:28:55 EDT', 'tobias_widmer')]</t>
  </si>
  <si>
    <t>2020-04-08 20:21:52 EDT</t>
  </si>
  <si>
    <t>2006-01-18 05:54 EST</t>
  </si>
  <si>
    <t>2006-01-18 10:17:54 EST</t>
  </si>
  <si>
    <t>[('CREATED', '2006-01-18 05:54 EST'), ('markus_keller', '2006-01-18 10:17:54 EST', 'martinae'), ('tobias_widmer', '2006-01-19 11:40:20 EST', 'tobias_widmer'), ('[change method signature] message could be made more clear', '2006-08-03 12:22:03 EDT', 'martinae'), ('WONTFIX', '2020-04-08 20:21:52 EDT', 'genie'), ('stalebug', '2020-04-08 20:21:52 EDT', 'genie'), ('CLOSED', '2020-04-08 20:21:52 EDT', 'genie')]</t>
  </si>
  <si>
    <t>2006-01-18 05:57 EST</t>
  </si>
  <si>
    <t>2006-01-18 10:05:27 EST</t>
  </si>
  <si>
    <t>2019-02-15 16:20:35 EST</t>
  </si>
  <si>
    <t>[('CREATED', '2006-01-18 05:57 EST'), ('markus_keller', '2006-01-18 10:05:27 EST', 'martinae'), ('[change method signature] no control on added parameter default value', '2006-08-03 12:22:16 EDT', 'martinae'), ('stalebug', '2019-02-15 16:20:35 EST', 'genie')]</t>
  </si>
  <si>
    <t>2006-01-18 10:16:51 EST</t>
  </si>
  <si>
    <t>2006-01-18 06:03 EST</t>
  </si>
  <si>
    <t>[('CREATED', '2006-01-18 06:03 EST'), ('markus_keller', '2006-01-18 10:16:51 EST', 'martinae'), ('RESOLVED', '2006-01-18 10:16:51 EST', 'martinae'), ('WONTFIX', '2006-01-18 10:16:51 EST', 'martinae')]</t>
  </si>
  <si>
    <t>2006-01-18 20:18 EST</t>
  </si>
  <si>
    <t>2006-01-19 03:45:47 EST</t>
  </si>
  <si>
    <t>2019-12-07 03:34:33 EST</t>
  </si>
  <si>
    <t>[('CREATED', '2006-01-18 20:18 EST'), ('tobias_widmer', '2006-01-19 03:45:47 EST', 'martinae'), ('[push down] required button should be requires [refactoring]', '2006-05-29 08:58:42 EDT', 'tobias_widmer'), ('jdt-ui-inbox', '2007-06-14 10:46:47 EDT', 'martinae'), ('stalebug', '2019-12-07 03:34:33 EST', 'genie')]</t>
  </si>
  <si>
    <t>2006-01-20 11:19:46 EST</t>
  </si>
  <si>
    <t>2006-01-20 10:41 EST</t>
  </si>
  <si>
    <t>2006-01-20 11:18:29 EST</t>
  </si>
  <si>
    <t>[('CREATED', '2006-01-20 10:41 EST'), ('tobias_widmer', '2006-01-20 11:18:29 EST', 'tobias_widmer'), ('3.2 M5', '2006-01-20 11:18:29 EST', 'tobias_widmer'), ('RESOLVED', '2006-01-20 11:19:46 EST', 'tobias_widmer'), ('FIXED', '2006-01-20 11:19:46 EST', 'tobias_widmer')]</t>
  </si>
  <si>
    <t>2006-01-23 17:00:51 EST</t>
  </si>
  <si>
    <t>2006-01-20 11:02 EST</t>
  </si>
  <si>
    <t>2006-01-20 11:04:53 EST</t>
  </si>
  <si>
    <t>[('CREATED', '2006-01-20 11:02 EST'), ('tobias_widmer', '2006-01-20 11:04:53 EST', 'tobias_widmer'), ('3.2 M5', '2006-01-20 11:04:53 EST', 'tobias_widmer'), ('RESOLVED', '2006-01-23 17:00:51 EST', 'tobias_widmer'), ('FIXED', '2006-01-23 17:00:51 EST', 'tobias_widmer')]</t>
  </si>
  <si>
    <t>2013-08-12 02:11:50 EDT</t>
  </si>
  <si>
    <t>2012-11-28 08:21:10 EST</t>
  </si>
  <si>
    <t>2013-08-08 05:14:20 EDT</t>
  </si>
  <si>
    <t>2006-01-24 04:56 EST</t>
  </si>
  <si>
    <t>2006-01-24 05:35:34 EST</t>
  </si>
  <si>
    <t>[('CREATED', '2006-01-24 04:56 EST'), ('tobias_widmer', '2006-01-24 05:35:34 EST', 'martinae'), ('[convert anonymous] gets confused with generic methods [refactoring]', '2006-05-29 08:59:09 EDT', 'tobias_widmer'), ('jdt-ui-inbox', '2007-06-14 10:42:14 EDT', 'martinae'), ('milos.gligoric', '2012-11-27 20:20:25 EST', 'milos.gligoric'), ('RESOLVED', '2012-11-28 08:21:10 EST', 'daniel_megert'), ('daniel_megert', '2012-11-28 08:21:10 EST', 'daniel_megert'), ('WORKSFORME', '2012-11-28 08:21:10 EST', 'daniel_megert'), ('REOPENED', '2012-11-28 09:39:37 EST', 'daniel_megert'), ('---', '2012-11-28 09:39:37 EST', 'daniel_megert'), ('[refactoring][convert anonymous] gets confused with generic methods', '2012-11-28 09:39:37 EST', 'daniel_megert'), ('ASSIGNED', '2012-11-28 09:40:25 EST', 'daniel_megert'), ('review?(noopur_gupta)', '2013-08-06 06:12:28 EDT', 'daniel_megert'), ('noopur_gupta', '2013-08-07 11:31:03 EDT', 'noopur_gupta'), ('markus_keller', '2013-08-07 11:31:37 EDT', 'noopur_gupta'), ('1', '2013-08-07 12:12:42 EDT', 'nikolaymetchev'), ('RESOLVED', '2013-08-08 04:59:31 EDT', 'noopur_gupta'), ('FIXED', '2013-08-08 04:59:31 EDT', 'noopur_gupta'), ('nikolaymetchev', '2013-08-08 04:59:31 EDT', 'noopur_gupta'), ('All', '2013-08-08 05:01:07 EDT', 'noopur_gupta'), ('4.4 M2', '2013-08-08 05:01:07 EDT', 'noopur_gupta'), ('All', '2013-08-08 05:01:07 EDT', 'noopur_gupta'), ('review+', '2013-08-08 05:01:16 EDT', 'noopur_gupta'), ('REOPENED', '2013-08-08 05:14:20 EDT', 'noopur_gupta'), ('---', '2013-08-08 05:14:20 EDT', 'noopur_gupta'), ('RESOLVED', '2013-08-12 02:11:50 EDT', 'noopur_gupta'), ('FIXED', '2013-08-12 02:11:50 EDT', 'noopur_gupta')]</t>
  </si>
  <si>
    <t>2006-01-25 05:32 EST</t>
  </si>
  <si>
    <t>2006-01-27 04:48:56 EST</t>
  </si>
  <si>
    <t>2006-06-09 05:54:34 EDT</t>
  </si>
  <si>
    <t>[('CREATED', '2006-01-25 05:32 EST'), ('markus_keller', '2006-01-27 04:48:56 EST', 'martinae'), ('P4', '2006-01-27 04:48:56 EST', 'martinae'), ('[introduce factory] does not work for binary constructors', '2006-06-09 05:54:34 EDT', 'markus.kell.r'), ('ASSIGNED', '2006-06-09 05:54:34 EDT', 'markus.kell.r')]</t>
  </si>
  <si>
    <t>2006-01-25 09:12:57 EST</t>
  </si>
  <si>
    <t>2006-01-25 08:09 EST</t>
  </si>
  <si>
    <t>2006-01-25 09:12:37 EST</t>
  </si>
  <si>
    <t>[('CREATED', '2006-01-25 08:09 EST'), ('tobias_widmer', '2006-01-25 09:12:37 EST', 'tobias_widmer'), ('3.2 M5', '2006-01-25 09:12:37 EST', 'tobias_widmer'), ('RESOLVED', '2006-01-25 09:12:57 EST', 'tobias_widmer'), ('FIXED', '2006-01-25 09:12:57 EST', 'tobias_widmer')]</t>
  </si>
  <si>
    <t>2006-02-01 10:58:26 EST</t>
  </si>
  <si>
    <t>2006-01-25 08:58 EST</t>
  </si>
  <si>
    <t>2006-01-25 10:07:02 EST</t>
  </si>
  <si>
    <t>[('CREATED', '2006-01-25 08:58 EST'), ('jdt-ui-inbox', '2006-01-25 10:07:02 EST', 'jerome_lanneluc'), ('UI', '2006-01-25 10:07:02 EST', 'jerome_lanneluc'), ('markus_keller', '2006-01-31 03:35:40 EST', 'martinae'), ('ASSIGNED', '2006-02-01 07:15:12 EST', 'markus.kell.r'), ('3.2', '2006-02-01 07:15:12 EST', 'markus.kell.r'), ('RESOLVED', '2006-02-01 10:58:26 EST', 'markus.kell.r'), ('FIXED', '2006-02-01 10:58:26 EST', 'markus.kell.r'), ('[refactoring] Rename Project does not update Java Build Path', '2006-02-01 10:58:26 EST', 'markus.kell.r'), ('3.2 M5', '2006-02-01 10:58:26 EST', 'markus.kell.r')]</t>
  </si>
  <si>
    <t>2020-01-29 00:02:30 EST</t>
  </si>
  <si>
    <t>2006-01-25 11:09 EST</t>
  </si>
  <si>
    <t>2006-06-09 03:46:17 EDT</t>
  </si>
  <si>
    <t>[('CREATED', '2006-01-25 11:09 EST'), ("[actions] Most JDT actions don't update on editor input change", '2006-06-09 03:46:17 EDT', 'martinae'), ('ASSIGNED', '2006-06-15 12:12:21 EDT', 'martinae'), ('stalebug', '2020-01-29 00:02:30 EST', 'genie'), ('CLOSED', '2020-01-29 00:02:30 EST', 'genie'), ('WONTFIX', '2020-01-29 00:02:30 EST', 'genie')]</t>
  </si>
  <si>
    <t>123782</t>
  </si>
  <si>
    <t>2006-01-25 11:10 EST</t>
  </si>
  <si>
    <t>2006-01-25 11:12:18 EST</t>
  </si>
  <si>
    <t>2020-07-28 17:04:08 EDT</t>
  </si>
  <si>
    <t>[('CREATED', '2006-01-25 11:10 EST'), ('123782', '2006-01-25 11:12:18 EST', 'daniel_megert'), ('tobias_widmer', '2006-01-31 04:49:53 EST', 'martinae'), ("[general] some refactoring actions are enabled even if there's no CU [refactoring]", '2006-05-29 08:59:33 EDT', 'tobias_widmer'), ('jdt-ui-inbox', '2007-06-14 10:43:18 EDT', 'martinae'), ('stalebug', '2020-07-28 17:04:08 EDT', 'genie')]</t>
  </si>
  <si>
    <t>2011-11-15 10:10:18 EST</t>
  </si>
  <si>
    <t>2006-01-26 08:39 EST</t>
  </si>
  <si>
    <t>2006-01-27 04:27:50 EST</t>
  </si>
  <si>
    <t>[('CREATED', '2006-01-26 08:39 EST'), ('tobias_widmer', '2006-01-27 04:27:50 EST', 'martinae'), ('[pull up] of abstract methods to abstract base class fails [refactoring]', '2006-05-29 08:59:53 EDT', 'tobias_widmer'), ('dbergstr', '2006-11-07 20:13:27 EST', 'eclipse'), ('jdt-ui-inbox', '2007-06-14 10:46:14 EDT', 'martinae'), ('loskutov', '2011-09-23 08:03:08 EDT', 'loskutov'), ('deepak.azad', '2011-11-08 10:33:38 EST', 'deepakazad'), ('markus_keller', '2011-11-08 12:10:50 EST', 'markus.kell.r'), ('deepak.azad', '2011-11-08 12:10:50 EST', 'markus.kell.r'), ('3.8 M4', '2011-11-08 12:10:50 EST', 'markus.kell.r'), ('RESOLVED', '2011-11-15 10:10:18 EST', 'deepakazad'), ('FIXED', '2011-11-15 10:10:18 EST', 'deepakazad')]</t>
  </si>
  <si>
    <t>RESOLVED  DUPLICATE  of bug 188595</t>
  </si>
  <si>
    <t>2008-05-19 06:02:58 EDT</t>
  </si>
  <si>
    <t>2006-01-27 06:38 EST</t>
  </si>
  <si>
    <t>2006-01-29 17:33:14 EST</t>
  </si>
  <si>
    <t>[('CREATED', '2006-01-27 06:38 EST'), ('tobias_widmer', '2006-01-29 17:33:14 EST', 'martinae'), ('[pull up] to interface changes visibility in implementing class [refactoring]', '2006-05-29 09:00:13 EDT', 'tobias_widmer'), ('jdt-ui-inbox', '2007-06-14 10:46:30 EDT', 'martinae'), ('benno_baumgartner', '2008-05-19 06:02:58 EDT', 'benno.baumgartner'), ('RESOLVED', '2008-05-19 06:02:58 EDT', 'benno.baumgartner'), ('DUPLICATE', '2008-05-19 06:02:58 EDT', 'benno.baumgartner')]</t>
  </si>
  <si>
    <t>2006-02-06 14:42:18 EST</t>
  </si>
  <si>
    <t>2006-01-27 09:31 EST</t>
  </si>
  <si>
    <t>2006-01-29 17:34:30 EST</t>
  </si>
  <si>
    <t>[('CREATED', '2006-01-27 09:31 EST'), ('tobias_widmer', '2006-01-29 17:34:30 EST', 'martinae'), ('3.2 M5', '2006-01-29 17:34:30 EST', 'martinae'), ('FIXED', '2006-02-06 14:42:18 EST', 'tobias_widmer'), (nan, '2006-02-06 14:42:18 EST', 'tobias_widmer'), ('RESOLVED', '2006-02-06 14:42:18 EST', 'tobias_widmer')]</t>
  </si>
  <si>
    <t>132576</t>
  </si>
  <si>
    <t>2006-03-20 14:41:27 EST</t>
  </si>
  <si>
    <t>2006-01-27 10:34 EST</t>
  </si>
  <si>
    <t>2006-02-09 11:49:11 EST</t>
  </si>
  <si>
    <t>[('CREATED', '2006-01-27 10:34 EST'), ('3.2 M6', '2006-02-09 11:49:11 EST', 'markus.kell.r'), ('eclipse-bugs', '2006-02-15 08:29:03 EST', 'victor.toni'), ('normal', '2006-02-15 08:33:44 EST', 'markus.kell.r'), ('ASSIGNED', '2006-02-15 08:33:44 EST', 'markus.kell.r'), ('132576', '2006-03-20 13:38:22 EST', 'markus.kell.r'), ('RESOLVED', '2006-03-20 14:41:27 EST', 'markus.kell.r'), ('FIXED', '2006-03-20 14:41:27 EST', 'markus.kell.r')]</t>
  </si>
  <si>
    <t>2006-02-06 05:59:01 EST</t>
  </si>
  <si>
    <t>2006-01-30 10:17 EST</t>
  </si>
  <si>
    <t>[('CREATED', '2006-01-30 10:17 EST'), ('RESOLVED', '2006-02-06 05:59:01 EST', 'martinae'), ('LATER', '2006-02-06 05:59:01 EST', 'martinae'), ('WONTFIX', '2009-08-30 02:36:02 EDT', 'webmaster')]</t>
  </si>
  <si>
    <t>2006-03-23 10:42:03 EST</t>
  </si>
  <si>
    <t>2006-01-31 12:17 EST</t>
  </si>
  <si>
    <t>2006-01-31 12:50:03 EST</t>
  </si>
  <si>
    <t>[('CREATED', '2006-01-31 12:17 EST'), ('benno_baumgartner', '2006-01-31 12:50:03 EST', 'martinae'), ('martin_aeschlimann', '2006-02-01 03:47:19 EST', 'benno.baumgartner'), ('ASSIGNED', '2006-02-15 10:24:30 EST', 'benno.baumgartner'), ('[clean up][infrastructure] a dirty CU remains dirty, a clean CU is saved after the clean up', '2006-02-15 10:24:30 EST', 'benno.baumgartner'), ('3.2 M6', '2006-02-15 10:24:30 EST', 'benno.baumgartner'), ('RESOLVED', '2006-03-23 10:42:03 EST', 'benno.baumgartner'), ('FIXED', '2006-03-23 10:42:03 EST', 'benno.baumgartner')]</t>
  </si>
  <si>
    <t>2006-02-03 04:53:14 EST</t>
  </si>
  <si>
    <t>2006-02-01 03:19 EST</t>
  </si>
  <si>
    <t>2006-02-01 03:39:04 EST</t>
  </si>
  <si>
    <t>[('CREATED', '2006-02-01 03:19 EST'), ('jdt-ui-inbox', '2006-02-01 03:39:04 EST', 'jerome_lanneluc'), ('UI', '2006-02-01 03:39:04 EST', 'jerome_lanneluc'), ('daniel.megert', '2006-02-01 03:39:24 EST', 'daniel_megert'), ('benno_baumgartner', '2006-02-03 03:54:45 EST', 'martinae'), ('RESOLVED', '2006-02-03 04:53:14 EST', 'benno.baumgartner'), ('FIXED', '2006-02-03 04:53:14 EST', 'benno.baumgartner'), ("[clean up][infrastructure] Cleanup Wizards doesn't check out files", '2006-02-03 04:53:14 EST', 'benno.baumgartner'), ('3.2 M5', '2006-02-03 04:53:14 EST', 'benno.baumgartner')]</t>
  </si>
  <si>
    <t>2006-02-06 05:37:47 EST</t>
  </si>
  <si>
    <t>2006-02-02 04:35 EST</t>
  </si>
  <si>
    <t>2006-02-02 04:38:00 EST</t>
  </si>
  <si>
    <t>[('CREATED', '2006-02-02 04:35 EST'), ('jdt-ui-inbox', '2006-02-02 04:38:00 EST', 'jerome_lanneluc'), ('UI', '2006-02-02 04:38:00 EST', 'jerome_lanneluc'), ('markus_keller', '2006-02-03 05:37:38 EST', 'martinae'), ('ASSIGNED', '2006-02-03 09:50:57 EST', 'markus.kell.r'), ('RESOLVED', '2006-02-06 05:37:47 EST', 'markus.kell.r'), ('WONTFIX', '2006-02-06 05:37:47 EST', 'markus.kell.r')]</t>
  </si>
  <si>
    <t>RESOLVED  DUPLICATE  of bug 61817</t>
  </si>
  <si>
    <t>2007-03-05 09:32:46 EST</t>
  </si>
  <si>
    <t>2006-06-26 11:32:34 EDT</t>
  </si>
  <si>
    <t>2006-02-03 10:40 EST</t>
  </si>
  <si>
    <t>2006-02-03 10:42:17 EST</t>
  </si>
  <si>
    <t>[('CREATED', '2006-02-03 10:40 EST'), ('jdt-ui-inbox', '2006-02-03 10:42:17 EST', 'jerome_lanneluc'), ('UI', '2006-02-03 10:42:17 EST', 'jerome_lanneluc'), ('[api] public APIs for Move Refactoring', '2006-02-06 06:26:24 EST', 'martinae'), ('normal', '2006-02-06 09:34:20 EST', 'martinae'), ('RESOLVED', '2006-02-09 02:59:31 EST', 'martinae'), ('LATER', '2006-02-09 02:59:31 EST', 'martinae'), ('schafe', '2006-05-11 10:02:20 EDT', 'schafe'), ('---', '2006-06-26 11:32:34 EDT', 'martinae'), ('REOPENED', '2006-06-26 11:32:34 EDT', 'martinae'), ('tobias_widmer', '2006-06-26 11:32:44 EDT', 'martinae'), ('NEW', '2006-06-26 11:32:44 EDT', 'martinae'), ('martin_aeschlimann', '2006-06-26 11:33:15 EDT', 'martinae'), ('ASSIGNED', '2006-06-28 11:43:18 EDT', 'tobias_widmer'), ('3.3 M1', '2006-06-28 11:43:18 EDT', 'tobias_widmer'), ('3.3 M2', '2006-08-07 12:07:47 EDT', 'tobias_widmer'), ('gunnar', '2006-09-06 05:30:49 EDT', 'gunnar'), ('3.3 M4', '2006-09-21 05:25:38 EDT', 'martinae'), ('vtrivedi', '2006-10-13 08:43:20 EDT', 'vtrivedi'), ('3.3 M6', '2006-12-13 06:15:42 EST', 'martinae'), ('RESOLVED', '2007-03-05 09:32:46 EST', 'tobias_widmer'), ('DUPLICATE', '2007-03-05 09:32:46 EST', 'tobias_widmer')]</t>
  </si>
  <si>
    <t>2006-02-03 12:29 EST</t>
  </si>
  <si>
    <t>2006-02-06 06:27:13 EST</t>
  </si>
  <si>
    <t>2010-04-20 14:21:53 EDT</t>
  </si>
  <si>
    <t>[('CREATED', '2006-02-03 12:29 EST'), ('markus_keller', '2006-02-06 06:27:13 EST', 'martinae'), ('ASSIGNED', '2006-02-06 10:52:42 EST', 'markus.kell.r'), ('3.2', '2006-02-06 10:52:42 EST', 'markus.kell.r'), ('3.3', '2006-04-27 03:44:51 EDT', 'markus.kell.r'), ('3.4', '2007-05-11 18:36:44 EDT', 'markus.kell.r'), ('3.5', '2008-05-10 12:15:32 EDT', 'markus.kell.r'), ('3.6', '2009-04-30 13:11:10 EDT', 'markus.kell.r'), ('fix candidate', '2010-04-20 14:21:53 EDT', 'markus.kell.r'), ('---', '2010-04-20 14:21:53 EDT', 'markus.kell.r')]</t>
  </si>
  <si>
    <t>2006-06-11 07:09:54 EDT</t>
  </si>
  <si>
    <t>2009-08-30 02:06:18 EDT</t>
  </si>
  <si>
    <t>2006-02-07 16:15 EST</t>
  </si>
  <si>
    <t>2006-02-08 01:53:58 EST</t>
  </si>
  <si>
    <t>[('CREATED', '2006-02-07 16:15 EST'), ('jdt-ui-inbox', '2006-02-08 01:53:58 EST', 'frederic_fusier'), ('UI', '2006-02-08 01:53:58 EST', 'frederic_fusier'), ('martin_aeschlimann', '2006-06-11 07:09:54 EDT', 'martinae'), ('RESOLVED', '2006-06-11 07:09:54 EDT', 'martinae'), ('REMIND', '2006-06-11 07:09:54 EDT', 'martinae'), ('[refactoring] inplace rename refactoring', '2006-06-11 07:09:54 EDT', 'martinae'), ('needinfo', '2009-08-30 02:06:18 EDT', 'denis.roy'), ('INVALID', '2009-08-30 02:06:18 EDT', 'denis.roy')]</t>
  </si>
  <si>
    <t>2006-02-08 05:31:40 EST</t>
  </si>
  <si>
    <t>2006-02-07 16:26 EST</t>
  </si>
  <si>
    <t>2006-02-07 16:27:29 EST</t>
  </si>
  <si>
    <t>[('CREATED', '2006-02-07 16:26 EST'), ('dpollock', '2006-02-07 16:27:29 EST', 'valentam'), ('RESOLVED', '2006-02-08 05:31:40 EST', 'martinae'), ('FIXED', '2006-02-08 05:31:40 EST', 'martinae'), ('3.2 M5', '2006-02-08 05:31:40 EST', 'martinae')]</t>
  </si>
  <si>
    <t>2006-02-15 10:28:58 EST</t>
  </si>
  <si>
    <t>2009-08-30 02:40:39 EDT</t>
  </si>
  <si>
    <t>2006-02-07 23:17 EST</t>
  </si>
  <si>
    <t>2006-02-07 23:18:19 EST</t>
  </si>
  <si>
    <t>[('CREATED', '2006-02-07 23:17 EST'), ('chris_haragan', '2006-02-07 23:18:19 EST', 'chris_haragan'), ('benno_baumgartner', '2006-02-09 03:22:19 EST', 'martinae'), ('RESOLVED', '2006-02-15 10:28:58 EST', 'benno.baumgartner'), ('LATER', '2006-02-15 10:28:58 EST', 'benno.baumgartner'), ('[clean up] should have option to fix incorrect package declarations', '2006-02-15 10:28:58 EST', 'benno.baumgartner'), ('WONTFIX', '2009-08-30 02:40:39 EDT', 'webmaster'), ('jdt-ui-inbox', '2009-08-30 02:40:39 EDT', 'webmaster')]</t>
  </si>
  <si>
    <t>2006-02-08 08:22:58 EST</t>
  </si>
  <si>
    <t>2006-02-08 06:10 EST</t>
  </si>
  <si>
    <t>2006-02-08 08:22:21 EST</t>
  </si>
  <si>
    <t>[('CREATED', '2006-02-08 06:10 EST'), ('tobias_widmer', '2006-02-08 08:22:21 EST', 'tobias_widmer'), ('3.2 M5', '2006-02-08 08:22:21 EST', 'tobias_widmer'), ('RESOLVED', '2006-02-08 08:22:58 EST', 'tobias_widmer'), ('FIXED', '2006-02-08 08:22:58 EST', 'tobias_widmer')]</t>
  </si>
  <si>
    <t>2006-02-08 23:34 EST</t>
  </si>
  <si>
    <t>2006-02-09 04:08:25 EST</t>
  </si>
  <si>
    <t>2008-11-28 15:40:15 EST</t>
  </si>
  <si>
    <t>[('CREATED', '2006-02-08 23:34 EST'), ('jdt-ui-inbox', '2006-02-09 04:08:25 EST', 'jerome_lanneluc'), ('UI', '2006-02-09 04:08:25 EST', 'jerome_lanneluc'), ('markus_keller', '2006-02-12 10:42:55 EST', 'martinae'), ('[rename refactoring] Renaming a JAR', '2006-02-12 10:42:55 EST', 'martinae'), ('enhancement', '2006-02-13 04:43:26 EST', 'markus.kell.r'), ('[rename] Renaming a JAR', '2006-08-03 12:08:40 EDT', 'martinae'), ('mn', '2008-11-28 15:40:15 EST', 'mn')]</t>
  </si>
  <si>
    <t>RESOLVED  DUPLICATE  of bug 123584</t>
  </si>
  <si>
    <t>2006-02-12 10:30:36 EST</t>
  </si>
  <si>
    <t>2006-02-09 03:06 EST</t>
  </si>
  <si>
    <t>2006-02-09 03:06:18 EST</t>
  </si>
  <si>
    <t>[('CREATED', '2006-02-09 03:06 EST'), ('File does not exist log entry while deleting', '2006-02-09 03:06:18 EST', 'daniel_megert'), ('RESOLVED', '2006-02-12 10:30:36 EST', 'martinae'), ('DUPLICATE', '2006-02-12 10:30:36 EST', 'martinae')]</t>
  </si>
  <si>
    <t>2008-05-07 09:26:48 EDT</t>
  </si>
  <si>
    <t>2008-05-19 05:30:26 EDT</t>
  </si>
  <si>
    <t>2006-02-09 05:22 EST</t>
  </si>
  <si>
    <t>2006-02-12 11:19:06 EST</t>
  </si>
  <si>
    <t>[('CREATED', '2006-02-09 05:22 EST'), ('tobias_widmer', '2006-02-12 11:19:06 EST', 'martinae'), ('[performance][extract interface] performance issue while typing name in extract interface dialog [refactoring]', '2006-05-29 09:01:47 EDT', 'tobias_widmer'), ('3.3', '2007-02-16 04:34:35 EST', 'martinae'), ('3.4', '2007-06-01 12:15:33 EDT', 'martinae'), ('[extract interface] performance issue while typing name in extract interface dialog [refactoring]', '2007-06-11 04:43:22 EDT', 'martinae'), ('performance', '2007-06-11 04:43:39 EDT', 'martinae'), ('jdt-ui-inbox', '2007-06-14 10:42:44 EDT', 'martinae'), ('daniel_megert', '2008-05-06 07:27:26 EDT', 'daniel_megert'), ('3.4 RC1', '2008-05-06 07:27:26 EDT', 'daniel_megert'), ('review?(markus_keller)', '2008-05-06 07:28:17 EDT', 'daniel_megert'), ('1', '2008-05-06 09:26:34 EDT', 'daniel_megert'), ('1', '2008-05-06 09:41:42 EDT', 'daniel_megert'), ('markus_keller', '2008-05-07 09:00:41 EDT', 'markus.kell.r'), ('review+', '2008-05-07 09:00:41 EDT', 'markus.kell.r'), ('RESOLVED', '2008-05-07 09:26:48 EDT', 'daniel_megert'), ('FIXED', '2008-05-07 09:26:48 EDT', 'daniel_megert'), ('VERIFIED', '2008-05-19 05:30:26 EDT', 'benno.baumgartner')]</t>
  </si>
  <si>
    <t>2006-03-20 05:03:47 EST</t>
  </si>
  <si>
    <t>2006-02-09 09:12 EST</t>
  </si>
  <si>
    <t>2006-02-12 11:22:16 EST</t>
  </si>
  <si>
    <t>[('CREATED', '2006-02-09 09:12 EST'), ('tobias_widmer', '2006-02-12 11:22:16 EST', 'martinae'), ('RESOLVED', '2006-03-20 05:03:47 EST', 'tobias_widmer'), ('FIXED', '2006-03-20 05:03:47 EST', 'tobias_widmer'), ('3.2 M6', '2006-03-20 05:03:47 EST', 'tobias_widmer')]</t>
  </si>
  <si>
    <t>2006-02-12 11:31:47 EST</t>
  </si>
  <si>
    <t>2006-02-09 09:32 EST</t>
  </si>
  <si>
    <t>[('CREATED', '2006-02-09 09:32 EST'), ('RESOLVED', '2006-02-12 11:31:47 EST', 'martinae'), ('WONTFIX', '2006-02-12 11:31:47 EST', 'martinae')]</t>
  </si>
  <si>
    <t>2006-02-10 03:13:50 EST</t>
  </si>
  <si>
    <t>2006-02-09 17:29 EST</t>
  </si>
  <si>
    <t>2006-02-10 03:13:16 EST</t>
  </si>
  <si>
    <t>[('CREATED', '2006-02-09 17:29 EST'), ('tobias_widmer', '2006-02-10 03:13:16 EST', 'tobias_widmer'), ('3.2 M5', '2006-02-10 03:13:16 EST', 'tobias_widmer'), ('RESOLVED', '2006-02-10 03:13:50 EST', 'tobias_widmer'), ('FIXED', '2006-02-10 03:13:50 EST', 'tobias_widmer')]</t>
  </si>
  <si>
    <t>2006-02-13 09:01:37 EST</t>
  </si>
  <si>
    <t>2006-02-09 21:42 EST</t>
  </si>
  <si>
    <t>2006-02-10 03:42:52 EST</t>
  </si>
  <si>
    <t>[('CREATED', '2006-02-09 21:42 EST'), ('tobias_widmer', '2006-02-10 03:42:52 EST', 'tobias_widmer'), ('3.2 M5', '2006-02-10 03:42:52 EST', 'tobias_widmer'), ('RESOLVED', '2006-02-13 09:01:37 EST', 'tobias_widmer'), ('FIXED', '2006-02-13 09:01:37 EST', 'tobias_widmer')]</t>
  </si>
  <si>
    <t>2006-02-24 09:53:56 EST</t>
  </si>
  <si>
    <t>2006-02-10 15:02 EST</t>
  </si>
  <si>
    <t>2006-02-17 11:03:15 EST</t>
  </si>
  <si>
    <t>[('CREATED', '2006-02-10 15:02 EST'), ('jdt-ui-inbox', '2006-02-17 11:03:15 EST', 'jerome_lanneluc'), ('UI', '2006-02-17 11:03:15 EST', 'jerome_lanneluc'), ('markus_keller', '2006-02-24 04:02:36 EST', 'martinae'), ('RESOLVED', '2006-02-24 09:53:56 EST', 'markus.kell.r'), ('FIXED', '2006-02-24 09:53:56 EST', 'markus.kell.r'), ('3.2 M6', '2006-02-24 09:53:56 EST', 'markus.kell.r')]</t>
  </si>
  <si>
    <t>2006-02-13 05:55:22 EST</t>
  </si>
  <si>
    <t>2006-02-13 13:22:06 EST</t>
  </si>
  <si>
    <t>2006-02-10 17:32 EST</t>
  </si>
  <si>
    <t>2006-02-10 17:35:03 EST</t>
  </si>
  <si>
    <t>michael.keppler</t>
  </si>
  <si>
    <t>[('CREATED', '2006-02-10 17:32 EST'), ('jdt-ui-inbox', '2006-02-10 17:35:03 EST', 'philippe_mulet'), ('UI', '2006-02-10 17:35:03 EST', 'philippe_mulet'), ('benno_baumgartner', '2006-02-12 13:05:59 EST', 'martinae'), ('3.2 M5', '2006-02-12 13:05:59 EST', 'martinae'), ('ASSIGNED', '2006-02-13 05:24:58 EST', 'benno.baumgartner'), ('[quick assist] NPE during clean up wizard "for loop conversion"', '2006-02-13 05:24:58 EST', 'benno.baumgartner'), ('RESOLVED', '2006-02-13 05:55:22 EST', 'benno.baumgartner'), ('FIXED', '2006-02-13 05:55:22 EST', 'benno.baumgartner'), ('VERIFIED', '2006-02-13 13:22:06 EST', 'michael.keppler')]</t>
  </si>
  <si>
    <t>2006-02-13 08:37:29 EST</t>
  </si>
  <si>
    <t>2006-02-14 06:39:40 EST</t>
  </si>
  <si>
    <t>2006-02-13 06:32 EST</t>
  </si>
  <si>
    <t>2006-02-13 08:09:57 EST</t>
  </si>
  <si>
    <t>[('CREATED', '2006-02-13 06:32 EST'), ('tobias_widmer', '2006-02-13 08:09:57 EST', 'martinae'), ('3.2 M5', '2006-02-13 08:09:57 EST', 'martinae'), ('RESOLVED', '2006-02-13 08:37:29 EST', 'tobias_widmer'), ('FIXED', '2006-02-13 08:37:29 EST', 'tobias_widmer'), ('Darin_Swanson', '2006-02-13 16:41:08 EST', 'Darin_Swanson'), ('EmptyStackException in RefactoringDescriptorStack when undoing Multi Quick Fix', '2006-02-13 16:41:08 EST', 'Darin_Swanson'), ('VERIFIED', '2006-02-14 06:39:40 EST', 'tobias_widmer')]</t>
  </si>
  <si>
    <t>2006-10-13 10:40:56 EDT</t>
  </si>
  <si>
    <t>2006-10-13 10:40:28 EDT</t>
  </si>
  <si>
    <t>2006-02-13 11:15 EST</t>
  </si>
  <si>
    <t>2006-02-15 10:26:19 EST</t>
  </si>
  <si>
    <t>2006-10-13 10:41:21 EDT</t>
  </si>
  <si>
    <t>[('CREATED', '2006-02-13 11:15 EST'), ('jdt-ui-inbox', '2006-02-15 10:26:19 EST', 'jerome_lanneluc'), ('UI', '2006-02-15 10:26:19 EST', 'jerome_lanneluc'), ('RESOLVED', '2006-02-23 11:15:41 EST', 'martinae'), ('LATER', '2006-02-23 11:15:41 EST', 'martinae'), ('[API] Using ISourceManipulation.delete not as good as JavaDeleteProcessor', '2006-02-23 11:15:41 EST', 'martinae'), ('REOPENED', '2006-10-13 10:40:28 EDT', 'philippe_mulet'), ('---', '2006-10-13 10:40:28 EDT', 'philippe_mulet'), ('RESOLVED', '2006-10-13 10:40:56 EDT', 'philippe_mulet'), ('WONTFIX', '2006-10-13 10:40:56 EDT', 'philippe_mulet'), ('CLOSED', '2006-10-13 10:41:21 EDT', 'philippe_mulet')]</t>
  </si>
  <si>
    <t>2006-02-15 04:00:49 EST</t>
  </si>
  <si>
    <t>2006-02-16 04:33:47 EST</t>
  </si>
  <si>
    <t>2006-02-13 16:13 EST</t>
  </si>
  <si>
    <t>2006-02-13 16:14:36 EST</t>
  </si>
  <si>
    <t>[('CREATED', '2006-02-13 16:13 EST'), ('Text', '2006-02-13 16:14:36 EST', 'Tod_Creasey'), ('jdt-text-inbox', '2006-02-13 16:14:36 EST', 'Tod_Creasey'), ('jdt-ui-inbox', '2006-02-14 02:03:43 EST', 'eclipse'), ('UI', '2006-02-14 02:03:43 EST', 'eclipse'), ('tobias_widmer', '2006-02-14 11:49:25 EST', 'martinae'), ('3.2 M5', '2006-02-14 11:49:25 EST', 'martinae'), ('martin_aeschlimann', '2006-02-14 12:35:17 EST', 'tobias_widmer'), ('RESOLVED', '2006-02-15 04:00:49 EST', 'tobias_widmer'), ('FIXED', '2006-02-15 04:00:49 EST', 'tobias_widmer'), ('VERIFIED', '2006-02-16 04:33:47 EST', 'benno.baumgartner')]</t>
  </si>
  <si>
    <t>2006-02-14 11:52:56 EST</t>
  </si>
  <si>
    <t>2006-02-14 05:02 EST</t>
  </si>
  <si>
    <t>[('CREATED', '2006-02-14 05:02 EST'), ('RESOLVED', '2006-02-14 11:52:56 EST', 'martinae'), ('WONTFIX', '2006-02-14 11:52:56 EST', 'martinae')]</t>
  </si>
  <si>
    <t>2006-02-14 05:11:35 EST</t>
  </si>
  <si>
    <t>2006-02-14 05:07 EST</t>
  </si>
  <si>
    <t>[('CREATED', '2006-02-14 05:07 EST'), ('INVALID', '2006-02-14 05:11:35 EST', 'benno.baumgartner'), ('RESOLVED', '2006-02-14 05:11:35 EST', 'benno.baumgartner')]</t>
  </si>
  <si>
    <t>2006-02-24 05:05:49 EST</t>
  </si>
  <si>
    <t>2009-08-30 02:21:01 EDT</t>
  </si>
  <si>
    <t>2006-02-14 05:23 EST</t>
  </si>
  <si>
    <t>[('CREATED', '2006-02-14 05:23 EST'), ('LATER', '2006-02-24 05:05:49 EST', 'martinae'), ('RESOLVED', '2006-02-24 05:05:49 EST', 'martinae'), ('WONTFIX', '2009-08-30 02:21:01 EDT', 'denis.roy')]</t>
  </si>
  <si>
    <t>2006-03-20 08:50:05 EST</t>
  </si>
  <si>
    <t>2006-02-14 05:32 EST</t>
  </si>
  <si>
    <t>2006-02-14 12:02:23 EST</t>
  </si>
  <si>
    <t>[('CREATED', '2006-02-14 05:32 EST'), ('benno_baumgartner', '2006-02-14 12:02:23 EST', 'martinae'), ('tobias_widmer', '2006-02-14 12:05:39 EST', 'tobias_widmer'), ('3.2 M6', '2006-02-15 05:48:19 EST', 'benno.baumgartner'), ('ASSIGNED', '2006-02-15 05:48:19 EST', 'benno.baumgartner'), ('[build path] new java project wizard: issues', '2006-02-15 05:48:19 EST', 'benno.baumgartner'), ('RESOLVED', '2006-03-20 08:50:05 EST', 'benno.baumgartner'), ('FIXED', '2006-03-20 08:50:05 EST', 'benno.baumgartner')]</t>
  </si>
  <si>
    <t>2006-03-03 11:50:08 EST</t>
  </si>
  <si>
    <t>2006-02-14 05:37 EST</t>
  </si>
  <si>
    <t>2006-02-14 12:04:14 EST</t>
  </si>
  <si>
    <t>[('CREATED', '2006-02-14 05:37 EST'), ('benno_baumgartner', '2006-02-14 12:04:14 EST', 'martinae'), ('ASSIGNED', '2006-02-15 05:37:01 EST', 'benno.baumgartner'), ('[cleanup[infrastructure]] Use change filters in the preview', '2006-02-15 05:37:01 EST', 'benno.baumgartner'), ('3.2 M6', '2006-02-15 05:37:01 EST', 'benno.baumgartner'), ('[cleanup][infrastructure] Use change filters in the preview', '2006-02-15 10:50:10 EST', 'benno.baumgartner'), ('FIXED', '2006-03-03 11:50:08 EST', 'benno.baumgartner'), ('RESOLVED', '2006-03-03 11:50:08 EST', 'benno.baumgartner')]</t>
  </si>
  <si>
    <t>2006-02-14 05:40 EST</t>
  </si>
  <si>
    <t>2006-02-14 12:06:58 EST</t>
  </si>
  <si>
    <t>2020-05-20 17:37:42 EDT</t>
  </si>
  <si>
    <t>[('CREATED', '2006-02-14 05:40 EST'), ('[dnd] Move: keep package as is when dropping to source folder', '2006-02-14 12:06:58 EST', 'martinae'), ('ASSIGNED', '2006-06-23 09:48:36 EDT', 'martinae'), ('stalebug', '2020-05-20 17:37:42 EDT', 'genie')]</t>
  </si>
  <si>
    <t>133375</t>
  </si>
  <si>
    <t>2006-04-03 05:53:47 EDT</t>
  </si>
  <si>
    <t>2006-02-14 05:49 EST</t>
  </si>
  <si>
    <t>2006-02-14 12:08:36 EST</t>
  </si>
  <si>
    <t>[('CREATED', '2006-02-14 05:49 EST'), ('dirk_baeumer', '2006-02-14 12:08:36 EST', 'martinae'), ('3.2 M6', '2006-02-14 12:59:53 EST', 'dirk_baeumer'), ('3.2 RC1', '2006-03-27 10:04:52 EST', 'dirk_baeumer'), ('133375', '2006-03-27 10:47:37 EST', 'dirk_baeumer'), ('RESOLVED', '2006-04-03 05:53:47 EDT', 'dirk_baeumer'), ('FIXED', '2006-04-03 05:53:47 EDT', 'dirk_baeumer')]</t>
  </si>
  <si>
    <t>2006-04-11 09:31:03 EDT</t>
  </si>
  <si>
    <t>2006-02-14 05:58 EST</t>
  </si>
  <si>
    <t>2006-02-14 12:56:25 EST</t>
  </si>
  <si>
    <t>[('CREATED', '2006-02-14 05:58 EST'), ('tobias_widmer', '2006-02-14 12:56:25 EST', 'martinae'), ('RESOLVED', '2006-04-11 09:31:03 EDT', 'tobias_widmer'), ('FIXED', '2006-04-11 09:31:03 EDT', 'tobias_widmer'), ('3.2 RC1', '2006-04-11 09:31:03 EDT', 'tobias_widmer')]</t>
  </si>
  <si>
    <t>2006-04-09 18:48:58 EDT</t>
  </si>
  <si>
    <t>2006-02-14 06:07 EST</t>
  </si>
  <si>
    <t>2006-02-14 12:35:18 EST</t>
  </si>
  <si>
    <t>[('CREATED', '2006-02-14 06:07 EST'), ('tobias_widmer', '2006-02-14 12:35:18 EST', 'martinae'), ('RESOLVED', '2006-04-09 18:48:58 EDT', 'tobias_widmer'), ('FIXED', '2006-04-09 18:48:58 EDT', 'tobias_widmer'), ('3.2 RC1', '2006-04-09 18:48:58 EDT', 'tobias_widmer')]</t>
  </si>
  <si>
    <t>127981 (view as bug list)</t>
  </si>
  <si>
    <t>2006-02-15 07:11:05 EST</t>
  </si>
  <si>
    <t>2006-02-16 04:47:32 EST</t>
  </si>
  <si>
    <t>2006-02-14 06:17 EST</t>
  </si>
  <si>
    <t>2006-02-14 12:38:06 EST</t>
  </si>
  <si>
    <t>[('CREATED', '2006-02-14 06:17 EST'), ('markus_keller', '2006-02-14 12:38:06 EST', 'martinae'), ('3.2 M5', '2006-02-15 02:24:35 EST', 'martinae'), ('eclipse', '2006-02-15 03:21:29 EST', 'daniel_megert'), ('RESOLVED', '2006-02-15 07:11:05 EST', 'markus.kell.r'), ('FIXED', '2006-02-15 07:11:05 EST', 'markus.kell.r'), ('VERIFIED', '2006-02-16 04:47:32 EST', 'benno.baumgartner')]</t>
  </si>
  <si>
    <t>2020-04-06 19:38:36 EDT</t>
  </si>
  <si>
    <t>2006-02-14 06:24 EST</t>
  </si>
  <si>
    <t>2006-02-14 06:25:07 EST</t>
  </si>
  <si>
    <t>[('CREATED', '2006-02-14 06:24 EST'), ('performance', '2006-02-14 06:25:07 EST', 'daniel_megert'), ('markus_keller', '2006-02-14 12:38:54 EST', 'martinae'), ('[introduce indirection] searches binaries', '2006-06-09 05:53:22 EDT', 'markus.kell.r'), ('ASSIGNED', '2006-06-09 05:53:22 EDT', 'markus.kell.r'), ('WONTFIX', '2020-04-06 19:38:36 EDT', 'genie'), ('CLOSED', '2020-04-06 19:38:36 EDT', 'genie'), ('stalebug', '2020-04-06 19:38:36 EDT', 'genie')]</t>
  </si>
  <si>
    <t>2020-04-12 15:43:46 EDT</t>
  </si>
  <si>
    <t>2006-02-14 06:29 EST</t>
  </si>
  <si>
    <t>2006-02-14 12:39:54 EST</t>
  </si>
  <si>
    <t>[('CREATED', '2006-02-14 06:29 EST'), ('markus_keller', '2006-02-14 12:39:54 EST', 'martinae'), ('ASSIGNED', '2006-06-09 05:50:03 EDT', 'markus.kell.r'), ("[introduce indirection] refactoring forces 'protected' on me", '2006-06-09 05:50:03 EDT', 'markus.kell.r'), ('stalebug', '2020-04-12 15:43:46 EDT', 'genie'), ('WONTFIX', '2020-04-12 15:43:46 EDT', 'genie'), ('CLOSED', '2020-04-12 15:43:46 EDT', 'genie')]</t>
  </si>
  <si>
    <t>2006-02-15 08:37:47 EST</t>
  </si>
  <si>
    <t>2006-02-14 06:30 EST</t>
  </si>
  <si>
    <t>2006-02-14 12:42:37 EST</t>
  </si>
  <si>
    <t>[('CREATED', '2006-02-14 06:30 EST'), ('tobias_widmer', '2006-02-14 12:42:37 EST', 'martinae'), ('martin_aeschlimann', '2006-02-14 12:42:45 EST', 'martinae'), ('RESOLVED', '2006-02-15 08:37:47 EST', 'tobias_widmer'), ('WORKSFORME', '2006-02-15 08:37:47 EST', 'tobias_widmer')]</t>
  </si>
  <si>
    <t>2006-04-03 10:15:20 EDT</t>
  </si>
  <si>
    <t>2006-02-14 06:33 EST</t>
  </si>
  <si>
    <t>2006-02-14 12:41:22 EST</t>
  </si>
  <si>
    <t>[('CREATED', '2006-02-14 06:33 EST'), ('markus_keller', '2006-02-14 12:41:22 EST', 'martinae'), ('ASSIGNED', '2006-02-15 08:35:49 EST', 'markus.kell.r'), ('3.2 M6', '2006-02-15 08:35:49 EST', 'markus.kell.r'), ('3.2 RC1', '2006-03-28 11:39:21 EST', 'markus.kell.r'), ('RESOLVED', '2006-04-03 10:15:20 EDT', 'markus.kell.r'), ('FIXED', '2006-04-03 10:15:20 EDT', 'markus.kell.r')]</t>
  </si>
  <si>
    <t>RESOLVED  DUPLICATE  of bug 121034</t>
  </si>
  <si>
    <t>2006-02-14 06:37:58 EST</t>
  </si>
  <si>
    <t>2006-02-14 06:36 EST</t>
  </si>
  <si>
    <t>[('CREATED', '2006-02-14 06:36 EST'), ('RESOLVED', '2006-02-14 06:37:58 EST', 'tobias_widmer'), ('DUPLICATE', '2006-02-14 06:37:58 EST', 'tobias_widmer')]</t>
  </si>
  <si>
    <t>131396 (view as bug list)</t>
  </si>
  <si>
    <t>2006-03-15 11:56:16 EST</t>
  </si>
  <si>
    <t>2006-02-14 06:38 EST</t>
  </si>
  <si>
    <t>2006-02-14 12:43:50 EST</t>
  </si>
  <si>
    <t>[('CREATED', '2006-02-14 06:38 EST'), ('benno_baumgartner', '2006-02-14 12:43:50 EST', 'martinae'), ('ASSIGNED', '2006-02-15 05:32:00 EST', 'benno.baumgartner'), ('3.2 M6', '2006-02-15 05:32:00 EST', 'benno.baumgartner'), ('wassimm', '2006-03-13 04:10:25 EST', 'benno.baumgartner'), ('RESOLVED', '2006-03-15 11:56:16 EST', 'benno.baumgartner'), ('FIXED', '2006-03-15 11:56:16 EST', 'benno.baumgartner')]</t>
  </si>
  <si>
    <t>2006-02-24 11:30:29 EST</t>
  </si>
  <si>
    <t>2006-02-14 10:32 EST</t>
  </si>
  <si>
    <t>2006-02-14 10:35:41 EST</t>
  </si>
  <si>
    <t>[('CREATED', '2006-02-14 10:32 EST'), ('3.2 M6', '2006-02-14 10:35:41 EST', 'tobias_widmer'), ('tobias_widmer', '2006-02-14 10:35:41 EST', 'tobias_widmer'), ('RESOLVED', '2006-02-24 11:30:29 EST', 'tobias_widmer'), ('FIXED', '2006-02-24 11:30:29 EST', 'tobias_widmer')]</t>
  </si>
  <si>
    <t>2006-03-06 13:25:35 EST</t>
  </si>
  <si>
    <t>2006-02-14 10:42 EST</t>
  </si>
  <si>
    <t>2006-02-14 13:01:04 EST</t>
  </si>
  <si>
    <t>[('CREATED', '2006-02-14 10:42 EST'), ('tobias_widmer', '2006-02-14 13:01:04 EST', 'martinae'), ('3.2 M6', '2006-02-15 08:38:27 EST', 'tobias_widmer'), ('RESOLVED', '2006-03-06 13:25:35 EST', 'tobias_widmer'), ('FIXED', '2006-03-06 13:25:35 EST', 'tobias_widmer')]</t>
  </si>
  <si>
    <t>2006-02-17 11:33:12 EST</t>
  </si>
  <si>
    <t>2006-02-14 10:46 EST</t>
  </si>
  <si>
    <t>[('CREATED', '2006-02-14 10:46 EST'), ('RESOLVED', '2006-02-17 11:33:12 EST', 'tobias_widmer'), ('FIXED', '2006-02-17 11:33:12 EST', 'tobias_widmer'), ('3.2 M6', '2006-02-17 11:33:12 EST', 'tobias_widmer')]</t>
  </si>
  <si>
    <t>2006-02-15 03:59:28 EST</t>
  </si>
  <si>
    <t>2006-02-16 04:26:13 EST</t>
  </si>
  <si>
    <t>2006-02-14 10:54 EST</t>
  </si>
  <si>
    <t>2006-02-14 10:54:41 EST</t>
  </si>
  <si>
    <t>[('CREATED', '2006-02-14 10:54 EST'), ('[jar exporter] failure updating to new JAR', '2006-02-14 10:54:41 EST', 'martinae'), ('RESOLVED', '2006-02-15 03:59:28 EST', 'tobias_widmer'), ('FIXED', '2006-02-15 03:59:28 EST', 'tobias_widmer'), ('VERIFIED', '2006-02-16 04:26:13 EST', 'benno.baumgartner')]</t>
  </si>
  <si>
    <t>2006-02-16 06:34:16 EST</t>
  </si>
  <si>
    <t>2006-02-14 11:47 EST</t>
  </si>
  <si>
    <t>2006-02-14 13:10:46 EST</t>
  </si>
  <si>
    <t>[('CREATED', '2006-02-14 11:47 EST'), ('tobias_widmer', '2006-02-14 13:10:46 EST', 'martinae'), ('RESOLVED', '2006-02-16 06:34:16 EST', 'tobias_widmer'), ('FIXED', '2006-02-16 06:34:16 EST', 'tobias_widmer')]</t>
  </si>
  <si>
    <t>2006-06-06 09:49:16 EDT</t>
  </si>
  <si>
    <t>2006-02-14 15:46 EST</t>
  </si>
  <si>
    <t>2006-02-14 15:46:48 EST</t>
  </si>
  <si>
    <t>[('CREATED', '2006-02-14 15:46 EST'), ('P4', '2006-02-14 15:46:48 EST', 'Mike_Wilson'), ('gunnar', '2006-02-14 17:01:43 EST', 'gunnar'), ('mn', '2006-02-16 02:49:28 EST', 'mn'), ('RESOLVED', '2006-06-06 09:49:16 EDT', 'martinae'), ('FIXED', '2006-06-06 09:49:16 EDT', 'martinae'), ('3.2', '2006-06-06 09:49:16 EDT', 'martinae')]</t>
  </si>
  <si>
    <t>RESOLVED  DUPLICATE  of bug 127661</t>
  </si>
  <si>
    <t>2006-02-15 03:21:29 EST</t>
  </si>
  <si>
    <t>2006-02-15 03:12 EST</t>
  </si>
  <si>
    <t>[('CREATED', '2006-02-15 03:12 EST'), ('RESOLVED', '2006-02-15 03:21:29 EST', 'daniel_megert'), ('DUPLICATE', '2006-02-15 03:21:29 EST', 'daniel_megert')]</t>
  </si>
  <si>
    <t>2019-09-24 12:47:18 EDT</t>
  </si>
  <si>
    <t>2019-10-09 10:45:43 EDT</t>
  </si>
  <si>
    <t>2006-02-15 03:34 EST</t>
  </si>
  <si>
    <t>2006-02-16 03:09:23 EST</t>
  </si>
  <si>
    <t>[('CREATED', '2006-02-15 03:34 EST'), ('markus_keller', '2006-02-16 03:09:23 EST', 'martinae'), ('ASSIGNED', '2006-06-09 05:52:35 EDT', 'markus.kell.r'), ('[introduce indirection] should update visibility', '2006-06-09 05:52:35 EDT', 'markus.kell.r'), ('stalebug', '2019-05-11 01:11:51 EDT', 'genie'), ('daniel_megert, markus.kell.r', '2019-05-12 12:53:13 EDT', 'daniel_megert'), (nan, '2019-05-12 12:53:13 EDT', 'daniel_megert'), ('jdt-ui-inbox', '2019-05-12 12:53:13 EDT', 'daniel_megert'), ('https://git.eclipse.org/r/148257', '2019-08-23 18:05:38 EDT', 'genie'), ('rgrunber', '2019-08-28 16:13:49 EDT', 'rgrunber'), ('kenneth', '2019-08-28 16:13:49 EDT', 'rgrunber'), ('rgrunber', '2019-08-28 16:13:49 EDT', 'rgrunber'), ('4.14 M1', '2019-09-10 10:27:51 EDT', 'rgrunber'), ('https://git.eclipse.org/c/jdt/eclipse.jdt.ui.git/commit/?id=1f4cb2aac3840b359339f5e680c859761344c36e', '2019-09-24 11:47:34 EDT', 'genie'), ('FIXED', '2019-09-24 12:47:18 EDT', 'rgrunber'), ('RESOLVED', '2019-09-24 12:47:18 EDT', 'rgrunber'), ('VERIFIED', '2019-10-09 10:45:43 EDT', 'rgrunber')]</t>
  </si>
  <si>
    <t>2006-02-16 06:09:11 EST</t>
  </si>
  <si>
    <t>2006-02-15 05:27 EST</t>
  </si>
  <si>
    <t>2006-02-15 05:28:05 EST</t>
  </si>
  <si>
    <t>[('CREATED', '2006-02-15 05:27 EST'), ('3.2 M6', '2006-02-15 05:28:05 EST', 'benno.baumgartner'), ('ASSIGNED', '2006-02-15 05:28:12 EST', 'benno.baumgartner'), ('RESOLVED', '2006-02-16 06:09:11 EST', 'benno.baumgartner'), ('FIXED', '2006-02-16 06:09:11 EST', 'benno.baumgartner')]</t>
  </si>
  <si>
    <t>328354 (view as bug list)</t>
  </si>
  <si>
    <t>2006-02-15 08:45 EST</t>
  </si>
  <si>
    <t>2006-02-15 08:46:08 EST</t>
  </si>
  <si>
    <t>2010-10-22 03:10:26 EDT</t>
  </si>
  <si>
    <t>[('CREATED', '2006-02-15 08:45 EST'), ('ASSIGNED', '2006-02-15 08:46:08 EST', 'benno.baumgartner'), ('3.2 M6', '2006-02-15 08:46:08 EST', 'benno.baumgartner'), ('akiezun', '2006-02-15 09:42:30 EST', 'akiezun'), ('---', '2006-03-27 09:22:57 EST', 'benno.baumgartner'), ('digulla', '2007-12-18 04:50:58 EST', 'digulla'), ('jdt-ui-inbox', '2008-07-16 06:08:00 EDT', 'benno.baumgartner'), ('NEW', '2008-07-16 06:08:00 EDT', 'benno.baumgartner'), ('ASSIGNED', '2008-07-16 06:08:13 EDT', 'benno.baumgartner'), ('helpwanted', '2008-07-16 06:08:13 EDT', 'benno.baumgartner'), ('alex.blewitt', '2010-10-22 03:10:26 EDT', 'daniel_megert')]</t>
  </si>
  <si>
    <t>2006-06-01 06:00:47 EDT</t>
  </si>
  <si>
    <t>2006-02-15 10:53 EST</t>
  </si>
  <si>
    <t>2006-04-15 13:35:05 EDT</t>
  </si>
  <si>
    <t>[('CREATED', '2006-02-15 10:53 EST'), ('gunnar', '2006-04-15 13:35:05 EDT', 'gunnar'), ('enhancement', '2006-04-18 04:07:37 EDT', 'benno.baumgartner'), ('RESOLVED', '2006-06-01 06:00:47 EDT', 'benno.baumgartner'), ('INVALID', '2006-06-01 06:00:47 EDT', 'benno.baumgartner')]</t>
  </si>
  <si>
    <t>2006-02-17 11:45:02 EST</t>
  </si>
  <si>
    <t>2006-02-16 06:28 EST</t>
  </si>
  <si>
    <t>2006-02-16 12:09:42 EST</t>
  </si>
  <si>
    <t>[('CREATED', '2006-02-16 06:28 EST'), ('3.2 M6', '2006-02-16 12:09:42 EST', 'tobias_widmer'), ('RESOLVED', '2006-02-17 11:45:02 EST', 'tobias_widmer'), ('FIXED', '2006-02-17 11:45:02 EST', 'tobias_widmer')]</t>
  </si>
  <si>
    <t>2006-02-17 12:31 EST</t>
  </si>
  <si>
    <t>2006-02-17 12:52:45 EST</t>
  </si>
  <si>
    <t>2019-09-19 06:03:31 EDT</t>
  </si>
  <si>
    <t>[('CREATED', '2006-02-17 12:31 EST'), ('markus_keller', '2006-02-17 12:52:45 EST', 'markus.kell.r'), ('ASSIGNED', '2006-02-22 13:10:03 EST', 'markus.kell.r'), ('[infer type arguments] introduces error with multiply-nested collections', '2006-06-09 05:52:16 EDT', 'markus.kell.r'), ('stalebug', '2019-09-19 06:03:31 EDT', 'genie')]</t>
  </si>
  <si>
    <t>2006-02-21 02:41 EST</t>
  </si>
  <si>
    <t>2006-02-21 15:37:33 EST</t>
  </si>
  <si>
    <t>2019-07-03 18:05:09 EDT</t>
  </si>
  <si>
    <t>[('CREATED', '2006-02-21 02:41 EST'), ('tobias_widmer', '2006-02-21 15:37:33 EST', 'markus.kell.r'), ('[convert anonymous] introduces wrong type parameters if the type had parameterized methods [refactoring]', '2006-05-29 09:03:16 EDT', 'tobias_widmer'), ('jdt-ui-inbox', '2007-06-14 10:42:19 EDT', 'martinae'), ('stalebug', '2019-07-03 18:05:09 EDT', 'genie')]</t>
  </si>
  <si>
    <t>2006-02-27 04:38:18 EST</t>
  </si>
  <si>
    <t>2006-02-21 05:07 EST</t>
  </si>
  <si>
    <t>2006-02-21 05:07:38 EST</t>
  </si>
  <si>
    <t>2006-03-07 09:51:30 EST</t>
  </si>
  <si>
    <t>john.arthorne</t>
  </si>
  <si>
    <t>[('CREATED', '2006-02-21 05:07 EST'), ('3.2 M6', '2006-02-21 05:07:38 EST', 'tobias_widmer'), ('erich_gamma', '2006-02-24 10:55:09 EST', 'tobias_widmer'), ('RESOLVED', '2006-02-27 04:38:18 EST', 'tobias_widmer'), ('FIXED', '2006-02-27 04:38:18 EST', 'tobias_widmer'), ('api', '2006-03-07 09:51:30 EST', 'john.arthorne')]</t>
  </si>
  <si>
    <t>2007-07-31 04:28:21 EDT</t>
  </si>
  <si>
    <t>2006-02-21 06:34 EST</t>
  </si>
  <si>
    <t>2006-02-24 05:52:17 EST</t>
  </si>
  <si>
    <t>[('CREATED', '2006-02-21 06:34 EST'), ('[dnd] DnD of a member makes file dirty', '2006-02-24 05:52:17 EST', 'martinae'), ('ASSIGNED', '2006-06-09 04:07:28 EDT', 'martinae'), ('benno_baumgartner', '2007-07-31 04:28:21 EDT', 'benno.baumgartner'), ('RESOLVED', '2007-07-31 04:28:21 EDT', 'benno.baumgartner'), ('FIXED', '2007-07-31 04:28:21 EDT', 'benno.baumgartner')]</t>
  </si>
  <si>
    <t>2006-02-22 14:20 EST</t>
  </si>
  <si>
    <t>2006-02-23 06:07:17 EST</t>
  </si>
  <si>
    <t>2007-06-14 10:46:39 EDT</t>
  </si>
  <si>
    <t>[('CREATED', '2006-02-22 14:20 EST'), ('jdt-ui-inbox', '2006-02-23 06:07:17 EST', 'philippe_mulet'), ('UI', '2006-02-23 06:07:17 EST', 'philippe_mulet'), ('tobias_widmer', '2006-02-24 06:20:34 EST', 'martinae'), ('tobias_widmer', '2006-06-09 04:08:00 EDT', 'martinae'), ('[push down] Allow on interface methods', '2006-06-09 04:08:00 EDT', 'martinae'), (nan, '2006-06-09 05:13:43 EDT', 'tobias_widmer'), ('ASSIGNED', '2006-06-09 05:13:43 EDT', 'tobias_widmer'), ('[push down] implement support to push down from interface to interface [refactoring]', '2006-06-09 05:13:43 EDT', 'tobias_widmer'), ('jdt-ui-inbox', '2007-06-14 10:46:39 EDT', 'martinae'), ('NEW', '2007-06-14 10:46:39 EDT', 'martinae')]</t>
  </si>
  <si>
    <t>2019-07-15 10:29:05 EDT</t>
  </si>
  <si>
    <t>2006-02-23 10:51 EST</t>
  </si>
  <si>
    <t>2006-02-23 10:56:03 EST</t>
  </si>
  <si>
    <t>2019-07-15 10:29:18 EDT</t>
  </si>
  <si>
    <t>[('CREATED', '2006-02-23 10:51 EST'), ('tobias_widmer', '2006-02-23 10:56:03 EST', 'martinae'), ('[reorg] useless dialog when overriding folders [refactoring]', '2006-05-29 09:07:13 EDT', 'tobias_widmer'), ('jdt-ui-inbox', '2007-06-14 10:48:44 EDT', 'martinae'), ('stalebug', '2019-07-15 05:34:56 EDT', 'genie'), ('WORKSFORME', '2019-07-15 10:29:05 EDT', 'daniel_megert'), ('RESOLVED', '2019-07-15 10:29:05 EDT', 'daniel_megert'), ('daniel_megert', '2019-07-15 10:29:05 EDT', 'daniel_megert'), (nan, '2019-07-15 10:29:18 EDT', 'daniel_megert')]</t>
  </si>
  <si>
    <t>2006-02-23 18:00 EST</t>
  </si>
  <si>
    <t>2006-02-24 07:05:31 EST</t>
  </si>
  <si>
    <t>2019-10-18 07:04:31 EDT</t>
  </si>
  <si>
    <t>[('CREATED', '2006-02-23 18:00 EST'), ('tobias_widmer', '2006-02-24 07:05:31 EST', 'martinae'), ('[pull up] refactoring does not offer to pull up constructor in the list of methods [refactoring]', '2006-05-29 09:07:35 EDT', 'tobias_widmer'), ('b.muskalla', '2006-12-08 23:39:02 EST', 'b.muskalla'), ('jdt-ui-inbox', '2007-06-14 10:46:23 EDT', 'martinae'), ('stalebug', '2019-10-18 07:04:31 EDT', 'genie')]</t>
  </si>
  <si>
    <t>2006-02-24 03:14 EST</t>
  </si>
  <si>
    <t>2006-02-24 07:30:15 EST</t>
  </si>
  <si>
    <t>2007-06-14 10:46:26 EDT</t>
  </si>
  <si>
    <t>[('CREATED', '2006-02-24 03:14 EST'), ('jdt-ui-inbox', '2006-02-24 07:30:15 EST', 'frederic_fusier'), ('UI', '2006-02-24 07:30:15 EST', 'frederic_fusier'), ('tobias_widmer', '2006-02-27 02:14:02 EST', 'martinae'), ('[pull up] refactoring of final static members should change class name in reference [refactoring]', '2006-05-29 09:07:56 EDT', 'tobias_widmer'), ('jdt-ui-inbox', '2007-06-14 10:46:26 EDT', 'martinae')]</t>
  </si>
  <si>
    <t>2006-02-27 03:22:42 EST</t>
  </si>
  <si>
    <t>2009-08-30 02:36:57 EDT</t>
  </si>
  <si>
    <t>2006-02-24 08:44 EST</t>
  </si>
  <si>
    <t>2006-02-25 05:49:36 EST</t>
  </si>
  <si>
    <t>[('CREATED', '2006-02-24 08:44 EST'), ('jdt-ui-inbox', '2006-02-25 05:49:36 EST', 'frederic_fusier'), ('UI', '2006-02-25 05:49:36 EST', 'frederic_fusier'), ('RESOLVED', '2006-02-27 03:22:42 EST', 'martinae'), ('LATER', '2006-02-27 03:22:42 EST', 'martinae'), ('WONTFIX', '2009-08-30 02:36:57 EDT', 'webmaster')]</t>
  </si>
  <si>
    <t>2006-02-27 02:31:57 EST</t>
  </si>
  <si>
    <t>2006-02-24 10:17 EST</t>
  </si>
  <si>
    <t>2006-02-24 11:31:21 EST</t>
  </si>
  <si>
    <t>[('CREATED', '2006-02-24 10:17 EST'), ('eclipse', '2006-02-24 11:31:21 EST', 'eclipse'), ('RESOLVED', '2006-02-27 02:31:57 EST', 'martinae'), ('FIXED', '2006-02-27 02:31:57 EST', 'martinae'), ('3.2 M6', '2006-02-27 02:31:57 EST', 'martinae')]</t>
  </si>
  <si>
    <t>2006-03-20 03:36:05 EST</t>
  </si>
  <si>
    <t>2006-03-17 09:48:14 EST</t>
  </si>
  <si>
    <t>2006-02-24 11:41 EST</t>
  </si>
  <si>
    <t>2006-02-24 11:44:51 EST</t>
  </si>
  <si>
    <t>[('CREATED', '2006-02-24 11:41 EST'), ('tobias_widmer', '2006-02-24 11:44:51 EST', 'tobias_widmer'), ('martin_aeschlimann', '2006-02-27 02:35:30 EST', 'martinae'), ('martin_aeschlimann', '2006-02-27 02:35:30 EST', 'martinae'), ('3.2 M6', '2006-02-27 02:37:39 EST', 'martinae'), ('RESOLVED', '2006-03-06 08:51:03 EST', 'martinae'), ('FIXED', '2006-03-06 08:51:03 EST', 'martinae'), ('REOPENED', '2006-03-17 09:48:14 EST', 'tjbishop'), ('---', '2006-03-17 09:48:14 EST', 'tjbishop'), ('tobias_widmer', '2006-03-18 04:10:30 EST', 'martinae'), ('NEW', '2006-03-18 04:10:30 EST', 'martinae'), (nan, '2006-03-20 03:36:05 EST', 'tobias_widmer'), ('RESOLVED', '2006-03-20 03:36:05 EST', 'tobias_widmer'), ('FIXED', '2006-03-20 03:36:05 EST', 'tobias_widmer')]</t>
  </si>
  <si>
    <t>2006-03-17 11:52:35 EST</t>
  </si>
  <si>
    <t>2006-03-30 11:54:54 EST</t>
  </si>
  <si>
    <t>2006-02-27 13:43 EST</t>
  </si>
  <si>
    <t>2006-02-27 13:53:22 EST</t>
  </si>
  <si>
    <t>[('CREATED', '2006-02-27 13:43 EST'), ('cisco', '2006-02-27 13:53:22 EST', 'stephen.francisco'), ('jdt-ui-inbox', '2006-02-27 13:55:50 EST', 'frederic_fusier'), ('UI', '2006-02-27 13:55:50 EST', 'frederic_fusier'), ('daniel.megert', '2006-03-01 03:10:49 EST', 'daniel_megert'), ('tobias_widmer', '2006-03-01 03:49:52 EST', 'martinae'), ('3.2 M6', '2006-03-01 03:49:52 EST', 'martinae'), ('dirk_baeumer', '2006-03-01 03:49:52 EST', 'martinae'), ('RESOLVED', '2006-03-17 11:52:35 EST', 'tobias_widmer'), ('FIXED', '2006-03-17 11:52:35 EST', 'tobias_widmer'), ('VERIFIED', '2006-03-30 11:54:54 EST', 'benno.baumgartner')]</t>
  </si>
  <si>
    <t>2006-03-01 11:09:45 EST</t>
  </si>
  <si>
    <t>2006-03-01 10:20 EST</t>
  </si>
  <si>
    <t>2006-03-01 11:05:29 EST</t>
  </si>
  <si>
    <t>2006-03-03 06:21:17 EST</t>
  </si>
  <si>
    <t>[('CREATED', '2006-03-01 10:20 EST'), ('minor', '2006-03-01 11:05:29 EST', 'mtveety'), ('RESOLVED', '2006-03-01 11:09:45 EST', 'tobias_widmer'), ('FIXED', '2006-03-01 11:09:45 EST', 'tobias_widmer'), ('3.2 M6', '2006-03-03 06:21:17 EST', 'martinae')]</t>
  </si>
  <si>
    <t>2006-03-01 11:10:50 EST</t>
  </si>
  <si>
    <t>2006-03-01 10:39 EST</t>
  </si>
  <si>
    <t>2006-03-01 11:08:51 EST</t>
  </si>
  <si>
    <t>[('CREATED', '2006-03-01 10:39 EST'), ('jdt-ui-inbox', '2006-03-01 11:08:51 EST', 'frederic_fusier'), ('UI', '2006-03-01 11:08:51 EST', 'frederic_fusier'), ('RESOLVED', '2006-03-01 11:10:50 EST', 'tobias_widmer'), ('WORKSFORME', '2006-03-01 11:10:50 EST', 'tobias_widmer')]</t>
  </si>
  <si>
    <t>2006-03-02 08:12 EST</t>
  </si>
  <si>
    <t>2006-03-03 07:08:52 EST</t>
  </si>
  <si>
    <t>2006-08-03 12:30:56 EDT</t>
  </si>
  <si>
    <t>[('CREATED', '2006-03-02 08:12 EST'), ('markus_keller', '2006-03-03 07:08:52 EST', 'martinae'), ('[rename] Rename texual references also for member types', '2006-08-03 12:30:56 EDT', 'martinae')]</t>
  </si>
  <si>
    <t>130231 (view as bug list)</t>
  </si>
  <si>
    <t>2006-04-07 05:28:45 EDT</t>
  </si>
  <si>
    <t>2006-03-28 06:04:39 EST</t>
  </si>
  <si>
    <t>2006-04-03 18:25:57 EDT</t>
  </si>
  <si>
    <t>2006-03-03 11:28 EST</t>
  </si>
  <si>
    <t>2006-03-03 11:28:59 EST</t>
  </si>
  <si>
    <t>2007-09-10 13:53:01 EDT</t>
  </si>
  <si>
    <t>jlanuti</t>
  </si>
  <si>
    <t>[('CREATED', '2006-03-03 11:28 EST'), ('Runtime', '2006-03-03 11:28:59 EST', 'mdelder'), ('Platform', '2006-03-03 11:28:59 EST', 'mdelder'), ('3.2 M6', '2006-03-03 11:28:59 EST', 'mdelder'), ('platform-runtime-inbox', '2006-03-03 11:29:51 EST', 'mdelder'), ('dirk_baeumer', '2006-03-03 12:09:03 EST', 'n.a.edgar'), ('jdt-ui-inbox', '2006-03-03 12:09:03 EST', 'n.a.edgar'), ('UI', '2006-03-03 12:09:03 EST', 'n.a.edgar'), ('JDT', '2006-03-03 12:09:03 EST', 'n.a.edgar'), ('nick_edgar', '2006-03-03 12:09:23 EST', 'n.a.edgar'), ('jsholl', '2006-03-03 12:27:47 EST', 'mdelder'), ('john_arthorne', '2006-03-03 12:40:24 EST', 'dirk_baeumer'), ('---', '2006-03-03 12:40:24 EST', 'dirk_baeumer'), ('jeff_mcaffer', '2006-03-03 12:41:21 EST', 'dirk_baeumer'), ('dirk_baeumer', '2006-03-03 12:43:04 EST', 'dirk_baeumer'), ('RESOLVED', '2006-03-26 11:25:24 EST', 'dirk_baeumer'), ('FIXED', '2006-03-26 11:25:24 EST', 'dirk_baeumer'), ('3.2 M6', '2006-03-26 11:25:24 EST', 'dirk_baeumer'), ('VERIFIED', '2006-03-28 06:04:39 EST', 'tobias_widmer'), ('REOPENED', '2006-04-03 18:25:57 EDT', 'tjwatson'), ('---', '2006-04-03 18:25:57 EDT', 'tjwatson'), ('tjwatson', '2006-04-03 18:25:57 EDT', 'tjwatson'), ('RESOLVED', '2006-04-07 05:28:45 EDT', 'dirk_baeumer'), ('FIXED', '2006-04-07 05:28:45 EDT', 'dirk_baeumer'), ('3.2 RC1', '2006-04-07 05:28:45 EDT', 'dirk_baeumer'), (nan, '2007-09-10 13:53:01 EDT', 'jlanuti')]</t>
  </si>
  <si>
    <t>2006-03-06 08:39:02 EST</t>
  </si>
  <si>
    <t>2006-03-03 16:41 EST</t>
  </si>
  <si>
    <t>[('CREATED', '2006-03-03 16:41 EST'), ('RESOLVED', '2006-03-06 08:39:02 EST', 'martinae'), ('FIXED', '2006-03-06 08:39:02 EST', 'martinae'), ('3.2 M6', '2006-03-06 08:39:02 EST', 'martinae')]</t>
  </si>
  <si>
    <t>2006-03-06 10:50 EST</t>
  </si>
  <si>
    <t>2006-03-06 10:52:09 EST</t>
  </si>
  <si>
    <t>2018-12-07 03:42:48 EST</t>
  </si>
  <si>
    <t>[('CREATED', '2006-03-06 10:50 EST'), ('jdt-ui-inbox', '2006-03-06 10:52:09 EST', 'Olivier_Thomann'), ('UI', '2006-03-06 10:52:09 EST', 'Olivier_Thomann'), ('markus_keller', '2006-03-07 05:20:54 EST', 'martinae'), ('[rename] Refactor changes methods that are not visible', '2006-08-03 11:43:18 EDT', 'martinae'), ('stalebug', '2018-12-07 03:42:48 EST', 'genie')]</t>
  </si>
  <si>
    <t>2006-03-07 05:29:58 EST</t>
  </si>
  <si>
    <t>2006-03-07 05:10 EST</t>
  </si>
  <si>
    <t>2006-03-07 05:11:22 EST</t>
  </si>
  <si>
    <t>2006-03-07 09:50:34 EST</t>
  </si>
  <si>
    <t>[('CREATED', '2006-03-07 05:10 EST'), ('john_arthorne', '2006-03-07 05:11:22 EST', 'tobias_widmer'), ('3.2 M6', '2006-03-07 05:11:22 EST', 'tobias_widmer'), ('RESOLVED', '2006-03-07 05:29:58 EST', 'tobias_widmer'), ('FIXED', '2006-03-07 05:29:58 EST', 'tobias_widmer'), ('api', '2006-03-07 09:50:34 EST', 'john.arthorne')]</t>
  </si>
  <si>
    <t>108003 (view as bug list)</t>
  </si>
  <si>
    <t>2006-03-20 11:56:30 EST</t>
  </si>
  <si>
    <t>2006-04-02 18:46:55 EDT</t>
  </si>
  <si>
    <t>2006-03-07 13:18 EST</t>
  </si>
  <si>
    <t>2006-03-08 09:18:04 EST</t>
  </si>
  <si>
    <t>darryl.smith</t>
  </si>
  <si>
    <t>[('CREATED', '2006-03-07 13:18 EST'), ('jdt-ui-inbox', '2006-03-08 09:18:04 EST', 'frederic_fusier'), ('UI', '2006-03-08 09:18:04 EST', 'frederic_fusier'), ('markus_keller', '2006-03-08 11:06:49 EST', 'martinae'), ('ASSIGNED', '2006-03-08 11:36:01 EST', 'markus.kell.r'), ('3.2 M6', '2006-03-16 11:37:36 EST', 'markus.kell.r'), ('RESOLVED', '2006-03-20 11:56:30 EST', 'markus.kell.r'), ('FIXED', '2006-03-20 11:56:30 EST', 'markus.kell.r'), ('markus_keller', '2006-03-20 11:56:43 EST', 'markus.kell.r'), ('VERIFIED', '2006-04-02 18:46:55 EDT', 'darryl.smith')]</t>
  </si>
  <si>
    <t>131495 (view as bug list)</t>
  </si>
  <si>
    <t>130909</t>
  </si>
  <si>
    <t>2006-04-09 18:39:15 EDT</t>
  </si>
  <si>
    <t>2006-03-08 09:53 EST</t>
  </si>
  <si>
    <t>2006-03-08 10:10:55 EST</t>
  </si>
  <si>
    <t>[('CREATED', '2006-03-08 09:53 EST'), ('130909', '2006-03-08 10:10:55 EST', 'tobias_widmer'), ('FIXED', '2006-04-09 18:39:15 EDT', 'tobias_widmer'), ('3.2 RC1', '2006-04-09 18:39:15 EDT', 'tobias_widmer'), ('RESOLVED', '2006-04-09 18:39:15 EDT', 'tobias_widmer')]</t>
  </si>
  <si>
    <t>2006-03-08 11:21:38 EST</t>
  </si>
  <si>
    <t>2006-03-08 11:14 EST</t>
  </si>
  <si>
    <t>2006-03-08 11:20:52 EST</t>
  </si>
  <si>
    <t>[('CREATED', '2006-03-08 11:14 EST'), ('tobias_widmer', '2006-03-08 11:20:52 EST', 'tobias_widmer'), ('3.2 M6', '2006-03-08 11:20:52 EST', 'tobias_widmer'), ('FIXED', '2006-03-08 11:21:38 EST', 'tobias_widmer'), ('RESOLVED', '2006-03-08 11:21:38 EST', 'tobias_widmer')]</t>
  </si>
  <si>
    <t>2006-03-21 12:10:29 EST</t>
  </si>
  <si>
    <t>2006-03-08 16:16 EST</t>
  </si>
  <si>
    <t>2006-03-08 16:33:44 EST</t>
  </si>
  <si>
    <t>[('CREATED', '2006-03-08 16:16 EST'), ('david_williams', '2006-03-08 16:33:44 EST', 'Darin_Swanson'), ('Darin_Swanson', '2006-03-20 13:41:39 EST', 'Darin_Swanson'), ('jdt-ui-inbox', '2006-03-20 13:45:20 EST', 'Darin_Swanson'), ('UI', '2006-03-20 13:45:20 EST', 'Darin_Swanson'), ('JDT', '2006-03-20 13:45:20 EST', 'Darin_Swanson'), ('RESOLVED', '2006-03-21 12:10:29 EST', 'markus.kell.r'), ('WORKSFORME', '2006-03-21 12:10:29 EST', 'markus.kell.r')]</t>
  </si>
  <si>
    <t>2006-03-09 07:26:08 EST</t>
  </si>
  <si>
    <t>2006-03-29 08:57:19 EST</t>
  </si>
  <si>
    <t>2006-03-09 06:52 EST</t>
  </si>
  <si>
    <t>2006-03-09 07:25:45 EST</t>
  </si>
  <si>
    <t>[('CREATED', '2006-03-09 06:52 EST'), (nan, '2006-03-09 07:25:45 EST', 'tobias_widmer'), ('tobias_widmer', '2006-03-09 07:25:45 EST', 'tobias_widmer'), ('3.2 M6', '2006-03-09 07:25:45 EST', 'tobias_widmer'), ('RESOLVED', '2006-03-09 07:26:08 EST', 'tobias_widmer'), ('FIXED', '2006-03-09 07:26:08 EST', 'tobias_widmer'), ('VERIFIED', '2006-03-29 08:57:19 EST', 'markus.kell.r')]</t>
  </si>
  <si>
    <t>2006-03-12 18:08:36 EST</t>
  </si>
  <si>
    <t>2006-03-09 20:01 EST</t>
  </si>
  <si>
    <t>[('CREATED', '2006-03-09 20:01 EST'), ('WONTFIX', '2006-03-12 18:08:36 EST', 'martinae'), ('RESOLVED', '2006-03-12 18:08:36 EST', 'martinae')]</t>
  </si>
  <si>
    <t>2006-03-15 08:53:47 EST</t>
  </si>
  <si>
    <t>2006-03-10 03:43 EST</t>
  </si>
  <si>
    <t>2006-03-12 18:09:50 EST</t>
  </si>
  <si>
    <t>2006-03-16 04:37:46 EST</t>
  </si>
  <si>
    <t>[('CREATED', '2006-03-10 03:43 EST'), ('markus_keller', '2006-03-12 18:09:50 EST', 'martinae'), ('RESOLVED', '2006-03-15 08:53:47 EST', 'markus.kell.r'), ('FIXED', '2006-03-15 08:53:47 EST', 'markus.kell.r'), ('3.2 M6', '2006-03-15 08:53:47 EST', 'markus.kell.r'), ('martin_aeschlimann', '2006-03-16 04:37:46 EST', 'markus.kell.r')]</t>
  </si>
  <si>
    <t>2006-03-10 12:13:14 EST</t>
  </si>
  <si>
    <t>2006-03-10 11:55 EST</t>
  </si>
  <si>
    <t>2006-03-10 12:08:31 EST</t>
  </si>
  <si>
    <t>[('CREATED', '2006-03-10 11:55 EST'), ('tobias_widmer', '2006-03-10 12:08:31 EST', 'tobias_widmer'), ('3.2 M6', '2006-03-10 12:08:31 EST', 'tobias_widmer'), ('RESOLVED', '2006-03-10 12:13:14 EST', 'tobias_widmer'), ('FIXED', '2006-03-10 12:13:14 EST', 'tobias_widmer')]</t>
  </si>
  <si>
    <t>2006-08-03 11:50:33 EDT</t>
  </si>
  <si>
    <t>2006-03-13 03:13 EST</t>
  </si>
  <si>
    <t>2006-03-13 07:18:42 EST</t>
  </si>
  <si>
    <t>[('CREATED', '2006-03-13 03:13 EST'), ('daniel.megert', '2006-03-13 07:18:42 EST', 'daniel_megert'), ('jdt-ui-inbox', '2006-03-13 07:18:42 EST', 'daniel_megert'), ('UI', '2006-03-13 07:18:42 EST', 'daniel_megert'), ('markus_keller', '2006-03-21 01:26:03 EST', 'martinae'), ('martin_aeschlimann', '2006-03-21 12:40:20 EST', 'markus.kell.r'), ('RESOLVED', '2006-08-03 11:50:33 EDT', 'martinae'), ('DUPLICATE', '2006-08-03 11:50:33 EDT', 'martinae')]</t>
  </si>
  <si>
    <t>RESOLVED  DUPLICATE  of bug 130902</t>
  </si>
  <si>
    <t>2006-03-29 03:05:24 EST</t>
  </si>
  <si>
    <t>2006-03-13 03:45 EST</t>
  </si>
  <si>
    <t>2006-03-13 04:46:53 EST</t>
  </si>
  <si>
    <t>2006-04-28 10:30:29 EDT</t>
  </si>
  <si>
    <t>[('CREATED', '2006-03-13 03:45 EST'), ('benno_baumgartner', '2006-03-13 04:46:53 EST', 'benno.baumgartner'), ('tobias_widmer', '2006-03-13 04:46:53 EST', 'benno.baumgartner'), ('RESOLVED', '2006-03-29 03:05:24 EST', 'tobias_widmer'), ('DUPLICATE', '2006-03-29 03:05:24 EST', 'tobias_widmer'), ('130909', '2006-04-28 10:30:29 EDT', 'tobias_widmer')]</t>
  </si>
  <si>
    <t>2006-03-29 06:00:44 EST</t>
  </si>
  <si>
    <t>2006-03-30 04:08:33 EST</t>
  </si>
  <si>
    <t>2006-03-13 07:01 EST</t>
  </si>
  <si>
    <t>2006-03-28 04:22:12 EST</t>
  </si>
  <si>
    <t>[('CREATED', '2006-03-13 07:01 EST'), ('markus_keller', '2006-03-28 04:22:12 EST', 'martinae'), ('martin_aeschlimann', '2006-03-29 05:17:40 EST', 'markus.kell.r'), ('ASSIGNED', '2006-03-29 05:17:40 EST', 'markus.kell.r'), ('3.2 M6', '2006-03-29 05:27:09 EST', 'martinae'), ('FIXED', '2006-03-29 06:00:44 EST', 'markus.kell.r'), ('RESOLVED', '2006-03-29 06:00:44 EST', 'markus.kell.r'), ('VERIFIED', '2006-03-30 04:08:33 EST', 'markus.kell.r')]</t>
  </si>
  <si>
    <t>2006-03-13 12:54:54 EST</t>
  </si>
  <si>
    <t>2006-03-13 11:17 EST</t>
  </si>
  <si>
    <t>[('CREATED', '2006-03-13 11:17 EST'), ("[ltk][refactoring] add busy cursor for 'filter changes'", '2006-03-13 12:54:54 EST', 'tobias_widmer'), ('3.2 M6', '2006-03-13 12:54:54 EST', 'tobias_widmer'), ('RESOLVED', '2006-03-13 12:54:54 EST', 'tobias_widmer'), ('FIXED', '2006-03-13 12:54:54 EST', 'tobias_widmer')]</t>
  </si>
  <si>
    <t>2006-03-24 07:45:29 EST</t>
  </si>
  <si>
    <t>2006-03-13 12:33 EST</t>
  </si>
  <si>
    <t>2006-03-14 02:17:48 EST</t>
  </si>
  <si>
    <t>[('CREATED', '2006-03-13 12:33 EST'), ('daniel.megert', '2006-03-14 02:17:48 EST', 'daniel_megert'), ('markus_keller', '2006-03-21 01:45:00 EST', 'martinae'), ('martin_aeschlimann', '2006-03-21 01:45:18 EST', 'martinae'), ('RESOLVED', '2006-03-24 07:45:29 EST', 'markus.kell.r'), ('FIXED', '2006-03-24 07:45:29 EST', 'markus.kell.r'), ('3.2 M6', '2006-03-24 07:45:29 EST', 'markus.kell.r')]</t>
  </si>
  <si>
    <t>2006-03-15 05:25:35 EST</t>
  </si>
  <si>
    <t>2006-03-14 05:10 EST</t>
  </si>
  <si>
    <t>[('CREATED', '2006-03-14 05:10 EST'), ('RESOLVED', '2006-03-15 05:25:35 EST', 'benno.baumgartner'), ('FIXED', '2006-03-15 05:25:35 EST', 'benno.baumgartner'), ('3.2 M6', '2006-03-15 05:25:35 EST', 'benno.baumgartner')]</t>
  </si>
  <si>
    <t>2006-04-05 10:50:30 EDT</t>
  </si>
  <si>
    <t>2006-03-14 10:49 EST</t>
  </si>
  <si>
    <t>2006-03-21 02:06:01 EST</t>
  </si>
  <si>
    <t>[('CREATED', '2006-03-14 10:49 EST'), ('martin_aeschlimann', '2006-03-21 02:06:01 EST', 'martinae'), ('benno_baumgartner', '2006-03-21 02:06:01 EST', 'martinae'), ('markus_keller', '2006-03-21 06:46:00 EST', 'markus.kell.r'), ('RESOLVED', '2006-04-05 10:50:30 EDT', 'benno.baumgartner'), ('WONTFIX', '2006-04-05 10:50:30 EDT', 'benno.baumgartner')]</t>
  </si>
  <si>
    <t>86293</t>
  </si>
  <si>
    <t>2006-04-10 06:28:41 EDT</t>
  </si>
  <si>
    <t>2006-03-14 12:43 EST</t>
  </si>
  <si>
    <t>2006-03-14 12:49:16 EST</t>
  </si>
  <si>
    <t>[('CREATED', '2006-03-14 12:43 EST'), ('131752', '2006-03-14 12:49:16 EST', 'martinae'), ('86293', '2006-03-14 13:37:56 EST', 'frederic_fusier'), ('ASSIGNED', '2006-03-15 06:11:46 EST', 'markus.kell.r'), ('3.2', '2006-03-15 06:11:46 EST', 'markus.kell.r'), ('3.1 RC1', '2006-04-10 06:28:41 EDT', 'markus.kell.r'), ('RESOLVED', '2006-04-10 06:28:41 EDT', 'markus.kell.r'), ('WORKSFORME', '2006-04-10 06:28:41 EDT', 'markus.kell.r')]</t>
  </si>
  <si>
    <t>2006-03-16 04:47:58 EST</t>
  </si>
  <si>
    <t>2006-03-14 13:38 EST</t>
  </si>
  <si>
    <t>2006-03-14 13:39:16 EST</t>
  </si>
  <si>
    <t>[('CREATED', '2006-03-14 13:38 EST'), ('ASSIGNED', '2006-03-14 13:39:16 EST', 'markus.kell.r'), ('api', '2006-03-14 13:39:16 EST', 'markus.kell.r'), ('3.2 M6', '2006-03-14 13:39:16 EST', 'markus.kell.r'), ('RESOLVED', '2006-03-16 04:47:58 EST', 'markus.kell.r'), ('FIXED', '2006-03-16 04:47:58 EST', 'markus.kell.r')]</t>
  </si>
  <si>
    <t>2006-03-21 02:11:51 EST</t>
  </si>
  <si>
    <t>2006-03-14 18:54 EST</t>
  </si>
  <si>
    <t>2006-03-15 03:46:10 EST</t>
  </si>
  <si>
    <t>[('CREATED', '2006-03-14 18:54 EST'), ('jdt-ui-inbox', '2006-03-15 03:46:10 EST', 'frederic_fusier'), ('UI', '2006-03-15 03:46:10 EST', 'frederic_fusier'), ('RESOLVED', '2006-03-21 02:11:51 EST', 'martinae'), ('FIXED', '2006-03-21 02:11:51 EST', 'martinae'), ('3.2 M6', '2006-03-21 02:11:51 EST', 'martinae')]</t>
  </si>
  <si>
    <t>2006-04-23 17:57:31 EDT</t>
  </si>
  <si>
    <t>2006-03-15 02:32 EST</t>
  </si>
  <si>
    <t>2006-03-21 02:09:53 EST</t>
  </si>
  <si>
    <t>[('CREATED', '2006-03-15 02:32 EST'), ('[doc] Better explain Java &gt; Compiler &gt; Javadoc &gt; Process Javadoc', '2006-03-21 02:09:53 EST', 'martinae'), ('martin_aeschlimann', '2006-03-28 03:46:16 EST', 'martinae'), ('3.2 RC1', '2006-03-28 03:46:16 EST', 'martinae'), ('3.2 RC2', '2006-04-13 12:18:05 EDT', 'martinae'), ('RESOLVED', '2006-04-23 17:57:31 EDT', 'martinae'), ('FIXED', '2006-04-23 17:57:31 EDT', 'martinae')]</t>
  </si>
  <si>
    <t>2007-07-16 12:10:14 EDT</t>
  </si>
  <si>
    <t>2006-03-16 04:10 EST</t>
  </si>
  <si>
    <t>2006-06-09 04:30:49 EDT</t>
  </si>
  <si>
    <t>[('CREATED', '2006-03-16 04:10 EST'), ('ASSIGNED', '2006-06-09 04:30:49 EDT', 'martinae'), ('RESOLVED', '2007-07-16 12:10:14 EDT', 'benno.baumgartner'), ('WORKSFORME', '2007-07-16 12:10:14 EDT', 'benno.baumgartner')]</t>
  </si>
  <si>
    <t>2008-06-11 03:21:17 EDT</t>
  </si>
  <si>
    <t>2006-03-16 11:46 EST</t>
  </si>
  <si>
    <t>2006-03-21 14:14:20 EST</t>
  </si>
  <si>
    <t>[('CREATED', '2006-03-16 11:46 EST'), ('tobias_widmer', '2006-03-21 14:14:20 EST', 'martinae'), ('[move static members] moving the method to the utility class removes the import to that class [refactoring]', '2006-05-29 09:14:46 EDT', 'tobias_widmer'), ('jdt-ui-inbox', '2007-06-14 10:45:40 EDT', 'martinae'), ('BrianMiller', '2008-06-10 12:56:52 EDT', 'Brian.Miller'), ('martin_aeschlimann', '2008-06-11 03:21:17 EDT', 'martinae'), ('RESOLVED', '2008-06-11 03:21:17 EDT', 'martinae'), ('WORKSFORME', '2008-06-11 03:21:17 EDT', 'martinae')]</t>
  </si>
  <si>
    <t>2006-03-21 11:41:42 EST</t>
  </si>
  <si>
    <t>2006-03-16 15:09 EST</t>
  </si>
  <si>
    <t>2006-03-16 15:27:11 EST</t>
  </si>
  <si>
    <t>[('CREATED', '2006-03-16 15:09 EST'), ('UI', '2006-03-16 15:27:11 EST', 'Olivier_Thomann'), ('jdt-ui-inbox', '2006-03-16 15:27:11 EST', 'Olivier_Thomann'), ('RESOLVED', '2006-03-21 11:41:42 EST', 'markus.kell.r'), ('INVALID', '2006-03-21 11:41:42 EST', 'markus.kell.r')]</t>
  </si>
  <si>
    <t>2006-03-28 06:42:41 EST</t>
  </si>
  <si>
    <t>2006-03-17 00:17 EST</t>
  </si>
  <si>
    <t>2006-03-17 12:54:56 EST</t>
  </si>
  <si>
    <t>[('CREATED', '2006-03-17 00:17 EST'), ('jeffliu', '2006-03-17 12:54:56 EST', 'jeffliu'), ('P2', '2006-03-17 12:54:56 EST', 'jeffliu'), ('1.0.2 M102', '2006-03-17 12:54:56 EST', 'jeffliu'), ('jlanuti', '2006-03-24 11:36:07 EST', 'jlanuti'), ('rfrost', '2006-03-24 16:23:33 EST', 'jlanuti'), ('---', '2006-03-27 09:49:15 EST', 'rfrost'), ('3.1.2', '2006-03-27 09:49:15 EST', 'rfrost'), ('jdt-ui-inbox', '2006-03-27 09:49:15 EST', 'rfrost'), ('UI', '2006-03-27 09:49:15 EST', 'rfrost'), ('JDT', '2006-03-27 09:49:15 EST', 'rfrost'), ('RESOLVED', '2006-03-28 06:42:41 EST', 'martinae'), ('DUPLICATE', '2006-03-28 06:42:41 EST', 'martinae')]</t>
  </si>
  <si>
    <t>2006-03-21 16:45:46 EST</t>
  </si>
  <si>
    <t>2006-03-17 04:02 EST</t>
  </si>
  <si>
    <t>2006-03-19 03:45:48 EST</t>
  </si>
  <si>
    <t>[('CREATED', '2006-03-17 04:02 EST'), ('eclipse', '2006-03-19 03:45:48 EST', 'eclipse'), ('RESOLVED', '2006-03-21 16:45:46 EST', 'martinae'), ('WORKSFORME', '2006-03-21 16:45:46 EST', 'martinae')]</t>
  </si>
  <si>
    <t>2006-03-23 07:01:01 EST</t>
  </si>
  <si>
    <t>2006-03-17 04:37 EST</t>
  </si>
  <si>
    <t>2006-03-17 04:38:10 EST</t>
  </si>
  <si>
    <t>[('CREATED', '2006-03-17 04:37 EST'), ('john_arthorne', '2006-03-17 04:38:10 EST', 'tobias_widmer'), ('3.2 M6', '2006-03-17 04:38:10 EST', 'tobias_widmer'), ('martin_aeschlimann', '2006-03-17 04:38:29 EST', 'tobias_widmer'), ('erich_gamma', '2006-03-17 04:39:06 EST', 'tobias_widmer'), ('RESOLVED', '2006-03-23 07:01:01 EST', 'tobias_widmer'), ('FIXED', '2006-03-23 07:01:01 EST', 'tobias_widmer')]</t>
  </si>
  <si>
    <t>2006-03-22 05:11:55 EST</t>
  </si>
  <si>
    <t>2006-03-18 01:04 EST</t>
  </si>
  <si>
    <t>2006-03-21 16:43:11 EST</t>
  </si>
  <si>
    <t>[('CREATED', '2006-03-18 01:04 EST'), ('markus_keller', '2006-03-21 16:43:11 EST', 'martinae'), ('RESOLVED', '2006-03-22 05:11:55 EST', 'markus.kell.r'), ('DUPLICATE', '2006-03-22 05:11:55 EST', 'markus.kell.r')]</t>
  </si>
  <si>
    <t>2006-03-19 07:57:51 EST</t>
  </si>
  <si>
    <t>2006-03-18 07:31 EST</t>
  </si>
  <si>
    <t>[('CREATED', '2006-03-18 07:31 EST'), ('WORKSFORME', '2006-03-19 07:57:51 EST', 'max.gilead'), ('RESOLVED', '2006-03-19 07:57:51 EST', 'max.gilead')]</t>
  </si>
  <si>
    <t>2007-05-10 04:10:20 EDT</t>
  </si>
  <si>
    <t>2006-03-19 18:54 EST</t>
  </si>
  <si>
    <t>2006-03-19 18:57:55 EST</t>
  </si>
  <si>
    <t>[('CREATED', '2006-03-19 18:54 EST'), ('critical', '2006-03-19 18:57:55 EST', 'martinae'), ('3.2 M6', '2006-03-20 04:10:08 EST', 'tobias_widmer'), ('3.2', '2006-03-27 08:34:14 EST', 'tobias_widmer'), ('normal', '2006-04-05 09:17:59 EDT', 'tobias_widmer'), ('---', '2006-04-05 09:17:59 EDT', 'tobias_widmer'), ('[deprecation][scripting] refactoring fails with error on writing deprecation script [refactoring]', '2006-05-29 09:17:03 EDT', 'tobias_widmer'), ('RESOLVED', '2007-05-10 04:10:20 EDT', 'martinae'), ('INVALID', '2007-05-10 04:10:20 EDT', 'martinae')]</t>
  </si>
  <si>
    <t>2006-03-20 09:01:08 EST</t>
  </si>
  <si>
    <t>2006-03-20 07:09 EST</t>
  </si>
  <si>
    <t>2006-03-20 08:58:40 EST</t>
  </si>
  <si>
    <t>[('CREATED', '2006-03-20 07:09 EST'), ('jdt-ui-inbox', '2006-03-20 08:58:40 EST', 'Olivier_Thomann'), ('UI', '2006-03-20 08:58:40 EST', 'Olivier_Thomann'), ('WORKSFORME', '2006-03-20 09:01:08 EST', 'tobias_widmer'), ('RESOLVED', '2006-03-20 09:01:08 EST', 'tobias_widmer')]</t>
  </si>
  <si>
    <t>2006-04-20 03:25:43 EDT</t>
  </si>
  <si>
    <t>2006-03-20 18:11 EST</t>
  </si>
  <si>
    <t>2006-03-21 17:06:13 EST</t>
  </si>
  <si>
    <t>[('CREATED', '2006-03-20 18:11 EST'), ('tobias_widmer', '2006-03-21 17:06:13 EST', 'martinae'), (nan, '2006-03-22 03:47:52 EST', 'tobias_widmer'), ('martin_aeschlimann', '2006-03-22 03:48:17 EST', 'tobias_widmer'), ('3.2', '2006-04-13 05:46:29 EDT', 'tobias_widmer'), ('3.2 RC2', '2006-04-20 03:25:43 EDT', 'tobias_widmer'), ('RESOLVED', '2006-04-20 03:25:43 EDT', 'tobias_widmer'), ('FIXED', '2006-04-20 03:25:43 EDT', 'tobias_widmer')]</t>
  </si>
  <si>
    <t>2006-04-06 03:48:22 EDT</t>
  </si>
  <si>
    <t>2006-03-21 05:50:47 EST</t>
  </si>
  <si>
    <t>2006-03-22 20:05:42 EST</t>
  </si>
  <si>
    <t>2006-03-20 18:25 EST</t>
  </si>
  <si>
    <t>2006-03-21 05:48:57 EST</t>
  </si>
  <si>
    <t>2006-04-06 09:40:46 EDT</t>
  </si>
  <si>
    <t>[('CREATED', '2006-03-20 18:25 EST'), (nan, '2006-03-21 05:48:57 EST', 'tobias_widmer'), ('tobias_widmer', '2006-03-21 05:48:57 EST', 'tobias_widmer'), ('3.2 M6', '2006-03-21 05:48:57 EST', 'tobias_widmer'), ('RESOLVED', '2006-03-21 05:50:47 EST', 'tobias_widmer'), ('FIXED', '2006-03-21 05:50:47 EST', 'tobias_widmer'), ('REOPENED', '2006-03-22 20:05:42 EST', 'dirk_baeumer'), ('---', '2006-03-22 20:05:42 EST', 'dirk_baeumer'), ('3.2', '2006-03-27 08:15:59 EST', 'tobias_widmer'), ('RESOLVED', '2006-04-06 03:48:22 EDT', 'tobias_widmer'), ('WORKSFORME', '2006-04-06 03:48:22 EDT', 'tobias_widmer'), ('3.2 RC1', '2006-04-06 09:40:46 EDT', 'tobias_widmer')]</t>
  </si>
  <si>
    <t>2006-03-31 10:46:15 EST</t>
  </si>
  <si>
    <t>2006-03-21 10:12 EST</t>
  </si>
  <si>
    <t>2006-03-22 13:05:43 EST</t>
  </si>
  <si>
    <t>2006-05-05 18:02:10 EDT</t>
  </si>
  <si>
    <t>[('CREATED', '2006-03-21 10:12 EST'), ('enhancement', '2006-03-22 13:05:43 EST', 'markus.kell.r'), ('ASSIGNED', '2006-03-22 13:05:43 EST', 'markus.kell.r'), ('dirk_baeumer', '2006-03-22 13:05:43 EST', 'markus.kell.r'), ('markus_keller', '2006-03-28 05:39:01 EST', 'martinae'), ('NEW', '2006-03-28 05:39:01 EST', 'martinae'), ('ASSIGNED', '2006-03-29 08:24:34 EST', 'markus.kell.r'), ('3.1 RC1', '2006-03-31 09:20:00 EST', 'markus.kell.r'), ('RESOLVED', '2006-03-31 10:46:15 EST', 'markus.kell.r'), ('FIXED', '2006-03-31 10:46:15 EST', 'markus.kell.r'), ('3.2 RC1', '2006-05-05 18:02:10 EDT', 'markus.kell.r')]</t>
  </si>
  <si>
    <t>2006-03-28 03:44:15 EST</t>
  </si>
  <si>
    <t>2006-03-21 16:22 EST</t>
  </si>
  <si>
    <t>2006-03-21 17:14:53 EST</t>
  </si>
  <si>
    <t>[('CREATED', '2006-03-21 16:22 EST'), ('jdt-ui-inbox', '2006-03-21 17:14:53 EST', 'frederic_fusier'), ('UI', '2006-03-21 17:14:53 EST', 'frederic_fusier'), ('RESOLVED', '2006-03-28 03:44:15 EST', 'martinae'), ('DUPLICATE', '2006-03-28 03:44:15 EST', 'martinae')]</t>
  </si>
  <si>
    <t>2006-03-23 15:51:11 EST</t>
  </si>
  <si>
    <t>2006-03-21 16:39 EST</t>
  </si>
  <si>
    <t>2006-03-21 16:39:50 EST</t>
  </si>
  <si>
    <t>[('CREATED', '2006-03-21 16:39 EST'), ('[junit] NPE in new junit suite wizard', '2006-03-21 16:39:50 EST', 'martinae'), ('ASSIGNED', '2006-03-22 09:00:36 EST', 'markus.kell.r'), ('FIXED', '2006-03-23 15:51:11 EST', 'markus.kell.r'), ('3.2 M6', '2006-03-23 15:51:11 EST', 'markus.kell.r'), ('RESOLVED', '2006-03-23 15:51:11 EST', 'markus.kell.r')]</t>
  </si>
  <si>
    <t>RESOLVED  DUPLICATE  of bug 99933</t>
  </si>
  <si>
    <t>2006-03-22 12:42:53 EST</t>
  </si>
  <si>
    <t>2006-03-22 09:52 EST</t>
  </si>
  <si>
    <t>[('CREATED', '2006-03-22 09:52 EST'), ('RESOLVED', '2006-03-22 12:42:53 EST', 'markus.kell.r'), ('DUPLICATE', '2006-03-22 12:42:53 EST', 'markus.kell.r')]</t>
  </si>
  <si>
    <t>2006-03-23 06:40:54 EST</t>
  </si>
  <si>
    <t>2006-03-22 21:16 EST</t>
  </si>
  <si>
    <t>2006-03-22 21:22:05 EST</t>
  </si>
  <si>
    <t>[('CREATED', '2006-03-22 21:16 EST'), ('jdt-ui-inbox', '2006-03-22 21:22:05 EST', 'Olivier_Thomann'), ('UI', '2006-03-22 21:22:05 EST', 'Olivier_Thomann'), ('markus_keller', '2006-03-23 06:31:48 EST', 'markus.kell.r'), ('3.2 M6', '2006-03-23 06:31:48 EST', 'markus.kell.r'), ('RESOLVED', '2006-03-23 06:40:54 EST', 'markus.kell.r'), ('FIXED', '2006-03-23 06:40:54 EST', 'markus.kell.r')]</t>
  </si>
  <si>
    <t>2006-03-27 08:27:09 EST</t>
  </si>
  <si>
    <t>2006-03-24 09:21 EST</t>
  </si>
  <si>
    <t>2006-03-24 10:07:19 EST</t>
  </si>
  <si>
    <t>[('CREATED', '2006-03-24 09:21 EST'), ('markus_keller', '2006-03-24 10:07:19 EST', 'markus.kell.r'), ('tobias_widmer', '2006-03-24 10:07:19 EST', 'markus.kell.r'), ('RESOLVED', '2006-03-27 08:27:09 EST', 'tobias_widmer'), ('FIXED', '2006-03-27 08:27:09 EST', 'tobias_widmer'), ('3.2 M6', '2006-03-27 08:27:09 EST', 'tobias_widmer')]</t>
  </si>
  <si>
    <t>37466 171074 (view as bug list)</t>
  </si>
  <si>
    <t>174609</t>
  </si>
  <si>
    <t>2007-04-04 11:12:21 EDT</t>
  </si>
  <si>
    <t>2006-03-25 16:38 EST</t>
  </si>
  <si>
    <t>2006-03-27 08:10:50 EST</t>
  </si>
  <si>
    <t>2007-06-06 03:42:54 EDT</t>
  </si>
  <si>
    <t>[('CREATED', '2006-03-25 16:38 EST'), ('jdt-ui-inbox', '2006-03-27 08:10:50 EST', 'jerome_lanneluc'), ('UI', '2006-03-27 08:10:50 EST', 'jerome_lanneluc'), ('benno_baumgartner', '2006-03-28 06:13:45 EST', 'martinae'), ('sarcher', '2007-01-19 12:13:48 EST', 'benno.baumgartner'), ('3.3 M6', '2007-01-24 04:13:38 EST', 'benno.baumgartner'), ('haeber', '2007-01-29 03:51:50 EST', 'haeber'), ('1', '2007-02-08 20:53:04 EST', 'alex.blewitt'), ('1', '2007-02-08 20:53:04 EST', 'alex.blewitt'), ('174609', '2007-02-19 05:37:16 EST', 'benno.baumgartner'), ('3.3', '2007-03-13 08:06:50 EDT', 'martinae'), ('3.3 M7', '2007-04-02 08:41:13 EDT', 'benno.baumgartner'), ('1', '2007-04-04 11:00:36 EDT', 'benno.baumgartner'), ('1', '2007-04-04 11:09:08 EDT', 'benno.baumgartner'), ('RESOLVED', '2007-04-04 11:12:21 EDT', 'benno.baumgartner'), ('FIXED', '2007-04-04 11:12:21 EDT', 'benno.baumgartner'), ('ggregory', '2007-04-04 11:35:10 EDT', 'benno.baumgartner'), ('contributed', '2007-06-06 03:42:54 EDT', 'martinae'), ('[actions] Allow Sort Members to be performed on package and project levels', '2007-06-06 03:42:54 EDT', 'martinae')]</t>
  </si>
  <si>
    <t>RESOLVED  DUPLICATE  of bug 105609</t>
  </si>
  <si>
    <t>133506</t>
  </si>
  <si>
    <t>2006-03-28 10:49:47 EST</t>
  </si>
  <si>
    <t>2006-03-28 10:49:17 EST</t>
  </si>
  <si>
    <t>2006-03-28 03:38 EST</t>
  </si>
  <si>
    <t>2006-03-28 08:03:06 EST</t>
  </si>
  <si>
    <t>[('CREATED', '2006-03-28 03:38 EST'), ('REMIND', '2006-03-28 08:03:06 EST', 'martinae'), ('133506', '2006-03-28 08:03:06 EST', 'martinae'), ('RESOLVED', '2006-03-28 08:03:06 EST', 'martinae'), ('REOPENED', '2006-03-28 10:47:49 EST', 'markus.kell.r'), ('---', '2006-03-28 10:47:49 EST', 'markus.kell.r'), ('RESOLVED', '2006-03-28 10:48:02 EST', 'markus.kell.r'), ('DUPLICATE', '2006-03-28 10:48:02 EST', 'markus.kell.r'), ('REOPENED', '2006-03-28 10:49:17 EST', 'markus.kell.r'), ('---', '2006-03-28 10:49:17 EST', 'markus.kell.r'), ('RESOLVED', '2006-03-28 10:49:47 EST', 'markus.kell.r'), ('DUPLICATE', '2006-03-28 10:49:47 EST', 'markus.kell.r')]</t>
  </si>
  <si>
    <t>2006-03-30 11:28:51 EST</t>
  </si>
  <si>
    <t>2006-04-03 09:43:52 EDT</t>
  </si>
  <si>
    <t>2006-03-29 09:30:50 EST</t>
  </si>
  <si>
    <t>2006-03-28 05:13 EST</t>
  </si>
  <si>
    <t>2006-03-28 08:04:28 EST</t>
  </si>
  <si>
    <t>[('CREATED', '2006-03-28 05:13 EST'), ('benno_baumgartner', '2006-03-28 08:04:28 EST', 'martinae'), ('3.2 M6', '2006-03-28 08:04:28 EST', 'martinae'), ('martin_aeschlimann', '2006-03-29 07:37:37 EST', 'benno.baumgartner'), ('RESOLVED', '2006-03-29 09:12:39 EST', 'benno.baumgartner'), ('FIXED', '2006-03-29 09:12:39 EST', 'benno.baumgartner'), ('REOPENED', '2006-03-29 09:30:50 EST', 'martinae'), ('---', '2006-03-29 09:30:50 EST', 'martinae'), ('RESOLVED', '2006-03-30 11:28:51 EST', 'benno.baumgartner'), ('FIXED', '2006-03-30 11:28:51 EST', 'benno.baumgartner'), ('VERIFIED', '2006-04-03 09:43:52 EDT', 'martinae')]</t>
  </si>
  <si>
    <t>2010-12-02 04:58:48 EST</t>
  </si>
  <si>
    <t>2006-04-06 09:53:49 EDT</t>
  </si>
  <si>
    <t>2006-03-28 07:52 EST</t>
  </si>
  <si>
    <t>2006-03-28 08:28:31 EST</t>
  </si>
  <si>
    <t>[('CREATED', '2006-03-28 07:52 EST'), ('tobias_widmer', '2006-03-28 08:28:31 EST', 'martinae'), ('RESOLVED', '2006-04-06 09:39:42 EDT', 'tobias_widmer'), ('WORKSFORME', '2006-04-06 09:39:42 EDT', 'tobias_widmer'), ('3.2 RC1', '2006-04-06 09:39:42 EDT', 'tobias_widmer'), ('---', '2006-04-06 09:53:49 EDT', 'markus.kell.r'), ('REOPENED', '2006-04-06 09:53:49 EDT', 'markus.kell.r'), ('---', '2006-04-06 09:53:49 EDT', 'markus.kell.r'), ('markus_keller', '2006-04-06 09:54:24 EDT', 'markus.kell.r'), ('NEW', '2006-04-06 09:54:24 EDT', 'markus.kell.r'), ('[extract local] NPE trying to extract local variable from annotation argument', '2006-08-03 12:27:02 EDT', 'martinae'), ('deepak.azad', '2010-09-04 13:28:58 EDT', 'deepakazad'), ('RESOLVED', '2010-12-02 04:58:48 EST', 'daniel_megert'), ('daniel_megert', '2010-12-02 04:58:48 EST', 'daniel_megert'), ('WORKSFORME', '2010-12-02 04:58:48 EST', 'daniel_megert')]</t>
  </si>
  <si>
    <t>2006-04-04 13:00:41 EDT</t>
  </si>
  <si>
    <t>2006-03-28 08:40 EST</t>
  </si>
  <si>
    <t>2006-03-28 08:42:41 EST</t>
  </si>
  <si>
    <t>[('CREATED', '2006-03-28 08:40 EST'), ('martin_aeschlimann', '2006-03-28 08:42:41 EST', 'tobias_widmer'), ('tobias_widmer', '2006-03-28 08:42:41 EST', 'tobias_widmer'), ('3.2', '2006-03-29 03:49:12 EST', 'tobias_widmer'), ('RESOLVED', '2006-04-04 13:00:41 EDT', 'tobias_widmer'), ('FIXED', '2006-04-04 13:00:41 EDT', 'tobias_widmer'), ('3.2 RC1', '2006-04-04 13:00:41 EDT', 'tobias_widmer')]</t>
  </si>
  <si>
    <t>2006-04-27 07:16:07 EDT</t>
  </si>
  <si>
    <t>2006-03-28 10:31 EST</t>
  </si>
  <si>
    <t>2006-03-29 05:08:55 EST</t>
  </si>
  <si>
    <t>[('CREATED', '2006-03-28 10:31 EST'), ('markus_keller', '2006-03-29 05:08:55 EST', 'tobias_widmer'), ('ASSIGNED', '2006-03-29 05:20:58 EST', 'markus.kell.r'), ('3.2 RC1', '2006-03-29 05:20:58 EST', 'markus.kell.r'), ('3.2 RC2', '2006-04-13 12:18:52 EDT', 'martinae'), ('RESOLVED', '2006-04-27 07:16:07 EDT', 'markus.kell.r'), ('FIXED', '2006-04-27 07:16:07 EDT', 'markus.kell.r')]</t>
  </si>
  <si>
    <t>327485 349308 417247 (view as bug list)</t>
  </si>
  <si>
    <t>2020-03-20 12:10:29 EDT</t>
  </si>
  <si>
    <t>2006-03-28 10:34 EST</t>
  </si>
  <si>
    <t>2006-06-02 01:11:50 EDT</t>
  </si>
  <si>
    <t>[('CREATED', '2006-03-28 10:34 EST'), ('fpahl', '2006-06-02 01:11:50 EDT', 'fpahl'), ('markus_keller', '2006-06-02 10:14:38 EDT', 'martinae'), ('[extract local] introduces possible NPE', '2006-06-02 10:14:38 EDT', 'martinae'), ('luke.hutch', '2010-12-02 04:55:06 EST', 'daniel_megert'), ('kalinka1948', '2011-06-14 11:03:26 EDT', 'markus.kell.r'), ('ASSIGNED', '2011-06-14 11:05:19 EDT', 'markus.kell.r'), ('jdt-ui-inbox', '2011-06-14 11:05:19 EDT', 'markus.kell.r'), ('[extract local] putting variable initializer outside of guard can introduce NPEs and other bugs', '2011-06-14 11:05:19 EDT', 'markus.kell.r'), ('fix candidate', '2011-06-14 11:05:19 EDT', 'markus.kell.r'), ('ed', '2013-09-16 02:28:10 EDT', 'noopur_gupta'), ('CLOSED', '2020-03-20 12:10:29 EDT', 'genie'), ('WONTFIX', '2020-03-20 12:10:29 EDT', 'genie'), ('stalebug', '2020-03-20 12:10:29 EDT', 'genie')]</t>
  </si>
  <si>
    <t>2006-03-29 07:23:16 EST</t>
  </si>
  <si>
    <t>2006-03-30 05:30:45 EST</t>
  </si>
  <si>
    <t>2006-03-28 11:58 EST</t>
  </si>
  <si>
    <t>2006-03-29 04:02:32 EST</t>
  </si>
  <si>
    <t>[('CREATED', '2006-03-28 11:58 EST'), ('tobias_widmer', '2006-03-29 04:02:32 EST', 'martinae'), ('3.2 M6', '2006-03-29 04:02:32 EST', 'martinae'), ('RESOLVED', '2006-03-29 07:23:16 EST', 'tobias_widmer'), ('FIXED', '2006-03-29 07:23:16 EST', 'tobias_widmer'), ('VERIFIED', '2006-03-30 05:30:45 EST', 'benno.baumgartner')]</t>
  </si>
  <si>
    <t>2006-04-27 06:14:11 EDT</t>
  </si>
  <si>
    <t>2006-03-28 12:16 EST</t>
  </si>
  <si>
    <t>2006-03-29 04:05:39 EST</t>
  </si>
  <si>
    <t>[('CREATED', '2006-03-28 12:16 EST'), ('tobias_widmer', '2006-03-29 04:05:39 EST', 'martinae'), ('3.2', '2006-04-12 08:32:10 EDT', 'tobias_widmer'), ('RESOLVED', '2006-04-27 06:14:11 EDT', 'tobias_widmer'), ('FIXED', '2006-04-27 06:14:11 EDT', 'tobias_widmer'), ('3.2 RC2', '2006-04-27 06:14:11 EDT', 'tobias_widmer')]</t>
  </si>
  <si>
    <t>2007-10-04 11:53:25 EDT</t>
  </si>
  <si>
    <t>2006-03-28 12:23 EST</t>
  </si>
  <si>
    <t>2006-03-29 05:11:37 EST</t>
  </si>
  <si>
    <t>[('CREATED', '2006-03-28 12:23 EST'), ('tobias_widmer', '2006-03-29 05:11:37 EST', 'martinae'), ('[extract superclass] MTE on extract superclass preview', '2006-05-29 09:18:59 EDT', 'tobias_widmer'), ('[extract superclass] MTE on extract superclass preview [refactoring]', '2006-05-29 09:26:01 EDT', 'tobias_widmer'), ('3.3', '2007-02-16 04:37:27 EST', 'martinae'), ('3.4', '2007-06-01 12:11:56 EDT', 'martinae'), ('jdt-ui-inbox', '2007-06-14 10:43:08 EDT', 'martinae'), ('martin_aeschlimann', '2007-10-04 11:50:32 EDT', 'martinae'), ('martin_aeschlimann', '2007-10-04 11:50:32 EDT', 'martinae'), ('3.4 M3', '2007-10-04 11:50:32 EDT', 'martinae'), ('FIXED', '2007-10-04 11:53:25 EDT', 'martinae'), ('markus_keller', '2007-10-04 11:53:25 EDT', 'martinae'), ('RESOLVED', '2007-10-04 11:53:25 EDT', 'martinae')]</t>
  </si>
  <si>
    <t>2006-04-05 06:39:07 EDT</t>
  </si>
  <si>
    <t>2006-03-28 12:37 EST</t>
  </si>
  <si>
    <t>2006-03-29 05:12:10 EST</t>
  </si>
  <si>
    <t>2006-04-05 06:39:50 EDT</t>
  </si>
  <si>
    <t>[('CREATED', '2006-03-28 12:37 EST'), ('tobias_widmer', '2006-03-29 05:12:10 EST', 'martinae'), ('3.2', '2006-03-29 05:17:17 EST', 'tobias_widmer'), ('RESOLVED', '2006-04-05 06:39:07 EDT', 'tobias_widmer'), ('FIXED', '2006-04-05 06:39:07 EDT', 'tobias_widmer'), ('3.2 RC1', '2006-04-05 06:39:50 EDT', 'tobias_widmer')]</t>
  </si>
  <si>
    <t>2006-03-29 05:35:20 EST</t>
  </si>
  <si>
    <t>2006-03-30 05:04:00 EST</t>
  </si>
  <si>
    <t>2006-03-29 05:34 EST</t>
  </si>
  <si>
    <t>[('CREATED', '2006-03-29 05:34 EST'), ('RESOLVED', '2006-03-29 05:35:20 EST', 'tobias_widmer'), ('FIXED', '2006-03-29 05:35:20 EST', 'tobias_widmer'), ('3.2 M6', '2006-03-29 05:35:20 EST', 'tobias_widmer'), ('VERIFIED', '2006-03-30 05:04:00 EST', 'martinae')]</t>
  </si>
  <si>
    <t>2006-03-29 11:11:02 EST</t>
  </si>
  <si>
    <t>2006-03-30 05:45:47 EST</t>
  </si>
  <si>
    <t>2006-03-29 08:38 EST</t>
  </si>
  <si>
    <t>2006-03-29 09:15:32 EST</t>
  </si>
  <si>
    <t>[('CREATED', '2006-03-29 08:38 EST'), ('martin_aeschlimann', '2006-03-29 09:15:32 EST', 'martinae'), ('tobias_widmer', '2006-03-29 09:15:32 EST', 'martinae'), ('3.2 M6', '2006-03-29 09:15:32 EST', 'martinae'), ('RESOLVED', '2006-03-29 11:11:02 EST', 'tobias_widmer'), ('FIXED', '2006-03-29 11:11:02 EST', 'tobias_widmer'), ('VERIFIED', '2006-03-30 05:45:47 EST', 'benno.baumgartner')]</t>
  </si>
  <si>
    <t>2006-04-04 09:18:39 EDT</t>
  </si>
  <si>
    <t>2006-03-29 12:31 EST</t>
  </si>
  <si>
    <t>[('CREATED', '2006-03-29 12:31 EST'), ('FIXED', '2006-04-04 09:18:39 EDT', 'tobias_widmer'), ('3.2 RC1', '2006-04-04 09:18:39 EDT', 'tobias_widmer'), ('RESOLVED', '2006-04-04 09:18:39 EDT', 'tobias_widmer')]</t>
  </si>
  <si>
    <t>2006-03-31 09:43:26 EST</t>
  </si>
  <si>
    <t>2006-03-30 05:38 EST</t>
  </si>
  <si>
    <t>[('CREATED', '2006-03-30 05:38 EST'), ('3.2 RC1', '2006-03-31 09:43:26 EST', 'markus.kell.r'), ('RESOLVED', '2006-03-31 09:43:26 EST', 'markus.kell.r'), ('FIXED', '2006-03-31 09:43:26 EST', 'markus.kell.r')]</t>
  </si>
  <si>
    <t>2020-01-27 01:44:05 EST</t>
  </si>
  <si>
    <t>2006-03-30 05:58 EST</t>
  </si>
  <si>
    <t>2006-04-04 13:27:49 EDT</t>
  </si>
  <si>
    <t>[('CREATED', '2006-03-30 05:58 EST'), ('jdt-ui-inbox', '2006-04-04 13:27:49 EDT', 'jerome_lanneluc'), ('UI', '2006-04-04 13:27:49 EDT', 'jerome_lanneluc'), ('tobias_widmer', '2006-04-04 13:35:33 EDT', 'martinae'), ('jerome_lanneluc', '2006-04-13 05:42:36 EDT', 'tobias_widmer'), ('[extract superclass] incorrect type hierarchy update [refactoring]', '2006-05-29 09:20:06 EDT', 'tobias_widmer'), ('3.3', '2007-02-16 04:37:47 EST', 'martinae'), ('3.4', '2007-06-01 12:12:10 EDT', 'martinae'), ('jdt-ui-inbox', '2007-06-14 10:43:06 EDT', 'martinae'), ('---', '2008-05-18 05:05:30 EDT', 'martinae'), ('stalebug', '2020-01-27 01:44:05 EST', 'genie'), ('WONTFIX', '2020-01-27 01:44:05 EST', 'genie'), ('CLOSED', '2020-01-27 01:44:05 EST', 'genie')]</t>
  </si>
  <si>
    <t>2006-03-30 08:31 EST</t>
  </si>
  <si>
    <t>2006-05-29 09:26:27 EDT</t>
  </si>
  <si>
    <t>2019-08-31 08:35:45 EDT</t>
  </si>
  <si>
    <t>[('CREATED', '2006-03-30 08:31 EST'), ('[move method] user interface issues [refactoring]', '2006-05-29 09:26:27 EDT', 'tobias_widmer'), ('jdt-ui-inbox', '2007-06-14 10:45:19 EDT', 'martinae'), ('stalebug', '2019-08-31 08:35:45 EDT', 'genie')]</t>
  </si>
  <si>
    <t>2006-04-04 06:19:34 EDT</t>
  </si>
  <si>
    <t>2006-03-30 08:36 EST</t>
  </si>
  <si>
    <t>[('CREATED', '2006-03-30 08:36 EST'), ('RESOLVED', '2006-04-04 06:19:34 EDT', 'tobias_widmer'), ('FIXED', '2006-04-04 06:19:34 EDT', 'tobias_widmer'), ('3.2 RC1', '2006-04-04 06:19:34 EDT', 'tobias_widmer')]</t>
  </si>
  <si>
    <t>2020-04-09 14:05:10 EDT</t>
  </si>
  <si>
    <t>2006-03-30 08:56 EST</t>
  </si>
  <si>
    <t>2006-03-30 10:20:09 EST</t>
  </si>
  <si>
    <t>[('CREATED', '2006-03-30 08:56 EST'), ('tobias_widmer', '2006-03-30 10:20:09 EST', 'martinae'), ('[extract superclass] sometimes has to implement interface as well [refactoring]', '2006-05-29 09:26:47 EDT', 'tobias_widmer'), ('jdt-ui-inbox', '2007-06-14 10:43:09 EDT', 'martinae'), ('CLOSED', '2020-04-09 14:05:10 EDT', 'genie'), ('WONTFIX', '2020-04-09 14:05:10 EDT', 'genie'), ('stalebug', '2020-04-09 14:05:10 EDT', 'genie')]</t>
  </si>
  <si>
    <t>2006-05-14 08:08:05 EDT</t>
  </si>
  <si>
    <t>2006-04-03 09:38 EDT</t>
  </si>
  <si>
    <t>2006-05-11 10:50:44 EDT</t>
  </si>
  <si>
    <t>2006-05-14 08:08:41 EDT</t>
  </si>
  <si>
    <t>afarrag</t>
  </si>
  <si>
    <t>[('CREATED', '2006-04-03 09:38 EDT'), ("BiDi3.2: The Extract interface window shouldn't be mirrored", '2006-05-11 10:50:44 EDT', 'afarrag'), ('jdt-ui-inbox', '2006-05-11 12:54:33 EDT', 'andre_weinand'), ('UI', '2006-05-11 12:54:33 EDT', 'andre_weinand'), ('JDT', '2006-05-11 12:54:33 EDT', 'andre_weinand'), ('RESOLVED', '2006-05-14 08:08:05 EDT', 'afarrag'), ('FIXED', '2006-05-14 08:08:05 EDT', 'afarrag'), ('CLOSED', '2006-05-14 08:08:41 EDT', 'afarrag')]</t>
  </si>
  <si>
    <t>2006-04-03 10:55:50 EDT</t>
  </si>
  <si>
    <t>2006-04-03 10:50 EDT</t>
  </si>
  <si>
    <t>[('CREATED', '2006-04-03 10:50 EDT'), ('3.2 RC1', '2006-04-03 10:55:50 EDT', 'benno.baumgartner'), ('RESOLVED', '2006-04-03 10:55:50 EDT', 'benno.baumgartner'), ('FIXED', '2006-04-03 10:55:50 EDT', 'benno.baumgartner')]</t>
  </si>
  <si>
    <t>2006-04-05 11:37:20 EDT</t>
  </si>
  <si>
    <t>2006-04-03 23:31 EDT</t>
  </si>
  <si>
    <t>2006-04-05 11:37:02 EDT</t>
  </si>
  <si>
    <t>[('CREATED', '2006-04-03 23:31 EDT'), ('martin_aeschlimann', '2006-04-05 11:37:02 EDT', 'martinae'), ('[quick fix] ClassCastException: org.eclipse.jdt.internal.ui.text.correction.QuickAssistProcessor.getSplitVariableProposals(QuickAssistProcessor.java:418)', '2006-04-05 11:37:02 EDT', 'martinae'), ('RESOLVED', '2006-04-05 11:37:20 EDT', 'martinae'), ('FIXED', '2006-04-05 11:37:20 EDT', 'martinae'), ('3.2 RC1', '2006-04-05 11:37:20 EDT', 'martinae')]</t>
  </si>
  <si>
    <t>2006-04-04 07:33 EDT</t>
  </si>
  <si>
    <t>2006-04-04 07:35:52 EDT</t>
  </si>
  <si>
    <t>2020-06-24 15:15:17 EDT</t>
  </si>
  <si>
    <t>[('CREATED', '2006-04-04 07:33 EDT'), ('jdt-ui-inbox', '2006-04-04 07:35:52 EDT', 'philippe_mulet'), ('UI', '2006-04-04 07:35:52 EDT', 'philippe_mulet'), ('tobias_widmer', '2006-04-05 11:40:57 EDT', 'martinae'), ('[move type] Incomplete refactoring while moving internal class with public fields', '2006-04-05 11:40:57 EDT', 'martinae'), ('[reorg] ncomplete refactoring while moving internal class with public fields [refactoring]', '2006-05-29 09:28:52 EDT', 'tobias_widmer'), ('jdt-ui-inbox', '2007-06-14 10:48:12 EDT', 'martinae'), ('stalebug', '2020-06-24 15:15:17 EDT', 'genie')]</t>
  </si>
  <si>
    <t>2006-04-04 07:52 EDT</t>
  </si>
  <si>
    <t>2006-04-05 11:39:54 EDT</t>
  </si>
  <si>
    <t>2011-06-09 06:38:46 EDT</t>
  </si>
  <si>
    <t>[('CREATED', '2006-04-04 07:52 EDT'), ('tobias_widmer', '2006-04-05 11:39:54 EDT', 'martinae'), ('[move static] Unable to move static member from one inner class to another', '2006-04-05 11:39:54 EDT', 'martinae'), ('enhancement', '2006-04-05 11:40:10 EDT', 'martinae'), ('[move static members] nable to move static member from one inner class to another [refactoring]', '2006-05-29 09:29:13 EDT', 'tobias_widmer'), ('jdt-ui-inbox', '2007-06-14 10:45:42 EDT', 'martinae'), ('nikolaymetchev', '2011-06-08 06:52:10 EDT', 'nikolaymetchev'), ('ASSIGNED', '2011-06-09 06:38:46 EDT', 'markus.kell.r'), ('markus_keller', '2011-06-09 06:38:46 EDT', 'markus.kell.r'), ('[move static members] unable to move static member from one inner class to another [refactoring]', '2011-06-09 06:38:46 EDT', 'markus.kell.r')]</t>
  </si>
  <si>
    <t>2006-04-05 13:14:06 EDT</t>
  </si>
  <si>
    <t>2006-04-04 09:26 EDT</t>
  </si>
  <si>
    <t>2006-04-04 09:30:54 EDT</t>
  </si>
  <si>
    <t>[('CREATED', '2006-04-04 09:26 EDT'), ('jdt-ui-inbox', '2006-04-04 09:30:54 EDT', 'jerome_lanneluc'), ('UI', '2006-04-04 09:30:54 EDT', 'jerome_lanneluc'), ('tobias_widmer', '2006-04-05 11:44:59 EDT', 'martinae'), ('[pull up] Internal error while "Pull up" method', '2006-04-05 11:44:59 EDT', 'martinae'), ('3.2 RC1', '2006-04-05 11:44:59 EDT', 'martinae'), ('FIXED', '2006-04-05 13:14:06 EDT', 'tobias_widmer'), ('RESOLVED', '2006-04-05 13:14:06 EDT', 'tobias_widmer')]</t>
  </si>
  <si>
    <t>RESOLVED  DUPLICATE  of bug 110594</t>
  </si>
  <si>
    <t>134759</t>
  </si>
  <si>
    <t>2006-07-03 09:23:23 EDT</t>
  </si>
  <si>
    <t>2006-04-04 10:40 EDT</t>
  </si>
  <si>
    <t>2006-04-04 10:46:04 EDT</t>
  </si>
  <si>
    <t>2006-07-03 09:40:11 EDT</t>
  </si>
  <si>
    <t>[('CREATED', '2006-04-04 10:40 EDT'), ('neil', '2006-04-04 10:46:04 EDT', 'neil'), ('markus_keller', '2006-04-05 11:47:17 EDT', 'martinae'), ('RESOLVED', '2006-07-03 09:23:23 EDT', 'markus.kell.r'), ('DUPLICATE', '2006-07-03 09:23:23 EDT', 'markus.kell.r'), (nan, '2006-07-03 09:40:11 EDT', 'neil')]</t>
  </si>
  <si>
    <t>2006-04-05 11:56:07 EDT</t>
  </si>
  <si>
    <t>2006-04-04 17:17 EDT</t>
  </si>
  <si>
    <t>2006-04-04 21:21:00 EDT</t>
  </si>
  <si>
    <t>[('CREATED', '2006-04-04 17:17 EDT'), ('jdt-ui-inbox', '2006-04-04 21:21:00 EDT', 'Olivier_Thomann'), ('UI', '2006-04-04 21:21:00 EDT', 'Olivier_Thomann'), ('RESOLVED', '2006-04-05 11:56:07 EDT', 'martinae'), ('DUPLICATE', '2006-04-05 11:56:07 EDT', 'martinae')]</t>
  </si>
  <si>
    <t>2013-06-28 02:53:11 EDT</t>
  </si>
  <si>
    <t>2013-06-28 03:48:15 EDT</t>
  </si>
  <si>
    <t>2006-04-05 05:06 EDT</t>
  </si>
  <si>
    <t>2006-04-05 11:57:16 EDT</t>
  </si>
  <si>
    <t>[('CREATED', '2006-04-05 05:06 EDT'), ('tobias_widmer', '2006-04-05 11:57:16 EDT', 'martinae'), ('enhancement', '2006-04-05 11:57:16 EDT', 'martinae'), ('[move local to toplevel]Redundant reference to enclosing instance is created when moving internal class to new file', '2006-04-05 11:57:16 EDT', 'martinae'), ('[move member type] redundant reference to enclosing instance is created when moving internal class to new file [refactoring]', '2006-05-29 09:33:02 EDT', 'tobias_widmer'), ('jdt-ui-inbox', '2007-06-14 10:44:51 EDT', 'martinae'), ('RESOLVED', '2013-06-28 02:53:11 EDT', 'max.gilead'), ('FIXED', '2013-06-28 02:53:11 EDT', 'max.gilead'), ('daniel_megert', '2013-06-28 03:48:15 EDT', 'daniel_megert'), ('WORKSFORME', '2013-06-28 03:48:15 EDT', 'daniel_megert')]</t>
  </si>
  <si>
    <t>2006-04-10 04:40:29 EDT</t>
  </si>
  <si>
    <t>2006-04-05 11:36 EDT</t>
  </si>
  <si>
    <t>2006-04-07 09:21:48 EDT</t>
  </si>
  <si>
    <t>[('CREATED', '2006-04-05 11:36 EDT'), ('martin_aeschlimann', '2006-04-07 09:21:48 EDT', 'martinae'), ('dirk_baeumer', '2006-04-07 09:21:48 EDT', 'martinae'), ('RESOLVED', '2006-04-10 04:40:29 EDT', 'dirk_baeumer'), ('FIXED', '2006-04-10 04:40:29 EDT', 'dirk_baeumer'), ('3.2 RC1', '2006-04-10 04:40:29 EDT', 'dirk_baeumer')]</t>
  </si>
  <si>
    <t>39630 (view as bug list)</t>
  </si>
  <si>
    <t>2006-04-27 06:14:16 EDT</t>
  </si>
  <si>
    <t>2006-04-05 11:46 EDT</t>
  </si>
  <si>
    <t>2006-04-05 11:46:34 EDT</t>
  </si>
  <si>
    <t>[('CREATED', '2006-04-05 11:46 EDT'), ('3.2 RC1', '2006-04-05 11:46:34 EDT', 'tobias_widmer'), ('akiezun', '2006-04-06 03:18:14 EDT', 'tobias_widmer'), ('3.2', '2006-04-12 09:53:25 EDT', 'tobias_widmer'), ('FIXED', '2006-04-27 06:14:16 EDT', 'tobias_widmer'), ('3.2 RC2', '2006-04-27 06:14:16 EDT', 'tobias_widmer'), ('RESOLVED', '2006-04-27 06:14:16 EDT', 'tobias_widmer')]</t>
  </si>
  <si>
    <t>135394 137390 (view as bug list)</t>
  </si>
  <si>
    <t>2006-04-06 04:17:15 EDT</t>
  </si>
  <si>
    <t>2006-04-05 13:54 EDT</t>
  </si>
  <si>
    <t>2006-04-06 04:00:18 EDT</t>
  </si>
  <si>
    <t>2006-04-27 12:55:45 EDT</t>
  </si>
  <si>
    <t>[('CREATED', '2006-04-05 13:54 EDT'), ('benno_baumgartner', '2006-04-06 04:00:18 EDT', 'benno.baumgartner'), ('[nls tooling] NPE when previewing changes in string externalization wizard', '2006-04-06 04:00:18 EDT', 'benno.baumgartner'), ('RESOLVED', '2006-04-06 04:17:15 EDT', 'benno.baumgartner'), ('FIXED', '2006-04-06 04:17:15 EDT', 'benno.baumgartner'), ('3.2 RC1', '2006-04-06 04:17:15 EDT', 'benno.baumgartner'), ('Darin_Wright', '2006-04-07 02:23:31 EDT', 'daniel_megert'), ('rubyg2000', '2006-04-27 12:55:45 EDT', 'benno.baumgartner')]</t>
  </si>
  <si>
    <t>RESOLVED  DUPLICATE  of bug 44419</t>
  </si>
  <si>
    <t>2006-04-07 13:46:28 EDT</t>
  </si>
  <si>
    <t>2006-04-05 15:22 EDT</t>
  </si>
  <si>
    <t>2006-04-05 15:22:55 EDT</t>
  </si>
  <si>
    <t>[('CREATED', '2006-04-05 15:22 EDT'), ('jdt-ui-inbox', '2006-04-05 15:22:55 EDT', 'Olivier_Thomann'), ('UI', '2006-04-05 15:22:55 EDT', 'Olivier_Thomann'), ('markus_keller', '2006-04-07 12:19:43 EDT', 'martinae'), ('[inline] boolean assigned to "x instanceof y" goes awry', '2006-04-07 12:19:43 EDT', 'martinae'), ('RESOLVED', '2006-04-07 13:46:28 EDT', 'markus.kell.r'), ('DUPLICATE', '2006-04-07 13:46:28 EDT', 'markus.kell.r')]</t>
  </si>
  <si>
    <t>135695 (view as bug list)</t>
  </si>
  <si>
    <t>2006-04-07 12:45:19 EDT</t>
  </si>
  <si>
    <t>2006-04-05 15:24 EDT</t>
  </si>
  <si>
    <t>2006-04-07 12:20:07 EDT</t>
  </si>
  <si>
    <t>2006-04-10 19:10:32 EDT</t>
  </si>
  <si>
    <t>[('CREATED', '2006-04-05 15:24 EDT'), ('tobias_widmer', '2006-04-07 12:20:07 EDT', 'martinae'), ('RESOLVED', '2006-04-07 12:45:19 EDT', 'tobias_widmer'), ('FIXED', '2006-04-07 12:45:19 EDT', 'tobias_widmer'), ('3.2 RC1', '2006-04-07 12:45:19 EDT', 'tobias_widmer'), ('heinz.stuesser', '2006-04-10 19:10:32 EDT', 'tobias_widmer')]</t>
  </si>
  <si>
    <t>2006-04-10 04:12:43 EDT</t>
  </si>
  <si>
    <t>2006-04-07 16:17:42 EDT</t>
  </si>
  <si>
    <t>2006-04-05 16:16 EDT</t>
  </si>
  <si>
    <t>2006-04-07 13:01:36 EDT</t>
  </si>
  <si>
    <t>[('CREATED', '2006-04-05 16:16 EDT'), ('martin_aeschlimann', '2006-04-07 13:01:36 EDT', 'martinae'), ('FIXED', '2006-04-07 13:01:55 EDT', 'martinae'), ('3.2 RC1', '2006-04-07 13:01:55 EDT', 'martinae'), ('RESOLVED', '2006-04-07 13:01:55 EDT', 'martinae'), ('markus_keller', '2006-04-07 16:17:42 EDT', 'markus.kell.r'), ('REOPENED', '2006-04-07 16:17:42 EDT', 'markus.kell.r'), ('---', '2006-04-07 16:17:42 EDT', 'markus.kell.r'), ('RESOLVED', '2006-04-10 04:12:43 EDT', 'martinae'), ('FIXED', '2006-04-10 04:12:43 EDT', 'martinae')]</t>
  </si>
  <si>
    <t>2006-04-10 09:30:58 EDT</t>
  </si>
  <si>
    <t>2006-04-06 10:03 EDT</t>
  </si>
  <si>
    <t>2006-04-06 10:31:58 EDT</t>
  </si>
  <si>
    <t>2006-07-13 11:00:08 EDT</t>
  </si>
  <si>
    <t>rngadam</t>
  </si>
  <si>
    <t>[('CREATED', '2006-04-06 10:03 EDT'), ('ASSIGNED', '2006-04-06 10:31:58 EDT', 'markus.kell.r'), ('erich_gamma', '2006-04-06 10:42:13 EDT', 'martinae'), ('RESOLVED', '2006-04-10 09:30:58 EDT', 'markus.kell.r'), ('FIXED', '2006-04-10 09:30:58 EDT', 'markus.kell.r'), ('3.2 RC1', '2006-04-10 09:30:58 EDT', 'markus.kell.r'), ('wmitsuda', '2006-05-15 12:12:55 EDT', 'wmitsuda'), ('rngadam', '2006-07-13 11:00:08 EDT', 'rngadam')]</t>
  </si>
  <si>
    <t>RESOLVED  DUPLICATE  of bug 135279</t>
  </si>
  <si>
    <t>2006-04-06 10:40:53 EDT</t>
  </si>
  <si>
    <t>2006-04-06 10:37 EDT</t>
  </si>
  <si>
    <t>[('CREATED', '2006-04-06 10:37 EDT'), ('RESOLVED', '2006-04-06 10:40:53 EDT', 'martinae'), ('DUPLICATE', '2006-04-06 10:40:53 EDT', 'martinae')]</t>
  </si>
  <si>
    <t>135277 (view as bug list)</t>
  </si>
  <si>
    <t>2006-04-13 08:35:11 EDT</t>
  </si>
  <si>
    <t>2006-04-06 10:38 EDT</t>
  </si>
  <si>
    <t>2006-04-06 11:34:16 EDT</t>
  </si>
  <si>
    <t>[('CREATED', '2006-04-06 10:38 EDT'), ('ASSIGNED', '2006-04-06 11:34:16 EDT', 'markus.kell.r'), ('3.2 RC1', '2006-04-10 09:21:53 EDT', 'markus.kell.r'), ('benno_baumgartner', '2006-04-13 06:40:27 EDT', 'martinae'), ('NEW', '2006-04-13 06:40:27 EDT', 'martinae'), ('markus_keller', '2006-04-13 08:35:11 EDT', 'benno.baumgartner'), ('RESOLVED', '2006-04-13 08:35:11 EDT', 'benno.baumgartner'), ('FIXED', '2006-04-13 08:35:11 EDT', 'benno.baumgartner')]</t>
  </si>
  <si>
    <t>2006-04-07 10:16:32 EDT</t>
  </si>
  <si>
    <t>2006-04-06 13:04 EDT</t>
  </si>
  <si>
    <t>[('CREATED', '2006-04-06 13:04 EDT'), ('RESOLVED', '2006-04-07 10:16:32 EDT', 'tobias_widmer'), ('FIXED', '2006-04-07 10:16:32 EDT', 'tobias_widmer'), ('3.2 RC1', '2006-04-07 10:16:32 EDT', 'tobias_widmer')]</t>
  </si>
  <si>
    <t>111810 (view as bug list)</t>
  </si>
  <si>
    <t>2006-04-07 08:40 EDT</t>
  </si>
  <si>
    <t>2006-04-07 08:40:32 EDT</t>
  </si>
  <si>
    <t>2011-08-17 16:16:27 EDT</t>
  </si>
  <si>
    <t>stevemash</t>
  </si>
  <si>
    <t>[('CREATED', '2006-04-07 08:40 EDT'), ('enhancement', '2006-04-07 08:40:32 EDT', 'utilisateur_182'), ('ASSIGNED', '2006-04-10 16:16:17 EDT', 'martinae'), ('[refactoring] DCR: replace inheritance by delegation', '2006-04-10 16:16:17 EDT', 'martinae'), ('[refactoring] [dcr] replace inheritance by delegation', '2006-06-23 11:23:51 EDT', 'martinae'), ('b.muskalla, steimann', '2008-08-17 09:48:37 EDT', 'b.muskalla'), ('daniel_megert', '2008-08-18 04:52:32 EDT', 'daniel_megert'), ('deepak.azad', '2010-09-25 07:55:37 EDT', 'deepakazad'), ('[refactoring] replace inheritance by delegation', '2010-11-04 06:45:08 EDT', 'daniel_megert'), ('david', '2011-07-19 02:44:10 EDT', 'daniel_megert'), ('All', '2011-07-19 02:45:30 EDT', 'daniel_megert'), ('All', '2011-07-19 02:45:30 EDT', 'daniel_megert'), ('eclipse', '2011-07-19 08:02:47 EDT', 'eclipse'), ('markus_keller', '2011-08-03 13:18:34 EDT', 'markus.kell.r'), ('stevemash', '2011-08-17 16:16:27 EDT', 'stevemash')]</t>
  </si>
  <si>
    <t>2006-04-12 11:03:28 EDT</t>
  </si>
  <si>
    <t>2006-04-07 10:52 EDT</t>
  </si>
  <si>
    <t>2006-04-09 18:34:57 EDT</t>
  </si>
  <si>
    <t>[('CREATED', '2006-04-07 10:52 EDT'), ('3.2', '2006-04-09 18:34:57 EDT', 'tobias_widmer'), ('RESOLVED', '2006-04-12 11:03:28 EDT', 'tobias_widmer'), ('FIXED', '2006-04-12 11:03:28 EDT', 'tobias_widmer'), ('3.2 RC1', '2006-04-12 11:03:28 EDT', 'tobias_widmer')]</t>
  </si>
  <si>
    <t>2006-05-08 15:29:13 EDT</t>
  </si>
  <si>
    <t>2006-04-07 11:55 EDT</t>
  </si>
  <si>
    <t>2006-04-07 13:20:35 EDT</t>
  </si>
  <si>
    <t>2006-05-12 04:29:15 EDT</t>
  </si>
  <si>
    <t>[('CREATED', '2006-04-07 11:55 EDT'), ('mdelder', '2006-04-07 13:20:35 EDT', 'markus.kell.r'), ('markus_keller', '2006-04-07 13:20:35 EDT', 'markus.kell.r'), ('daniel.megert', '2006-05-03 11:54:17 EDT', 'daniel_megert'), ('dmisic', '2006-05-04 09:44:15 EDT', 'dmisic'), ('3.2 RC4', '2006-05-04 10:54:57 EDT', 'mdelder'), ('Mike_Wilson', '2006-05-04 11:01:57 EDT', 'mdelder'), ('RESOLVED', '2006-05-08 15:29:13 EDT', 'mdelder'), ('INVALID', '2006-05-08 15:29:13 EDT', 'mdelder'), ('CLOSED', '2006-05-12 04:29:15 EDT', 'daniel_megert')]</t>
  </si>
  <si>
    <t>RESOLVED  DUPLICATE  of bug 135117</t>
  </si>
  <si>
    <t>2006-04-08 05:46 EDT</t>
  </si>
  <si>
    <t>2006-04-10 09:55:03 EDT</t>
  </si>
  <si>
    <t>[('CREATED', '2006-04-08 05:46 EDT'), ('JDT', '2006-04-10 09:55:03 EDT', 'emoffatt'), ('jdt-ui-inbox', '2006-04-10 09:55:03 EDT', 'emoffatt'), ('UI', '2006-04-10 09:55:03 EDT', 'emoffatt'), ('tobias_widmer', '2006-04-10 17:46:04 EDT', 'martinae'), ('RESOLVED', '2006-04-10 19:10:32 EDT', 'tobias_widmer'), ('DUPLICATE', '2006-04-10 19:10:32 EDT', 'tobias_widmer')]</t>
  </si>
  <si>
    <t>2006-04-10 19:21:45 EDT</t>
  </si>
  <si>
    <t>2006-04-08 06:08 EDT</t>
  </si>
  <si>
    <t>2006-04-10 17:36:31 EDT</t>
  </si>
  <si>
    <t>[('CREATED', '2006-04-08 06:08 EDT'), ('tobias_widmer', '2006-04-10 17:36:31 EDT', 'martinae'), ('RESOLVED', '2006-04-10 19:21:45 EDT', 'tobias_widmer'), ('FIXED', '2006-04-10 19:21:45 EDT', 'tobias_widmer'), ('3.2 RC1', '2006-04-10 19:21:45 EDT', 'tobias_widmer')]</t>
  </si>
  <si>
    <t>2007-05-11 18:35:56 EDT</t>
  </si>
  <si>
    <t>2006-04-10 04:37 EDT</t>
  </si>
  <si>
    <t>2006-04-10 17:41:13 EDT</t>
  </si>
  <si>
    <t>[('CREATED', '2006-04-10 04:37 EDT'), ('tobias_widmer', '2006-04-10 17:41:13 EDT', 'martinae'), ('jdt-ui-inbox', '2006-04-11 05:51:33 EDT', 'tobias_widmer'), ('[refactoring] Introduce refactor menu for ClassFileEditor', '2006-04-11 05:51:33 EDT', 'tobias_widmer'), ('markus_keller', '2006-04-11 06:47:55 EDT', 'martinae'), ('ASSIGNED', '2006-04-11 06:57:26 EDT', 'markus.kell.r'), ('3.3', '2006-04-11 06:57:26 EDT', 'markus.kell.r'), ('RESOLVED', '2007-05-11 18:35:56 EDT', 'markus.kell.r'), ('FIXED', '2007-05-11 18:35:56 EDT', 'markus.kell.r')]</t>
  </si>
  <si>
    <t>2006-04-27 08:30:08 EDT</t>
  </si>
  <si>
    <t>2006-04-10 04:52 EDT</t>
  </si>
  <si>
    <t>2006-04-10 04:53:04 EDT</t>
  </si>
  <si>
    <t>[('CREATED', '2006-04-10 04:52 EDT'), ('3.2 RC1', '2006-04-10 04:53:04 EDT', 'martinae'), ('ASSIGNED', '2006-04-10 07:03:10 EDT', 'markus.kell.r'), ('3.2 RC2', '2006-04-13 12:18:50 EDT', 'martinae'), ('RESOLVED', '2006-04-27 08:30:08 EDT', 'markus.kell.r'), ('FIXED', '2006-04-27 08:30:08 EDT', 'markus.kell.r')]</t>
  </si>
  <si>
    <t>2006-04-18 06:51:59 EDT</t>
  </si>
  <si>
    <t>2006-04-12 08:25 EDT</t>
  </si>
  <si>
    <t>2006-04-12 09:05:06 EDT</t>
  </si>
  <si>
    <t>[('CREATED', '2006-04-12 08:25 EDT'), ('jdt-ui-inbox', '2006-04-12 09:05:06 EDT', 'jerome_lanneluc'), ('UI', '2006-04-12 09:05:06 EDT', 'jerome_lanneluc'), ('tobias_widmer', '2006-04-13 09:27:19 EDT', 'martinae'), ('ASSIGNED', '2006-04-13 12:20:36 EDT', 'tobias_widmer'), ('3.2 RC2', '2006-04-13 12:20:36 EDT', 'tobias_widmer'), ('FIXED', '2006-04-18 06:51:59 EDT', 'tobias_widmer'), ('RESOLVED', '2006-04-18 06:51:59 EDT', 'tobias_widmer')]</t>
  </si>
  <si>
    <t>2006-04-13 12:55:22 EDT</t>
  </si>
  <si>
    <t>2006-04-13 12:45 EDT</t>
  </si>
  <si>
    <t>2006-04-13 12:46:17 EDT</t>
  </si>
  <si>
    <t>2006-04-13 17:41:55 EDT</t>
  </si>
  <si>
    <t>jqian</t>
  </si>
  <si>
    <t>[('CREATED', '2006-04-13 12:45 EDT'), ('markus_keller', '2006-04-13 12:46:17 EDT', 'markus.kell.r'), ('3.2 RC2', '2006-04-13 12:46:17 EDT', 'markus.kell.r'), ('mdelder', '2006-04-13 12:55:22 EDT', 'markus.kell.r'), ('RESOLVED', '2006-04-13 12:55:22 EDT', 'markus.kell.r'), ('FIXED', '2006-04-13 12:55:22 EDT', 'markus.kell.r'), ('CLOSED', '2006-04-13 17:41:55 EDT', 'jqian')]</t>
  </si>
  <si>
    <t>141776 (view as bug list)</t>
  </si>
  <si>
    <t>2006-05-18 11:31:49 EDT</t>
  </si>
  <si>
    <t>2006-05-19 09:40:18 EDT</t>
  </si>
  <si>
    <t>2006-05-15 12:25:32 EDT</t>
  </si>
  <si>
    <t>2006-04-13 15:02 EDT</t>
  </si>
  <si>
    <t>2006-04-13 15:02:52 EDT</t>
  </si>
  <si>
    <t>[('CREATED', '2006-04-13 15:02 EDT'), ('mdelder', '2006-04-13 15:02:52 EDT', 'emoffatt'), ('3.2 RC3', '2006-05-01 13:05:05 EDT', 'mdelder'), ('3.2 RC4', '2006-05-02 15:56:06 EDT', 'mdelder'), ('Mike_Wilson', '2006-05-04 11:01:59 EDT', 'mdelder'), ('Kevin_Haaland, jeff_mcaffer', '2006-05-10 19:12:44 EDT', 'mdelder'), ('john_arthorne', '2006-05-10 23:27:45 EDT', 'Mike_Wilson'), ('Michael_Valenta', '2006-05-11 12:48:08 EDT', 'valentam'), ('martin_aeschlimann', '2006-05-11 13:46:51 EDT', 'Mike_Wilson'), ('tobias_widmer', '2006-05-11 14:01:27 EDT', 'valentam'), ('1', '2006-05-11 18:16:41 EDT', 'mdelder'), ('daniel_megert', '2006-05-12 05:51:11 EDT', 'daniel_megert'), ('1', '2006-05-12 09:36:12 EDT', 'tobias_widmer'), ('1', '2006-05-12 10:33:52 EDT', 'martinae'), ('RESOLVED', '2006-05-12 12:53:04 EDT', 'martinae'), ('UI', '2006-05-12 12:53:04 EDT', 'martinae'), ('JDT', '2006-05-12 12:53:04 EDT', 'martinae'), ('FIXED', '2006-05-12 12:53:04 EDT', 'martinae'), ('VERIFIED', '2006-05-15 06:34:28 EDT', 'benno.baumgartner'), ('REOPENED', '2006-05-15 12:25:32 EDT', 'mdelder'), ('---', '2006-05-15 12:25:32 EDT', 'mdelder'), ('1', '2006-05-15 12:26:14 EDT', 'mdelder'), ('1', '2006-05-15 14:36:22 EDT', 'mdelder'), ('ASSIGNED', '2006-05-16 13:12:20 EDT', 'mdelder'), ('3.2 RC5', '2006-05-16 13:31:07 EDT', 'mdelder'), ('RESOLVED', '2006-05-18 11:31:49 EDT', 'martinae'), ('FIXED', '2006-05-18 11:31:49 EDT', 'martinae'), ('VERIFIED', '2006-05-19 09:40:18 EDT', 'benno.baumgartner')]</t>
  </si>
  <si>
    <t>2006-05-04 10:28:54 EDT</t>
  </si>
  <si>
    <t>2006-05-11 05:36:26 EDT</t>
  </si>
  <si>
    <t>2006-04-13 16:11 EDT</t>
  </si>
  <si>
    <t>2006-04-13 16:12:22 EDT</t>
  </si>
  <si>
    <t>[('CREATED', '2006-04-13 16:11 EDT'), ('mdelder', '2006-04-13 16:12:22 EDT', 'bokowski'), ('3.2 RC3', '2006-05-01 13:05:05 EDT', 'mdelder'), ('markus_keller', '2006-05-03 15:42:30 EDT', 'mdelder'), ('martin_aeschlimann, Tod_Creasey', '2006-05-03 17:04:21 EDT', 'mdelder'), ('[CommonNavigator] [Java] (NeedsApproval) Java packages disappear when switching to Hierarchical mode', '2006-05-03 17:04:21 EDT', 'mdelder'), ('1', '2006-05-04 08:39:05 EDT', 'markus.kell.r'), ('daniel.megert', '2006-05-04 08:47:03 EDT', 'markus.kell.r'), ('UI', '2006-05-04 10:28:54 EDT', 'markus.kell.r'), ('JDT', '2006-05-04 10:28:54 EDT', 'markus.kell.r'), ('FIXED', '2006-05-04 10:28:54 EDT', 'markus.kell.r'), ('[CommonNavigator] [Java] Java packages disappear when switching to Hierarchical mode', '2006-05-04 10:28:54 EDT', 'markus.kell.r'), ('RESOLVED', '2006-05-04 10:28:54 EDT', 'markus.kell.r'), ('VERIFIED', '2006-05-11 05:36:26 EDT', 'daniel_megert')]</t>
  </si>
  <si>
    <t>2006-04-18 09:07:14 EDT</t>
  </si>
  <si>
    <t>2006-04-14 00:52 EDT</t>
  </si>
  <si>
    <t>2006-04-14 02:57:22 EDT</t>
  </si>
  <si>
    <t>[('CREATED', '2006-04-14 00:52 EDT'), ('jdt-ui-inbox', '2006-04-14 02:57:22 EDT', 'jerome_lanneluc'), ('UI', '2006-04-14 02:57:22 EDT', 'jerome_lanneluc'), ('tobias_widmer', '2006-04-18 08:53:32 EDT', 'martinae'), ('RESOLVED', '2006-04-18 09:07:14 EDT', 'tobias_widmer'), ('WORKSFORME', '2006-04-18 09:07:14 EDT', 'tobias_widmer'), ('3.2 RC2', '2006-04-18 09:07:14 EDT', 'tobias_widmer')]</t>
  </si>
  <si>
    <t>2007-11-07 05:46:49 EST</t>
  </si>
  <si>
    <t>2006-04-15 12:51 EDT</t>
  </si>
  <si>
    <t>2006-04-15 12:53:09 EDT</t>
  </si>
  <si>
    <t>[('CREATED', '2006-04-15 12:51 EDT'), ('3.1.2', '2006-04-15 12:53:09 EDT', 'chris.ebert'), ('tobias_widmer', '2006-04-18 09:06:29 EDT', 'martinae'), ('[convert local] fails in switch statement [refactoring]', '2006-05-29 09:33:38 EDT', 'tobias_widmer'), ('jdt-ui-inbox', '2007-06-14 10:42:27 EDT', 'martinae'), ('martin_aeschlimann', '2007-11-07 05:45:22 EST', 'martinae'), ('martin_aeschlimann', '2007-11-07 05:45:22 EST', 'martinae'), ('3.4 M4', '2007-11-07 05:45:22 EST', 'martinae'), ('contributed', '2007-11-07 05:46:49 EST', 'martinae'), ('FIXED', '2007-11-07 05:46:49 EST', 'martinae'), ('RESOLVED', '2007-11-07 05:46:49 EST', 'martinae')]</t>
  </si>
  <si>
    <t>2009-02-03 09:59:54 EST</t>
  </si>
  <si>
    <t>2006-04-18 10:38 EDT</t>
  </si>
  <si>
    <t>2006-04-18 18:40:03 EDT</t>
  </si>
  <si>
    <t>[('CREATED', '2006-04-18 10:38 EDT'), ('jdt-ui-inbox', '2006-04-18 18:40:03 EDT', 'Karice_McIntyre'), ('UI', '2006-04-18 18:40:03 EDT', 'Karice_McIntyre'), ('JDT', '2006-04-18 18:40:03 EDT', 'Karice_McIntyre'), ('platform-resources-inbox', '2006-04-19 05:38:49 EDT', 'martinae'), ('Resources', '2006-04-19 05:38:49 EDT', 'martinae'), ('Platform', '2006-04-19 05:38:49 EDT', 'martinae'), ('jdt-ui-inbox', '2006-04-19 13:14:15 EDT', 'john.arthorne'), ('UI', '2006-04-19 13:14:15 EDT', 'john.arthorne'), ('JDT', '2006-04-19 13:14:15 EDT', 'john.arthorne'), ('tobias_widmer', '2006-04-20 08:25:25 EDT', 'martinae'), ('[reorg] Deleting a package or folder out of sync', '2006-04-20 08:25:25 EDT', 'martinae'), ('[reorg] deleting a package or folder out of sync [refactoring]', '2006-05-29 09:33:53 EDT', 'tobias_widmer'), ('jdt-ui-inbox', '2007-06-14 10:47:12 EDT', 'martinae'), ('daniel_megert', '2009-02-03 09:59:54 EST', 'daniel_megert'), ('RESOLVED', '2009-02-03 09:59:54 EST', 'daniel_megert'), ('All', '2009-02-03 09:59:54 EST', 'daniel_megert'), ('All', '2009-02-03 09:59:54 EST', 'daniel_megert'), ('WONTFIX', '2009-02-03 09:59:54 EST', 'daniel_megert')]</t>
  </si>
  <si>
    <t>2006-08-03 09:53:22 EDT</t>
  </si>
  <si>
    <t>2006-04-18 16:14 EDT</t>
  </si>
  <si>
    <t>2006-04-18 16:15:46 EDT</t>
  </si>
  <si>
    <t>[('CREATED', '2006-04-18 16:14 EDT'), ('jdt-ui-inbox', '2006-04-18 16:15:46 EDT', 'Olivier_Thomann'), ('UI', '2006-04-18 16:15:46 EDT', 'Olivier_Thomann'), ('markus_keller', '2006-04-19 05:07:49 EDT', 'martinae'), ('RESOLVED', '2006-08-03 09:53:22 EDT', 'martinae'), ('FIXED', '2006-08-03 09:53:22 EDT', 'martinae'), ('[change method signature] Change method signature (visibility) refactor moves annotation', '2006-08-03 09:53:22 EDT', 'martinae'), ('3.2', '2006-08-03 09:53:22 EDT', 'martinae')]</t>
  </si>
  <si>
    <t>RESOLVED  DUPLICATE  of bug 135091</t>
  </si>
  <si>
    <t>2006-04-18 18:35 EDT</t>
  </si>
  <si>
    <t>2006-04-19 03:15:10 EDT</t>
  </si>
  <si>
    <t>[('CREATED', '2006-04-18 18:35 EDT'), ('daniel.megert', '2006-04-19 03:15:10 EDT', 'daniel_megert'), ('benno_baumgartner', '2006-04-19 09:30:06 EDT', 'martinae'), ('DUPLICATE', '2006-04-27 12:55:45 EDT', 'benno.baumgartner'), ('RESOLVED', '2006-04-27 12:55:45 EDT', 'benno.baumgartner')]</t>
  </si>
  <si>
    <t>2006-04-18 19:26 EDT</t>
  </si>
  <si>
    <t>2006-04-19 06:01:03 EDT</t>
  </si>
  <si>
    <t>2009-05-06 06:54:06 EDT</t>
  </si>
  <si>
    <t>[('CREATED', '2006-04-18 19:26 EDT'), ('jdt-ui-inbox', '2006-04-19 06:01:03 EDT', 'frederic_fusier'), ('UI', '2006-04-19 06:01:03 EDT', 'frederic_fusier'), ('enhancement', '2006-04-20 08:18:39 EDT', 'martinae'), ('rename type without renaming the CU', '2006-04-20 08:18:39 EDT', 'martinae'), ('3.3', '2006-04-20 08:18:39 EDT', 'martinae'), ('markus_keller', '2006-04-20 08:18:39 EDT', 'martinae'), ('[rename] rename type without renaming the CU', '2006-08-03 11:47:53 EDT', 'martinae'), ('gunnar', '2006-09-06 05:28:06 EDT', 'gunnar'), ('3.4', '2007-05-24 09:37:28 EDT', 'martinae'), ('Mac OS X', '2007-07-29 09:19:32 EDT', 'webmaster'), ('3.5', '2008-05-10 12:29:52 EDT', 'markus.kell.r'), ('ASSIGNED', '2009-05-06 06:54:06 EDT', 'markus.kell.r'), ('---', '2009-05-06 06:54:06 EDT', 'markus.kell.r')]</t>
  </si>
  <si>
    <t>2006-04-21 10:38:56 EDT</t>
  </si>
  <si>
    <t>2009-08-30 02:05:48 EDT</t>
  </si>
  <si>
    <t>2006-04-20 08:35 EDT</t>
  </si>
  <si>
    <t>2006-04-20 08:39:53 EDT</t>
  </si>
  <si>
    <t>[('CREATED', '2006-04-20 08:35 EDT'), ('The full configuration of my eclipse (in UTF-8). I use eclipse3.2RC1', '2006-04-20 08:39:53 EDT', 'kiril_mitov'), ('RESOLVED', '2006-04-21 10:38:56 EDT', 'martinae'), ('REMIND', '2006-04-21 10:38:56 EDT', 'martinae'), ('gunnar', '2006-05-07 07:56:31 EDT', 'gunnar'), ('needinfo', '2009-08-30 02:05:48 EDT', 'denis.roy'), ('INVALID', '2009-08-30 02:05:48 EDT', 'denis.roy')]</t>
  </si>
  <si>
    <t>2006-04-23 17:23:12 EDT</t>
  </si>
  <si>
    <t>2006-04-20 11:39 EDT</t>
  </si>
  <si>
    <t>2006-04-20 11:48:16 EDT</t>
  </si>
  <si>
    <t>[('CREATED', '2006-04-20 11:39 EDT'), ('jdt-ui-inbox', '2006-04-20 11:48:16 EDT', 'Olivier_Thomann'), ('UI', '2006-04-20 11:48:16 EDT', 'Olivier_Thomann'), ('gunnar', '2006-04-22 18:48:54 EDT', 'gunnar'), ('martin_aeschlimann', '2006-04-23 17:22:02 EDT', 'martinae'), ('RESOLVED', '2006-04-23 17:23:12 EDT', 'martinae'), ('FIXED', '2006-04-23 17:23:12 EDT', 'martinae'), ('3.2 RC2', '2006-04-23 17:23:12 EDT', 'martinae')]</t>
  </si>
  <si>
    <t>2006-04-21 11:09 EDT</t>
  </si>
  <si>
    <t>2006-04-23 16:42:13 EDT</t>
  </si>
  <si>
    <t>2018-11-18 18:50:22 EST</t>
  </si>
  <si>
    <t>[('CREATED', '2006-04-21 11:09 EDT'), ('tobias_widmer', '2006-04-23 16:42:13 EDT', 'martinae'), ('[pull up] should not allow moving static method to interface [refactoring]', '2006-05-29 09:34:11 EDT', 'tobias_widmer'), ('jdt-ui-inbox', '2007-06-14 10:46:29 EDT', 'martinae'), ('Brian.Miller', '2010-01-22 17:13:07 EST', 'Brian.Miller'), ('ASSIGNED', '2010-01-25 07:53:56 EST', 'markus.kell.r'), ('noopur_gupta', '2014-08-05 08:12:19 EDT', 'noopur_gupta'), ('https://bugs.eclipse.org/bugs/show_bug.cgi?id=435999', '2014-08-05 08:12:19 EDT', 'noopur_gupta'), ('stalebug', '2018-11-18 18:50:22 EST', 'genie')]</t>
  </si>
  <si>
    <t>2006-04-26 15:03:33 EDT</t>
  </si>
  <si>
    <t>2006-05-12 09:27:57 EDT</t>
  </si>
  <si>
    <t>2006-04-25 06:05 EDT</t>
  </si>
  <si>
    <t>2006-04-26 06:58:36 EDT</t>
  </si>
  <si>
    <t>[('CREATED', '2006-04-25 06:05 EDT'), ('markus_keller', '2006-04-26 06:58:36 EDT', 'martinae'), ('3.2', '2006-04-26 06:58:36 EDT', 'martinae'), ('ASSIGNED', '2006-04-26 14:15:54 EDT', 'markus.kell.r'), ('RESOLVED', '2006-04-26 15:03:33 EDT', 'markus.kell.r'), ('FIXED', '2006-04-26 15:03:33 EDT', 'markus.kell.r'), ('3.2 RC2', '2006-04-26 15:03:33 EDT', 'markus.kell.r'), ('VERIFIED', '2006-05-12 09:27:57 EDT', 'markus.kell.r')]</t>
  </si>
  <si>
    <t>2006-04-27 10:05:58 EDT</t>
  </si>
  <si>
    <t>2006-04-26 12:44 EDT</t>
  </si>
  <si>
    <t>2006-04-27 09:46:57 EDT</t>
  </si>
  <si>
    <t>[('CREATED', '2006-04-26 12:44 EDT'), ('markus_keller', '2006-04-27 09:46:57 EDT', 'martinae'), ('3.2', '2006-04-27 10:05:58 EDT', 'markus.kell.r'), ('RESOLVED', '2006-04-27 10:05:58 EDT', 'markus.kell.r'), ('WORKSFORME', '2006-04-27 10:05:58 EDT', 'markus.kell.r')]</t>
  </si>
  <si>
    <t>2006-04-27 11:57:55 EDT</t>
  </si>
  <si>
    <t>2006-04-27 04:37 EDT</t>
  </si>
  <si>
    <t>2006-04-27 09:48:45 EDT</t>
  </si>
  <si>
    <t>[('CREATED', '2006-04-27 04:37 EDT'), ('tobias_widmer', '2006-04-27 09:48:45 EDT', 'martinae'), ('3.2 RC2', '2006-04-27 09:48:45 EDT', 'martinae'), ('RESOLVED', '2006-04-27 11:57:55 EDT', 'tobias_widmer'), ('FIXED', '2006-04-27 11:57:55 EDT', 'tobias_widmer')]</t>
  </si>
  <si>
    <t>2006-06-14 10:57:46 EDT</t>
  </si>
  <si>
    <t>2006-08-09 11:12:12 EDT</t>
  </si>
  <si>
    <t>2006-04-27 05:22 EDT</t>
  </si>
  <si>
    <t>2006-04-27 09:49:25 EDT</t>
  </si>
  <si>
    <t>[('CREATED', '2006-04-27 05:22 EDT'), ('tobias_widmer', '2006-04-27 09:49:25 EDT', 'martinae'), ('ASSIGNED', '2006-04-27 13:49:33 EDT', 'tobias_widmer'), ('3.2', '2006-04-27 13:49:33 EDT', 'tobias_widmer'), ('3.3', '2006-04-28 11:29:12 EDT', 'tobias_widmer'), ('[ltk] lost focus after confirmation dialog when deleting from refactoring history [refactoring]', '2006-05-29 05:31:00 EDT', 'tobias_widmer'), ('3.3 M1', '2006-06-14 09:07:22 EDT', 'tobias_widmer'), ('RESOLVED', '2006-06-14 10:57:46 EDT', 'tobias_widmer'), ('FIXED', '2006-06-14 10:57:46 EDT', 'tobias_widmer'), ('VERIFIED', '2006-08-09 11:12:12 EDT', 'benno.baumgartner')]</t>
  </si>
  <si>
    <t>2006-04-27 05:30 EDT</t>
  </si>
  <si>
    <t>2006-04-27 09:49:46 EDT</t>
  </si>
  <si>
    <t>2008-12-01 12:17:27 EST</t>
  </si>
  <si>
    <t>[('CREATED', '2006-04-27 05:30 EDT'), ('tobias_widmer', '2006-04-27 09:49:46 EDT', 'martinae'), ('[ltk][scripting] apply scripts to different projects [refactoring]', '2006-05-29 09:34:34 EDT', 'tobias_widmer'), ('jdt-ui-inbox', '2007-06-14 10:44:34 EDT', 'martinae'), ('mn', '2008-12-01 10:54:00 EST', 'mn'), ('[ltk][refactoring] apply scripts to different projects', '2008-12-01 12:17:27 EST', 'daniel_megert'), ('daniel_megert', '2008-12-01 12:17:27 EST', 'daniel_megert'), ('ASSIGNED', '2008-12-01 12:17:27 EST', 'daniel_megert'), ('All', '2008-12-01 12:17:27 EST', 'daniel_megert'), ('All', '2008-12-01 12:17:27 EST', 'daniel_megert')]</t>
  </si>
  <si>
    <t>2006-04-27 10:33:16 EDT</t>
  </si>
  <si>
    <t>2006-05-09 11:33:45 EDT</t>
  </si>
  <si>
    <t>2006-04-27 06:09 EDT</t>
  </si>
  <si>
    <t>2006-04-27 09:05:48 EDT</t>
  </si>
  <si>
    <t>johannes_rieken</t>
  </si>
  <si>
    <t>[('CREATED', '2006-04-27 06:09 EDT'), ('tobias_widmer', '2006-04-27 09:05:48 EDT', 'tobias_widmer'), ('3.2 RC2', '2006-04-27 09:05:48 EDT', 'tobias_widmer'), ('RESOLVED', '2006-04-27 10:33:16 EDT', 'tobias_widmer'), ('FIXED', '2006-04-27 10:33:16 EDT', 'tobias_widmer'), ('VERIFIED', '2006-05-09 11:33:45 EDT', 'johannes_rieken')]</t>
  </si>
  <si>
    <t>2006-04-27 11:07:23 EDT</t>
  </si>
  <si>
    <t>2006-05-09 11:38:54 EDT</t>
  </si>
  <si>
    <t>2006-04-27 06:36 EDT</t>
  </si>
  <si>
    <t>2006-04-27 09:52:50 EDT</t>
  </si>
  <si>
    <t>[('CREATED', '2006-04-27 06:36 EDT'), ('tobias_widmer', '2006-04-27 09:52:50 EDT', 'martinae'), ('RESOLVED', '2006-04-27 11:07:23 EDT', 'tobias_widmer'), ('FIXED', '2006-04-27 11:07:23 EDT', 'tobias_widmer'), ('3.2 RC2', '2006-04-27 11:07:23 EDT', 'tobias_widmer'), ('VERIFIED', '2006-05-09 11:38:54 EDT', 'johannes_rieken')]</t>
  </si>
  <si>
    <t>VERIFIED  INVALID</t>
  </si>
  <si>
    <t>2006-04-27 10:25:01 EDT</t>
  </si>
  <si>
    <t>2006-05-09 11:44:42 EDT</t>
  </si>
  <si>
    <t>2006-04-27 09:53 EDT</t>
  </si>
  <si>
    <t>[('CREATED', '2006-04-27 09:53 EDT'), ('RESOLVED', '2006-04-27 10:25:01 EDT', 'tobias_widmer'), ('INVALID', '2006-04-27 10:25:01 EDT', 'tobias_widmer'), ('VERIFIED', '2006-05-09 11:44:42 EDT', 'johannes_rieken')]</t>
  </si>
  <si>
    <t>2006-04-27 10:29:11 EDT</t>
  </si>
  <si>
    <t>2006-05-09 11:49:44 EDT</t>
  </si>
  <si>
    <t>2006-04-27 10:06 EDT</t>
  </si>
  <si>
    <t>2006-04-27 10:27:09 EDT</t>
  </si>
  <si>
    <t>[('CREATED', '2006-04-27 10:06 EDT'), ('tobias_widmer', '2006-04-27 10:27:09 EDT', 'tobias_widmer'), ('3.2 RC2', '2006-04-27 10:27:09 EDT', 'tobias_widmer'), ('RESOLVED', '2006-04-27 10:29:11 EDT', 'tobias_widmer'), ('FIXED', '2006-04-27 10:29:11 EDT', 'tobias_widmer'), ('VERIFIED', '2006-05-09 11:49:44 EDT', 'johannes_rieken')]</t>
  </si>
  <si>
    <t>2006-04-27 10:22 EDT</t>
  </si>
  <si>
    <t>2006-04-27 10:25:18 EDT</t>
  </si>
  <si>
    <t>2006-04-27 12:17:53 EDT</t>
  </si>
  <si>
    <t>[('CREATED', '2006-04-27 10:22 EDT'), ('jdt-ui-inbox', '2006-04-27 10:25:18 EDT', 'Olivier_Thomann'), ('UI', '2006-04-27 10:25:18 EDT', 'Olivier_Thomann'), ('ASSIGNED', '2006-04-27 12:17:53 EDT', 'martinae'), ('[ccp] Copy a method on explorer, and paste on interface should not paste implementation', '2006-04-27 12:17:53 EDT', 'martinae')]</t>
  </si>
  <si>
    <t>2006-04-27 12:13:44 EDT</t>
  </si>
  <si>
    <t>2006-05-12 10:00:17 EDT</t>
  </si>
  <si>
    <t>2006-04-27 10:30 EDT</t>
  </si>
  <si>
    <t>2006-04-27 10:35:52 EDT</t>
  </si>
  <si>
    <t>[('CREATED', '2006-04-27 10:30 EDT'), ('critical', '2006-04-27 10:35:52 EDT', 'jean-michel_lemieux'), ('3.2 RC2', '2006-04-27 12:13:44 EDT', 'tobias_widmer'), ('RESOLVED', '2006-04-27 12:13:44 EDT', 'tobias_widmer'), ('FIXED', '2006-04-27 12:13:44 EDT', 'tobias_widmer'), ('daniel_megert', '2006-05-12 09:51:32 EDT', 'johannes_rieken'), ('VERIFIED', '2006-05-12 10:00:17 EDT', 'daniel_megert')]</t>
  </si>
  <si>
    <t>2006-04-27 13:00:58 EDT</t>
  </si>
  <si>
    <t>2006-05-09 11:56:23 EDT</t>
  </si>
  <si>
    <t>2006-04-27 10:33 EDT</t>
  </si>
  <si>
    <t>2006-04-27 12:18:58 EDT</t>
  </si>
  <si>
    <t>[('CREATED', '2006-04-27 10:33 EDT'), ('tobias_widmer', '2006-04-27 12:18:58 EDT', 'martinae'), ('RESOLVED', '2006-04-27 13:00:58 EDT', 'tobias_widmer'), ('FIXED', '2006-04-27 13:00:58 EDT', 'tobias_widmer'), ('3.2 RC2', '2006-04-27 13:00:58 EDT', 'tobias_widmer'), ('VERIFIED', '2006-05-09 11:56:23 EDT', 'johannes_rieken')]</t>
  </si>
  <si>
    <t>2006-05-04 06:41:44 EDT</t>
  </si>
  <si>
    <t>2006-05-11 05:51:57 EDT</t>
  </si>
  <si>
    <t>2006-04-27 11:06 EDT</t>
  </si>
  <si>
    <t>2006-04-27 12:45:56 EDT</t>
  </si>
  <si>
    <t>[('CREATED', '2006-04-27 11:06 EDT'), ('markus_keller', '2006-04-27 12:45:56 EDT', 'martinae'), ('tobias_widmer', '2006-04-27 14:09:05 EDT', 'markus.kell.r'), ('ASSIGNED', '2006-04-28 09:52:06 EDT', 'tobias_widmer'), ('3.2', '2006-04-28 09:52:06 EDT', 'tobias_widmer'), ('3.3', '2006-04-28 11:29:39 EDT', 'tobias_widmer'), ('markus_keller', '2006-05-03 04:54:54 EDT', 'tobias_widmer'), ('daniel.megert', '2006-05-03 04:55:42 EDT', 'tobias_widmer'), ('3.2RC3 candidate', '2006-05-03 06:24:53 EDT', 'markus.kell.r'), ('---', '2006-05-03 07:02:28 EDT', 'daniel_megert'), (nan, '2006-05-04 06:04:24 EDT', 'markus.kell.r'), ('3.2 RC3', '2006-05-04 06:04:24 EDT', 'markus.kell.r'), ('RESOLVED', '2006-05-04 06:41:44 EDT', 'tobias_widmer'), ('FIXED', '2006-05-04 06:41:44 EDT', 'tobias_widmer'), ('VERIFIED', '2006-05-11 05:51:57 EDT', 'daniel_megert')]</t>
  </si>
  <si>
    <t>2006-04-27 11:24 EDT</t>
  </si>
  <si>
    <t>2006-04-27 11:29:59 EDT</t>
  </si>
  <si>
    <t>2020-06-04 11:17:35 EDT</t>
  </si>
  <si>
    <t>[('CREATED', '2006-04-27 11:24 EDT'), ('jdt-ui-inbox', '2006-04-27 11:29:59 EDT', 'daniel_megert'), ('UI', '2006-04-27 11:29:59 EDT', 'daniel_megert'), ('markus_keller', '2006-04-27 12:47:47 EDT', 'martinae'), ('[inline] wrong handling of enums in switch-case', '2006-06-02 07:20:38 EDT', 'martinae'), ('markus.oley', '2016-04-06 04:47:10 EDT', 'markus.oley'), ('[inline] Inline Method wrongly qualifies enum constants in switch-case', '2016-04-06 09:03:24 EDT', 'markus.kell.r'), ('ASSIGNED', '2016-04-06 09:03:24 EDT', 'markus.kell.r'), ('markus_keller', '2016-04-06 09:03:24 EDT', 'markus.kell.r'), ('markus.oley', '2016-04-06 09:03:24 EDT', 'markus.kell.r'), ('https://git.eclipse.org/r/70055', '2016-04-06 15:39:51 EDT', 'genie'), ('pyvesdev', '2018-10-06 04:40:08 EDT', 'pyvesdev'), ('register.eclipse', '2018-11-20 02:04:24 EST', 'register.eclipse'), (nan, '2020-06-04 11:17:35 EDT', 'register.eclipse')]</t>
  </si>
  <si>
    <t>2006-05-12 19:42:08 EDT</t>
  </si>
  <si>
    <t>2006-05-15 06:08:32 EDT</t>
  </si>
  <si>
    <t>2006-04-27 12:04 EDT</t>
  </si>
  <si>
    <t>2006-04-27 12:48:14 EDT</t>
  </si>
  <si>
    <t>[('CREATED', '2006-04-27 12:04 EDT'), ('tobias_widmer', '2006-04-27 12:48:14 EDT', 'martinae'), ('ASSIGNED', '2006-04-27 13:48:43 EDT', 'tobias_widmer'), ('3.2', '2006-04-27 13:48:43 EDT', 'tobias_widmer'), ('3.3', '2006-04-28 11:30:11 EDT', 'tobias_widmer'), ('---', '2006-05-05 06:47:54 EDT', 'tobias_widmer'), ('daniel.megert', '2006-05-05 06:49:12 EDT', 'tobias_widmer'), ('markus_keller', '2006-05-05 06:49:36 EDT', 'tobias_widmer'), ('3.2RC4 candidate', '2006-05-05 13:03:48 EDT', 'tobias_widmer'), ('philippe_mulet', '2006-05-11 11:21:39 EDT', 'martinae'), ('1', '2006-05-11 12:46:58 EDT', 'tobias_widmer'), ('1', '2006-05-12 04:49:16 EDT', 'tobias_widmer'), ('RESOLVED', '2006-05-12 19:42:08 EDT', 'markus.kell.r'), ('FIXED', '2006-05-12 19:42:08 EDT', 'markus.kell.r'), (nan, '2006-05-12 19:42:08 EDT', 'markus.kell.r'), ('3.2 RC4', '2006-05-12 19:42:08 EDT', 'markus.kell.r'), ('VERIFIED', '2006-05-15 06:08:32 EDT', 'benno.baumgartner')]</t>
  </si>
  <si>
    <t>2006-05-05 04:52:01 EDT</t>
  </si>
  <si>
    <t>2006-04-27 12:58 EDT</t>
  </si>
  <si>
    <t>2006-04-27 13:05:00 EDT</t>
  </si>
  <si>
    <t>[('CREATED', '2006-04-27 12:58 EDT'), ('tobias_widmer', '2006-04-27 13:05:00 EDT', 'martinae'), ('ASSIGNED', '2006-04-27 13:48:10 EDT', 'tobias_widmer'), ('3.2', '2006-04-27 13:48:10 EDT', 'tobias_widmer'), ('3.3', '2006-04-28 11:32:50 EDT', 'tobias_widmer'), ('RESOLVED', '2006-05-05 04:52:01 EDT', 'johannes_rieken'), ('WORKSFORME', '2006-05-05 04:52:01 EDT', 'johannes_rieken')]</t>
  </si>
  <si>
    <t>2006-06-13 12:24:20 EDT</t>
  </si>
  <si>
    <t>2006-08-09 11:21:50 EDT</t>
  </si>
  <si>
    <t>2006-04-27 13:23 EDT</t>
  </si>
  <si>
    <t>2006-04-27 13:33:54 EDT</t>
  </si>
  <si>
    <t>[('CREATED', '2006-04-27 13:23 EDT'), ('tobias_widmer', '2006-04-27 13:33:54 EDT', 'tobias_widmer'), ('3.2', '2006-04-27 13:33:54 EDT', 'tobias_widmer'), ('ASSIGNED', '2006-04-28 11:33:01 EDT', 'tobias_widmer'), ('3.3', '2006-04-28 11:33:01 EDT', 'tobias_widmer'), ('[migrate jar] title does not change when selecting refactorings [refactoring]', '2006-05-29 05:31:54 EDT', 'tobias_widmer'), ('RESOLVED', '2006-06-13 12:24:20 EDT', 'tobias_widmer'), ('FIXED', '2006-06-13 12:24:20 EDT', 'tobias_widmer'), ('3.3 M1', '2006-06-13 12:24:20 EDT', 'tobias_widmer'), ('VERIFIED', '2006-08-09 11:21:50 EDT', 'benno.baumgartner')]</t>
  </si>
  <si>
    <t>2006-06-08 12:16:10 EDT</t>
  </si>
  <si>
    <t>2006-08-09 11:27:05 EDT</t>
  </si>
  <si>
    <t>2006-04-28 09:45 EDT</t>
  </si>
  <si>
    <t>2006-04-28 10:02:10 EDT</t>
  </si>
  <si>
    <t>[('CREATED', '2006-04-28 09:45 EDT'), ('tobias_widmer', '2006-04-28 10:02:10 EDT', 'tobias_widmer'), ('3.2', '2006-04-28 10:02:10 EDT', 'tobias_widmer'), ('3.3', '2006-04-30 12:49:32 EDT', 'tobias_widmer'), ('ASSIGNED', '2006-04-30 12:49:32 EDT', 'tobias_widmer'), ('[ltk][scripting] indicate on wich project a refactoring is applied [refactoring]', '2006-05-29 05:32:27 EDT', 'tobias_widmer'), ('RESOLVED', '2006-06-08 12:16:10 EDT', 'tobias_widmer'), ('FIXED', '2006-06-08 12:16:10 EDT', 'tobias_widmer'), ('3.3 M1', '2006-06-13 12:25:39 EDT', 'tobias_widmer'), ('VERIFIED', '2006-08-09 11:27:05 EDT', 'benno.baumgartner')]</t>
  </si>
  <si>
    <t>54958 208537 286227 (view as bug list)</t>
  </si>
  <si>
    <t>2020-04-30 12:51:49 EDT</t>
  </si>
  <si>
    <t>2006-04-28 09:47 EDT</t>
  </si>
  <si>
    <t>2006-04-28 12:08:14 EDT</t>
  </si>
  <si>
    <t>[('CREATED', '2006-04-28 09:47 EDT'), ('tobias_widmer', '2006-04-28 12:08:14 EDT', 'markus.kell.r'), ('[reorg] move type refactoring does not change visibility [refactoring]', '2006-05-29 09:34:58 EDT', 'tobias_widmer'), ('jdt-ui-inbox', '2007-06-14 10:47:42 EDT', 'martinae'), ('prashant.deva', '2007-11-19 09:30:22 EST', 'martinae'), ('daniel_megert, markus_keller', '2008-03-18 13:12:24 EDT', 'daniel_megert'), ('major', '2008-03-18 13:12:24 EDT', 'daniel_megert'), ('steimann', '2008-05-24 04:57:57 EDT', 'steimann'), ('kai-uwe_maetzel', '2008-05-26 06:01:03 EDT', 'martinae'), ('jogeb', '2009-08-17 12:52:35 EDT', 'markus.kell.r'), ('pwebster', '2009-08-17 13:29:27 EDT', 'pwebster'), ('ASSIGNED', '2009-08-26 12:47:21 EDT', 'markus.kell.r'), ('WONTFIX', '2020-04-30 12:51:49 EDT', 'genie'), ('CLOSED', '2020-04-30 12:51:49 EDT', 'genie'), ('stalebug', '2020-04-30 12:51:49 EDT', 'genie')]</t>
  </si>
  <si>
    <t>2006-04-28 10:46 EDT</t>
  </si>
  <si>
    <t>2006-05-02 13:36:49 EDT</t>
  </si>
  <si>
    <t>2019-11-25 16:33:56 EST</t>
  </si>
  <si>
    <t>[('CREATED', '2006-04-28 10:46 EDT'), ('markus_keller', '2006-05-02 13:36:49 EDT', 'markus.kell.r'), ('tobias_widmer', '2006-05-02 13:36:49 EDT', 'markus.kell.r'), ('3.2RC3 candidate', '2006-05-02 13:36:49 EDT', 'markus.kell.r'), (nan, '2006-05-03 06:02:33 EDT', 'markus.kell.r'), ('3.3', '2006-05-03 06:02:33 EDT', 'markus.kell.r'), ('ASSIGNED', '2006-05-29 05:32:56 EDT', 'tobias_widmer'), ('[ltk] AFE in MultiStateTextFileChange.getCurrentContent [refactoring]', '2006-05-29 05:32:56 EDT', 'tobias_widmer'), ('3.4', '2007-06-01 12:11:29 EDT', 'martinae'), ('jdt-ui-inbox', '2007-06-14 10:44:12 EDT', 'martinae'), ('NEW', '2007-06-14 10:44:12 EDT', 'martinae'), ('martin_aeschlimann', '2008-05-07 09:38:49 EDT', 'martinae'), ('---', '2008-05-07 09:38:49 EDT', 'martinae'), ('stalebug', '2019-11-25 16:33:56 EST', 'genie')]</t>
  </si>
  <si>
    <t>307002 314073 (view as bug list)</t>
  </si>
  <si>
    <t>2010-09-06 07:16:40 EDT</t>
  </si>
  <si>
    <t>2010-09-14 07:08:31 EDT</t>
  </si>
  <si>
    <t>2006-04-28 11:17 EDT</t>
  </si>
  <si>
    <t>2006-05-03 06:34:19 EDT</t>
  </si>
  <si>
    <t>raksha.vasisht</t>
  </si>
  <si>
    <t>[('CREATED', '2006-04-28 11:17 EDT'), ('markus_keller', '2006-05-03 06:34:19 EDT', 'markus.kell.r'), ('3.3', '2006-05-03 06:34:19 EDT', 'markus.kell.r'), ("[introduce indirection] No feedback on 'Introduce indirection' if applied to external .java file", '2006-06-08 06:30:31 EDT', 'markus.kell.r'), ('ASSIGNED', '2006-06-08 06:30:31 EDT', 'markus.kell.r'), ('3.4', '2007-05-11 18:52:44 EDT', 'markus.kell.r'), ('3.5', '2008-05-10 12:19:36 EDT', 'markus.kell.r'), ('3.6', '2009-05-06 07:06:21 EDT', 'markus.kell.r'), ('spamgarymm', '2010-03-24 15:11:06 EDT', 'spamgarymm'), ('deepak.azad', '2010-04-17 12:14:08 EDT', 'deepakazad'), ('daniel_megert', '2010-04-22 03:47:05 EDT', 'daniel_megert'), ('All', '2010-04-22 03:47:05 EDT', 'daniel_megert'), ('deepak.azad', '2010-04-22 03:47:05 EDT', 'daniel_megert'), ('3.7', '2010-04-22 03:47:05 EDT', 'daniel_megert'), ("[refactoring] 'Introduce Indirection' and 'Use Supertype...' do nothing when right-clicking on method name in .class file", '2010-04-22 03:47:05 EDT', 'daniel_megert'), ('All', '2010-04-22 03:47:05 EDT', 'daniel_megert'), ('minor', '2010-04-22 03:47:05 EDT', 'daniel_megert'), ('314227', '2010-07-31 09:08:14 EDT', 'deepakazad'), ("[refactoring] 'Introduce Indirection' do nothing when right-clicking on method name in .class file", '2010-09-06 07:11:37 EDT', 'deepakazad'), ('FIXED', '2010-09-06 07:16:40 EDT', 'deepakazad'), ('3.7 M2', '2010-09-06 07:16:40 EDT', 'deepakazad'), ('RESOLVED', '2010-09-06 07:16:40 EDT', 'deepakazad'), ('VERIFIED', '2010-09-14 07:08:31 EDT', 'raksha.vasisht'), ('raksha.vasisht', '2010-09-14 07:08:31 EDT', 'raksha.vasisht')]</t>
  </si>
  <si>
    <t>RESOLVED  DUPLICATE  of bug 140214</t>
  </si>
  <si>
    <t>2006-06-22 04:44:57 EDT</t>
  </si>
  <si>
    <t>2006-04-28 11:18 EDT</t>
  </si>
  <si>
    <t>2006-05-03 04:21:39 EDT</t>
  </si>
  <si>
    <t>[('CREATED', '2006-04-28 11:18 EDT'), ('markus_keller', '2006-05-03 04:21:39 EDT', 'markus.kell.r'), ('benno_baumgartner', '2006-05-03 04:21:39 EDT', 'markus.kell.r'), ('[clean up] CoreException when executing "serialVersionID clean up" on a project with messed up dependencies', '2006-06-01 06:25:31 EDT', 'benno.baumgartner'), ('RESOLVED', '2006-06-22 04:44:57 EDT', 'benno.baumgartner'), ('DUPLICATE', '2006-06-22 04:44:57 EDT', 'benno.baumgartner')]</t>
  </si>
  <si>
    <t>257599 (view as bug list)</t>
  </si>
  <si>
    <t>2011-10-31 13:28:08 EDT</t>
  </si>
  <si>
    <t>2006-04-28 12:40 EDT</t>
  </si>
  <si>
    <t>2006-04-28 13:38:55 EDT</t>
  </si>
  <si>
    <t>[('CREATED', '2006-04-28 12:40 EDT'), ('jdt-ui-inbox', '2006-04-28 13:38:55 EDT', 'Olivier_Thomann'), ('UI', '2006-04-28 13:38:55 EDT', 'Olivier_Thomann'), ('martin_aeschlimann', '2006-04-29 19:09:58 EDT', 'martinae'), ('[quick fix] duplicate exception name after add throws to catch', '2006-04-29 19:09:58 EDT', 'martinae'), ('patrik.jansson', '2008-12-05 04:51:03 EST', 'daniel_megert'), ('jdt-ui-inbox', '2008-12-05 04:51:29 EST', 'daniel_megert'), ('daniel_megert', '2008-12-05 04:51:29 EST', 'daniel_megert'), ('ASSIGNED', '2008-12-05 05:05:25 EST', 'daniel_megert'), ('All', '2008-12-05 05:05:25 EST', 'daniel_megert'), ('All', '2008-12-05 05:05:25 EST', 'daniel_megert'), ('RESOLVED', '2011-10-31 13:28:08 EDT', 'deepakazad'), ('deepak.azad', '2011-10-31 13:28:08 EDT', 'deepakazad'), ('FIXED', '2011-10-31 13:28:08 EDT', 'deepakazad'), ('deepak.azad', '2011-10-31 13:28:08 EDT', 'deepakazad'), ('3.8 M4', '2011-10-31 13:28:08 EDT', 'deepakazad')]</t>
  </si>
  <si>
    <t>2006-05-04 15:05:09 EDT</t>
  </si>
  <si>
    <t>2006-05-11 05:57:54 EDT</t>
  </si>
  <si>
    <t>2006-04-29 04:48 EDT</t>
  </si>
  <si>
    <t>2006-04-29 10:08:17 EDT</t>
  </si>
  <si>
    <t>[('CREATED', '2006-04-29 04:48 EDT'), ('jdt-ui-inbox', '2006-04-29 10:08:17 EDT', 'frederic_fusier'), ('UI', '2006-04-29 10:08:17 EDT', 'frederic_fusier'), ('benno_baumgartner', '2006-05-01 14:16:17 EDT', 'markus.kell.r'), ('markus_keller', '2006-05-03 06:02:39 EDT', 'benno.baumgartner'), ('[clean up] CE when adding generated serial version ID', '2006-05-03 06:02:39 EDT', 'benno.baumgartner'), ('3.2RC3 candidate', '2006-05-03 06:26:28 EDT', 'markus.kell.r'), ('1', '2006-05-03 08:27:31 EDT', 'benno.baumgartner'), ('1', '2006-05-03 08:30:26 EDT', 'benno.baumgartner'), ('1', '2006-05-03 08:32:44 EDT', 'benno.baumgartner'), ('1', '2006-05-03 10:31:32 EDT', 'benno.baumgartner'), ('tobias_widmer', '2006-05-03 10:36:26 EDT', 'markus.kell.r'), ('1', '2006-05-04 09:07:11 EDT', 'benno.baumgartner'), ('jdt-core-inbox', '2006-05-04 09:55:34 EDT', 'tobias_widmer'), ('Core', '2006-05-04 09:55:34 EDT', 'tobias_widmer'), ('benno_baumgartner', '2006-05-04 09:58:43 EDT', 'benno.baumgartner'), ('daniel.megert', '2006-05-04 11:01:36 EDT', 'tobias_widmer'), ('benno_baumgartner', '2006-05-04 11:01:36 EDT', 'tobias_widmer'), ('UI', '2006-05-04 11:01:36 EDT', 'tobias_widmer'), ('1', '2006-05-04 12:57:07 EDT', 'benno.baumgartner'), (nan, '2006-05-04 14:48:59 EDT', 'markus.kell.r'), ('3.2 RC3', '2006-05-04 14:48:59 EDT', 'markus.kell.r'), ('RESOLVED', '2006-05-04 15:05:09 EDT', 'benno.baumgartner'), ('FIXED', '2006-05-04 15:05:09 EDT', 'benno.baumgartner'), ('VERIFIED', '2006-05-11 05:57:54 EDT', 'daniel_megert')]</t>
  </si>
  <si>
    <t>2020-02-12 18:04:57 EST</t>
  </si>
  <si>
    <t>2006-05-01 10:42 EDT</t>
  </si>
  <si>
    <t>2006-05-01 16:26:06 EDT</t>
  </si>
  <si>
    <t>[('CREATED', '2006-05-01 10:42 EDT'), ('jdt-ui-inbox', '2006-05-01 16:26:06 EDT', 'jerome_lanneluc'), ('UI', '2006-05-01 16:26:06 EDT', 'jerome_lanneluc'), ('tobias_widmer', '2006-05-03 09:51:37 EDT', 'markus.kell.r'), ('[general] refactoring availability tester accessing inexistent method [refactoring]', '2006-05-29 09:36:53 EDT', 'tobias_widmer'), ('jdt-ui-inbox', '2007-06-14 10:43:15 EDT', 'martinae'), ('WONTFIX', '2020-02-12 18:04:57 EST', 'genie'), ('stalebug', '2020-02-12 18:04:57 EST', 'genie'), ('CLOSED', '2020-02-12 18:04:57 EST', 'genie')]</t>
  </si>
  <si>
    <t>2006-05-04 08:56:38 EDT</t>
  </si>
  <si>
    <t>2006-05-08 10:14:54 EDT</t>
  </si>
  <si>
    <t>2006-05-01 18:41 EDT</t>
  </si>
  <si>
    <t>2006-05-03 12:03:43 EDT</t>
  </si>
  <si>
    <t>[('CREATED', '2006-05-01 18:41 EDT'), ('markus_keller', '2006-05-03 12:03:43 EDT', 'markus.kell.r'), ('benno_baumgartner', '2006-05-03 12:03:43 EDT', 'markus.kell.r'), ('3.3', '2006-05-04 07:08:53 EDT', 'markus.kell.r'), ('daniel.megert', '2006-05-04 08:13:01 EDT', 'markus.kell.r'), ('3.2RC3 candidate', '2006-05-04 08:13:01 EDT', 'markus.kell.r'), ('---', '2006-05-04 08:13:01 EDT', 'markus.kell.r'), ('RESOLVED', '2006-05-04 08:56:38 EDT', 'benno.baumgartner'), ('FIXED', '2006-05-04 08:56:38 EDT', 'benno.baumgartner'), (nan, '2006-05-04 08:56:38 EDT', 'benno.baumgartner'), ('3.2 RC3', '2006-05-04 08:56:38 EDT', 'benno.baumgartner'), ('VERIFIED', '2006-05-08 10:14:54 EDT', 'markus.kell.r')]</t>
  </si>
  <si>
    <t>RESOLVED  DUPLICATE  of bug 166457</t>
  </si>
  <si>
    <t>2007-05-09 06:33:12 EDT</t>
  </si>
  <si>
    <t>2009-07-28 12:47:36 EDT</t>
  </si>
  <si>
    <t>2006-05-02 09:37 EDT</t>
  </si>
  <si>
    <t>2006-05-04 06:50:51 EDT</t>
  </si>
  <si>
    <t>[('CREATED', '2006-05-02 09:37 EDT'), ('ASSIGNED', '2006-05-04 06:50:51 EDT', 'daniel_megert'), ('benno_baumgartner', '2006-05-08 11:36:09 EDT', 'martinae'), ('NEW', '2006-05-08 11:36:09 EDT', 'martinae'), ('3.3', '2006-05-08 11:36:09 EDT', 'martinae'), ('3.3 M7', '2007-04-03 05:38:52 EDT', 'benno.baumgartner'), ('---', '2007-04-26 11:56:29 EDT', 'benno.baumgartner'), ('RESOLVED', '2007-05-09 06:33:12 EDT', 'benno.baumgartner'), ('WONTFIX', '2007-05-09 06:33:12 EDT', 'benno.baumgartner'), ('DUPLICATE', '2009-07-28 12:47:36 EDT', 'markus.kell.r'), ('markus_keller', '2009-07-28 12:47:36 EDT', 'markus.kell.r')]</t>
  </si>
  <si>
    <t>2006-05-04 06:03:38 EDT</t>
  </si>
  <si>
    <t>2006-05-10 04:33:51 EDT</t>
  </si>
  <si>
    <t>2006-05-02 09:45 EDT</t>
  </si>
  <si>
    <t>2006-05-02 09:47:26 EDT</t>
  </si>
  <si>
    <t>[('CREATED', '2006-05-02 09:45 EDT'), ('markus_keller', '2006-05-02 09:47:26 EDT', 'tobias_widmer'), ('ASSIGNED', '2006-05-02 09:47:26 EDT', 'tobias_widmer'), ('3.2RC3 candidate', '2006-05-03 04:51:43 EDT', 'markus.kell.r'), ('daniel.megert', '2006-05-03 05:36:26 EDT', 'tobias_widmer'), ('1', '2006-05-04 05:19:52 EDT', 'tobias_widmer'), (nan, '2006-05-04 05:33:07 EDT', 'markus.kell.r'), ('3.2 RC3', '2006-05-04 05:33:07 EDT', 'markus.kell.r'), ('FIXED', '2006-05-04 06:03:38 EDT', 'tobias_widmer'), ('RESOLVED', '2006-05-04 06:03:38 EDT', 'tobias_widmer'), ('martin_aeschlimann', '2006-05-10 04:09:01 EDT', 'johannes_rieken'), ('VERIFIED', '2006-05-10 04:33:51 EDT', 'daniel_megert')]</t>
  </si>
  <si>
    <t>299458 (view as bug list)</t>
  </si>
  <si>
    <t>2006-05-02 11:38 EDT</t>
  </si>
  <si>
    <t>2006-05-03 11:37:33 EDT</t>
  </si>
  <si>
    <t>2010-01-13 04:04:41 EST</t>
  </si>
  <si>
    <t>[('CREATED', '2006-05-02 11:38 EDT'), ('ASSIGNED', '2006-05-03 11:37:33 EDT', 'daniel_megert'), ('[refactoring] Change Method Signature should use correct default values', '2006-05-03 11:37:33 EDT', 'daniel_megert'), ('markus_keller', '2006-06-09 06:32:22 EDT', 'martinae'), ('NEW', '2006-06-09 06:32:22 EDT', 'martinae'), ('[change method signature] use correct default values', '2006-06-09 06:32:22 EDT', 'martinae'), ('enhancement', '2006-06-13 11:36:37 EDT', 'markus.kell.r'), ('ASSIGNED', '2006-06-13 11:36:37 EDT', 'markus.kell.r'), ('[change method signature] adapt default values when user changes type of new parameter', '2006-06-13 11:36:37 EDT', 'markus.kell.r'), ('deepak.azad', '2010-01-13 04:04:41 EST', 'daniel_megert')]</t>
  </si>
  <si>
    <t>2006-06-15 06:56:47 EDT</t>
  </si>
  <si>
    <t>2006-05-02 11:52 EDT</t>
  </si>
  <si>
    <t>2006-05-03 11:29:02 EDT</t>
  </si>
  <si>
    <t>2006-07-21 14:02:37 EDT</t>
  </si>
  <si>
    <t>bradleyjames</t>
  </si>
  <si>
    <t>[('CREATED', '2006-05-02 11:52 EDT'), ('tobias_widmer', '2006-05-03 11:29:02 EDT', 'tobias_widmer'), ('daniel.megert', '2006-05-03 11:32:19 EDT', 'daniel_megert'), ('tobias_widmer', '2006-05-03 11:32:19 EDT', 'daniel_megert'), ('[ltk][scripting] inappropriate internal error when apply script fails [refactoring]', '2006-05-29 09:37:57 EDT', 'tobias_widmer'), ('RESOLVED', '2006-06-15 06:56:47 EDT', 'tobias_widmer'), ('FIXED', '2006-06-15 06:56:47 EDT', 'tobias_widmer'), ('3.3 M1', '2006-06-15 06:56:47 EDT', 'tobias_widmer'), ('bradleyjames', '2006-07-21 14:02:37 EDT', 'bradleyjames')]</t>
  </si>
  <si>
    <t>2006-05-03 14:29:27 EDT</t>
  </si>
  <si>
    <t>2006-05-10 04:32:01 EDT</t>
  </si>
  <si>
    <t>2006-05-02 12:10 EDT</t>
  </si>
  <si>
    <t>2006-05-02 12:10:59 EDT</t>
  </si>
  <si>
    <t>[('CREATED', '2006-05-02 12:10 EDT'), ('No way to import refactoring history from JAR file', '2006-05-02 12:10:59 EDT', 'john.arthorne'), ('martin_aeschlimann', '2006-05-02 13:17:26 EDT', 'tobias_widmer'), ('tobias_widmer', '2006-05-02 13:17:26 EDT', 'tobias_widmer'), ('markus_keller', '2006-05-02 13:17:45 EDT', 'tobias_widmer'), ('ASSIGNED', '2006-05-03 10:33:13 EDT', 'tobias_widmer'), ('daniel.megert', '2006-05-03 10:33:13 EDT', 'tobias_widmer'), ('benno_baumgartner', '2006-05-03 10:39:21 EDT', 'markus.kell.r'), ('3.2RC3 candidate', '2006-05-03 10:39:21 EDT', 'markus.kell.r'), ('3.2 RC3', '2006-05-03 11:19:02 EDT', 'tobias_widmer'), (nan, '2006-05-03 11:22:35 EDT', 'markus.kell.r'), ('RESOLVED', '2006-05-03 14:29:27 EDT', 'markus.kell.r'), ('FIXED', '2006-05-03 14:29:27 EDT', 'markus.kell.r'), ('VERIFIED', '2006-05-10 04:32:01 EDT', 'daniel_megert')]</t>
  </si>
  <si>
    <t>2006-05-02 14:33:34 EDT</t>
  </si>
  <si>
    <t>2006-05-02 13:41 EDT</t>
  </si>
  <si>
    <t>2006-05-02 14:33:42 EDT</t>
  </si>
  <si>
    <t>[('CREATED', '2006-05-02 13:41 EDT'), ('RESOLVED', '2006-05-02 14:33:34 EDT', 'daniel_megert'), ('INVALID', '2006-05-02 14:33:34 EDT', 'daniel_megert'), ('daniel.megert', '2006-05-02 14:33:42 EDT', 'daniel_megert')]</t>
  </si>
  <si>
    <t>RESOLVED  DUPLICATE  of bug 122493</t>
  </si>
  <si>
    <t>139999 (view as bug list)</t>
  </si>
  <si>
    <t>2006-05-03 15:16:56 EDT</t>
  </si>
  <si>
    <t>2006-05-03 11:10 EDT</t>
  </si>
  <si>
    <t>2006-05-03 11:17:20 EDT</t>
  </si>
  <si>
    <t>2006-05-03 15:18:35 EDT</t>
  </si>
  <si>
    <t>[('CREATED', '2006-05-03 11:10 EDT'), ('ASSIGNED', '2006-05-03 11:17:20 EDT', 'daniel_megert'), ('RC3 candidate', '2006-05-03 11:17:20 EDT', 'daniel_megert'), ('daniel.megert', '2006-05-03 11:17:20 EDT', 'daniel_megert'), ('RESOLVED', '2006-05-03 15:16:56 EDT', 'daniel_megert'), ('DUPLICATE', '2006-05-03 15:16:56 EDT', 'daniel_megert'), (nan, '2006-05-03 15:18:35 EDT', 'daniel_megert')]</t>
  </si>
  <si>
    <t>2006-05-03 13:01:53 EDT</t>
  </si>
  <si>
    <t>2006-05-03 11:31 EDT</t>
  </si>
  <si>
    <t>2006-05-03 11:39:35 EDT</t>
  </si>
  <si>
    <t>[('CREATED', '2006-05-03 11:31 EDT'), ('jdt-ui-inbox', '2006-05-03 11:39:35 EDT', 'daniel_megert'), ('UI', '2006-05-03 11:39:35 EDT', 'daniel_megert'), ('dirk_baeumer, daniel.megert', '2006-05-03 11:39:35 EDT', 'daniel_megert'), ('RESOLVED', '2006-05-03 13:01:53 EDT', 'dirk_baeumer'), ('INVALID', '2006-05-03 13:01:53 EDT', 'dirk_baeumer')]</t>
  </si>
  <si>
    <t>RESOLVED  DUPLICATE  of bug 139969</t>
  </si>
  <si>
    <t>2006-05-03 15:16:11 EDT</t>
  </si>
  <si>
    <t>2006-05-03 11:57 EDT</t>
  </si>
  <si>
    <t>2006-05-03 12:41:36 EDT</t>
  </si>
  <si>
    <t>[('CREATED', '2006-05-03 11:57 EDT'), ('trivial', '2006-05-03 12:41:36 EDT', 'daniel_megert'), ('DUPLICATE', '2006-05-03 15:16:11 EDT', 'daniel_megert'), ('RESOLVED', '2006-05-03 15:16:11 EDT', 'daniel_megert')]</t>
  </si>
  <si>
    <t>2006-06-14 09:14:45 EDT</t>
  </si>
  <si>
    <t>2006-05-04 05:16 EDT</t>
  </si>
  <si>
    <t>2006-05-04 11:56:49 EDT</t>
  </si>
  <si>
    <t>[('CREATED', '2006-05-04 05:16 EDT'), ('3.3', '2006-05-04 11:56:49 EDT', 'tobias_widmer'), ('[ltk] preview filter list is enabled and empty on rename resource [refactoring]', '2006-05-29 05:33:24 EDT', 'tobias_widmer'), ('ASSIGNED', '2006-05-29 05:33:24 EDT', 'tobias_widmer'), ('RESOLVED', '2006-06-14 09:14:45 EDT', 'tobias_widmer'), ('WORKSFORME', '2006-06-14 09:14:45 EDT', 'tobias_widmer'), ('3.3 M1', '2006-06-14 09:14:45 EDT', 'tobias_widmer')]</t>
  </si>
  <si>
    <t>2006-05-09 11:10:59 EDT</t>
  </si>
  <si>
    <t>2006-05-09 11:12:24 EDT</t>
  </si>
  <si>
    <t>2006-05-09 10:44:49 EDT</t>
  </si>
  <si>
    <t>2006-05-04 11:13 EDT</t>
  </si>
  <si>
    <t>2006-05-04 12:13:26 EDT</t>
  </si>
  <si>
    <t>[('CREATED', '2006-05-04 11:13 EDT'), ('tobias_widmer', '2006-05-04 12:13:26 EDT', 'tobias_widmer'), ('ASSIGNED', '2006-05-04 12:41:16 EDT', 'tobias_widmer'), ('markus_keller', '2006-05-04 12:41:39 EDT', 'tobias_widmer'), ('daniel.megert', '2006-05-04 12:42:12 EDT', 'tobias_widmer'), ('1', '2006-05-04 13:13:46 EDT', 'tobias_widmer'), ('RC3 candidate', '2006-05-04 13:21:24 EDT', 'daniel_megert'), (nan, '2006-05-04 13:29:10 EDT', 'markus.kell.r'), ('3.2 RC3', '2006-05-04 13:29:10 EDT', 'markus.kell.r'), ('RESOLVED', '2006-05-04 13:40:45 EDT', 'tobias_widmer'), ('FIXED', '2006-05-04 13:40:45 EDT', 'tobias_widmer'), ('REOPENED', '2006-05-09 10:44:49 EDT', 'johannes_rieken'), ('---', '2006-05-09 10:44:49 EDT', 'johannes_rieken'), ('RESOLVED', '2006-05-09 11:10:59 EDT', 'johannes_rieken'), ('FIXED', '2006-05-09 11:10:59 EDT', 'johannes_rieken'), ('VERIFIED', '2006-05-09 11:12:24 EDT', 'johannes_rieken')]</t>
  </si>
  <si>
    <t>2006-05-12 13:39:54 EDT</t>
  </si>
  <si>
    <t>2006-05-15 05:33:05 EDT</t>
  </si>
  <si>
    <t>2006-05-09 11:07:10 EDT</t>
  </si>
  <si>
    <t>2006-05-04 11:46 EDT</t>
  </si>
  <si>
    <t>2006-05-04 12:20:01 EDT</t>
  </si>
  <si>
    <t>[('CREATED', '2006-05-04 11:46 EDT'), ('tobias_widmer', '2006-05-04 12:20:01 EDT', 'tobias_widmer'), ('1', '2006-05-04 12:54:51 EDT', 'tobias_widmer'), ('ASSIGNED', '2006-05-04 13:07:15 EDT', 'tobias_widmer'), ('markus_keller', '2006-05-04 13:07:50 EDT', 'tobias_widmer'), ('daniel.megert', '2006-05-04 13:08:21 EDT', 'tobias_widmer'), ('1', '2006-05-04 13:16:22 EDT', 'tobias_widmer'), ('RC3 candidate', '2006-05-04 13:25:31 EDT', 'daniel_megert'), (nan, '2006-05-04 13:28:41 EDT', 'markus.kell.r'), ('3.2 RC3', '2006-05-04 13:28:41 EDT', 'markus.kell.r'), ('RESOLVED', '2006-05-04 13:36:41 EDT', 'tobias_widmer'), ('FIXED', '2006-05-04 13:36:41 EDT', 'tobias_widmer'), ('REOPENED', '2006-05-09 11:07:10 EDT', 'johannes_rieken'), ('---', '2006-05-09 11:07:10 EDT', 'johannes_rieken'), ('martin_aeschlimann', '2006-05-10 06:05:49 EDT', 'martinae'), ('3.2RC4 candidate', '2006-05-10 06:05:49 EDT', 'martinae'), ('---', '2006-05-10 06:05:49 EDT', 'martinae'), ('Darin_Wright', '2006-05-10 08:31:23 EDT', 'martinae'), ('philippe_mulet', '2006-05-10 08:58:57 EDT', 'martinae'), ('1', '2006-05-12 07:08:35 EDT', 'tobias_widmer'), ('1', '2006-05-12 07:08:35 EDT', 'tobias_widmer'), ('1', '2006-05-12 07:08:35 EDT', 'tobias_widmer'), ('1', '2006-05-12 10:53:02 EDT', 'martinae'), ('RESOLVED', '2006-05-12 13:39:54 EDT', 'martinae'), ('FIXED', '2006-05-12 13:39:54 EDT', 'martinae'), ('3.2 RC4', '2006-05-12 13:39:54 EDT', 'martinae'), ('VERIFIED', '2006-05-15 05:33:05 EDT', 'benno.baumgartner'), (nan, '2006-05-15 05:33:05 EDT', 'benno.baumgartner')]</t>
  </si>
  <si>
    <t>2006-05-05 03:46:24 EDT</t>
  </si>
  <si>
    <t>2006-05-04 12:23 EDT</t>
  </si>
  <si>
    <t>2006-05-04 16:20:00 EDT</t>
  </si>
  <si>
    <t>[('CREATED', '2006-05-04 12:23 EDT'), ('jdt-ui-inbox', '2006-05-04 16:20:00 EDT', 'Olivier_Thomann'), ('UI', '2006-05-04 16:20:00 EDT', 'Olivier_Thomann'), ('RESOLVED', '2006-05-05 03:46:24 EDT', 'daniel_megert'), ('REMIND', '2006-05-05 03:46:24 EDT', 'daniel_megert'), ('needinfo', '2009-08-30 02:06:46 EDT', 'denis.roy'), ('INVALID', '2009-08-30 02:06:46 EDT', 'denis.roy')]</t>
  </si>
  <si>
    <t>139198 (view as bug list)</t>
  </si>
  <si>
    <t>2006-06-22 04:52:44 EDT</t>
  </si>
  <si>
    <t>2006-05-04 14:26 EDT</t>
  </si>
  <si>
    <t>2006-05-04 14:45:59 EDT</t>
  </si>
  <si>
    <t>[('CREATED', '2006-05-04 14:26 EDT'), ('daniel.megert', '2006-05-04 14:45:59 EDT', 'daniel_megert'), ('tom_eicher', '2006-06-22 04:44:57 EDT', 'benno.baumgartner'), ('FIXED', '2006-06-22 04:52:44 EDT', 'benno.baumgartner'), ('3.3 M1', '2006-06-22 04:52:44 EDT', 'benno.baumgartner'), ('RESOLVED', '2006-06-22 04:52:44 EDT', 'benno.baumgartner')]</t>
  </si>
  <si>
    <t>2006-05-05 06:16:51 EDT</t>
  </si>
  <si>
    <t>2006-05-11 07:07:11 EDT</t>
  </si>
  <si>
    <t>2006-05-05 03:15 EDT</t>
  </si>
  <si>
    <t>2006-05-05 03:28:54 EDT</t>
  </si>
  <si>
    <t>[('CREATED', '2006-05-05 03:15 EDT'), ('P2', '2006-05-05 03:28:54 EDT', 'daniel_megert'), ('RC3 candidate', '2006-05-05 03:28:54 EDT', 'daniel_megert'), ('daniel.megert', '2006-05-05 03:29:03 EDT', 'daniel_megert'), (nan, '2006-05-05 03:41:47 EDT', 'daniel_megert'), ('benno_baumgartner', '2006-05-05 03:41:47 EDT', 'daniel_megert'), (nan, '2006-05-05 06:04:44 EDT', 'daniel_megert'), ('3.2 RC3', '2006-05-05 06:04:44 EDT', 'daniel_megert'), ('RESOLVED', '2006-05-05 06:16:51 EDT', 'benno.baumgartner'), ('FIXED', '2006-05-05 06:16:51 EDT', 'benno.baumgartner'), ('VERIFIED', '2006-05-11 07:07:11 EDT', 'eclipse')]</t>
  </si>
  <si>
    <t>2006-06-13 12:34:08 EDT</t>
  </si>
  <si>
    <t>2006-05-05 04:58 EDT</t>
  </si>
  <si>
    <t>2006-05-05 05:32:19 EDT</t>
  </si>
  <si>
    <t>[('CREATED', '2006-05-05 04:58 EDT'), ('tobias_widmer', '2006-05-05 05:32:19 EDT', 'tobias_widmer'), ('3.3', '2006-05-05 05:32:19 EDT', 'tobias_widmer'), ('ASSIGNED', '2006-05-29 05:34:56 EDT', 'tobias_widmer'), ('[ltk][scripting] refactoring history is empty if compilation unit selected [refactoring]', '2006-05-29 05:34:56 EDT', 'tobias_widmer'), ('RESOLVED', '2006-06-13 12:34:08 EDT', 'tobias_widmer'), ('FIXED', '2006-06-13 12:34:08 EDT', 'tobias_widmer'), ('3.3 M1', '2006-06-13 12:34:08 EDT', 'tobias_widmer')]</t>
  </si>
  <si>
    <t>2006-05-11 06:47:53 EDT</t>
  </si>
  <si>
    <t>2006-05-12 04:30:09 EDT</t>
  </si>
  <si>
    <t>2006-05-05 07:00 EDT</t>
  </si>
  <si>
    <t>2006-05-05 07:07:18 EDT</t>
  </si>
  <si>
    <t>2006-05-16 10:51:46 EDT</t>
  </si>
  <si>
    <t>[('CREATED', '2006-05-05 07:00 EDT'), ('markus_keller', '2006-05-05 07:07:18 EDT', 'tobias_widmer'), ('ASSIGNED', '2006-05-05 07:07:18 EDT', 'tobias_widmer'), ('daniel.megert', '2006-05-05 07:07:44 EDT', 'tobias_widmer'), ('3.2RC4 candidate', '2006-05-05 13:04:55 EDT', 'tobias_widmer'), ('martin_aeschlimann, andre_weinand', '2006-05-09 10:42:43 EDT', 'martinae'), ('philippe_mulet', '2006-05-10 14:04:42 EDT', 'martinae'), ('RESOLVED', '2006-05-11 06:47:53 EDT', 'martinae'), ('FIXED', '2006-05-11 06:47:53 EDT', 'martinae'), ('3.2 RC4', '2006-05-11 06:47:53 EDT', 'martinae'), ('VERIFIED', '2006-05-12 04:30:09 EDT', 'daniel_megert'), (nan, '2006-05-16 10:51:46 EDT', 'markus.kell.r')]</t>
  </si>
  <si>
    <t>2006-05-12 15:35:55 EDT</t>
  </si>
  <si>
    <t>2006-05-08 10:42 EDT</t>
  </si>
  <si>
    <t>2006-05-08 22:00:59 EDT</t>
  </si>
  <si>
    <t>2006-05-12 15:37:44 EDT</t>
  </si>
  <si>
    <t>[('CREATED', '2006-05-08 10:42 EDT'), ('martin_aeschlimann', '2006-05-08 22:00:59 EDT', 'Olivier_Thomann'), ('tobias_widmer', '2006-05-09 04:09:05 EDT', 'martinae'), ('UI', '2006-05-09 04:09:05 EDT', 'martinae'), ('martin_aeschlimann', '2006-05-10 06:16:06 EDT', 'me'), ('1', '2006-05-12 06:44:09 EDT', 'tobias_widmer'), ('1', '2006-05-12 07:01:27 EDT', 'tobias_widmer'), ('0', '2006-05-12 07:01:50 EDT', 'tobias_widmer'), ('1', '2006-05-12 15:29:03 EDT', 'martinae'), ('1', '2006-05-12 15:29:03 EDT', 'martinae'), ('RESOLVED', '2006-05-12 15:35:55 EDT', 'martinae'), ('FIXED', '2006-05-12 15:35:55 EDT', 'martinae'), ('3.2 RC4', '2006-05-12 15:35:55 EDT', 'martinae'), ('---', '2006-05-12 15:37:44 EDT', 'daniel_megert')]</t>
  </si>
  <si>
    <t>2006-05-10 15:01:58 EDT</t>
  </si>
  <si>
    <t>2006-05-11 08:46:28 EDT</t>
  </si>
  <si>
    <t>2006-05-09 05:04 EDT</t>
  </si>
  <si>
    <t>2006-05-09 05:07:14 EDT</t>
  </si>
  <si>
    <t>2006-05-16 10:51:28 EDT</t>
  </si>
  <si>
    <t>[('CREATED', '2006-05-09 05:04 EDT'), ('martin_aeschlimann', '2006-05-09 05:07:14 EDT', 'me'), ('daniel_megert', '2006-05-09 08:09:14 EDT', 'martinae'), ('3.2RC4 candidate', '2006-05-09 08:09:14 EDT', 'martinae'), ('philippe_mulet', '2006-05-10 05:13:06 EDT', 'martinae'), ('RESOLVED', '2006-05-10 15:01:58 EDT', 'martinae'), ('FIXED', '2006-05-10 15:01:58 EDT', 'martinae'), ('3.2 RC4', '2006-05-10 15:01:58 EDT', 'martinae'), ('VERIFIED', '2006-05-11 08:46:28 EDT', 'daniel_megert'), (nan, '2006-05-16 10:51:28 EDT', 'markus.kell.r')]</t>
  </si>
  <si>
    <t>RESOLVED  DUPLICATE  of bug 140901</t>
  </si>
  <si>
    <t>2006-05-10 11:58:35 EDT</t>
  </si>
  <si>
    <t>2006-05-09 15:08 EDT</t>
  </si>
  <si>
    <t>2006-05-10 02:01:56 EDT</t>
  </si>
  <si>
    <t>jpetrakis</t>
  </si>
  <si>
    <t>[('CREATED', '2006-05-09 15:08 EDT'), ('daniel_megert', '2006-05-10 02:01:56 EDT', 'daniel_megert'), ('RESOLVED', '2006-05-10 11:58:35 EDT', 'jpetrakis'), ('DUPLICATE', '2006-05-10 11:58:35 EDT', 'jpetrakis')]</t>
  </si>
  <si>
    <t>140895 (view as bug list)</t>
  </si>
  <si>
    <t>2006-05-11 13:25:20 EDT</t>
  </si>
  <si>
    <t>2006-05-12 06:20:26 EDT</t>
  </si>
  <si>
    <t>2006-05-09 15:21 EDT</t>
  </si>
  <si>
    <t>2006-05-09 15:22:45 EDT</t>
  </si>
  <si>
    <t>[('CREATED', '2006-05-09 15:21 EDT'), ('major', '2006-05-09 15:22:45 EDT', 'jpetrakis'), ('Core', '2006-05-09 15:22:45 EDT', 'jpetrakis'), ('martin_aeschlimann', '2006-05-10 12:30:37 EDT', 'martinae'), ('3.2RC4 candidate', '2006-05-10 12:30:37 EDT', 'martinae'), ('UI', '2006-05-10 12:34:12 EDT', 'martinae'), ('daniel_megert', '2006-05-10 12:38:40 EDT', 'martinae'), ('tobias_widmer', '2006-05-10 12:49:56 EDT', 'martinae'), ('dirk_baeumer', '2006-05-10 12:50:52 EDT', 'martinae'), ('philippe_mulet', '2006-05-11 09:45:19 EDT', 'martinae'), ('RESOLVED', '2006-05-11 13:25:20 EDT', 'martinae'), ('FIXED', '2006-05-11 13:25:20 EDT', 'martinae'), ('3.2 RC4', '2006-05-11 13:25:20 EDT', 'martinae'), ('VERIFIED', '2006-05-12 06:20:26 EDT', 'daniel_megert'), (nan, '2006-05-12 06:20:26 EDT', 'daniel_megert')]</t>
  </si>
  <si>
    <t>2006-05-11 05:37:40 EDT</t>
  </si>
  <si>
    <t>2006-05-09 15:24 EDT</t>
  </si>
  <si>
    <t>2006-05-10 11:25:16 EDT</t>
  </si>
  <si>
    <t>[('CREATED', '2006-05-09 15:24 EDT'), ('tobias_widmer', '2006-05-10 11:25:16 EDT', 'martinae'), ('RESOLVED', '2006-05-11 05:37:40 EDT', 'tobias_widmer'), ('WORKSFORME', '2006-05-11 05:37:40 EDT', 'tobias_widmer')]</t>
  </si>
  <si>
    <t>2006-05-11 11:30:26 EDT</t>
  </si>
  <si>
    <t>2006-05-12 04:20:10 EDT</t>
  </si>
  <si>
    <t>2006-05-10 01:46 EDT</t>
  </si>
  <si>
    <t>2006-05-10 09:55:32 EDT</t>
  </si>
  <si>
    <t>2006-05-16 10:51:40 EDT</t>
  </si>
  <si>
    <t>[('CREATED', '2006-05-10 01:46 EDT'), ('Boris_Bokowski', '2006-05-10 09:55:32 EDT', 'snorthov'), ('steve_northover', '2006-05-10 09:55:32 EDT', 'snorthov'), ('UI', '2006-05-10 10:14:11 EDT', 'bokowski'), ('JDT', '2006-05-10 10:14:11 EDT', 'bokowski'), ('Refactor-&gt;Use Supertype causes Stack overflow error', '2006-05-10 10:14:11 EDT', 'bokowski'), ('steve_northover', '2006-05-10 10:14:32 EDT', 'bokowski'), ('jdt-ui-inbox', '2006-05-10 10:14:32 EDT', 'bokowski'), ('martin_aeschlimann', '2006-05-10 13:49:51 EDT', 'martinae'), ('tobias_widmer', '2006-05-10 13:49:51 EDT', 'martinae'), ('3.2RC4 candidate', '2006-05-10 13:49:51 EDT', 'martinae'), ('ASSIGNED', '2006-05-11 06:29:38 EDT', 'tobias_widmer'), ('1', '2006-05-11 10:40:56 EDT', 'martinae'), ('daniel_megert', '2006-05-11 10:42:06 EDT', 'martinae'), ('Darin_Wright', '2006-05-11 10:43:09 EDT', 'martinae'), ('RESOLVED', '2006-05-11 11:30:26 EDT', 'martinae'), ('FIXED', '2006-05-11 11:30:26 EDT', 'martinae'), ('3.2 RC4', '2006-05-11 11:30:26 EDT', 'martinae'), ('VERIFIED', '2006-05-12 04:20:10 EDT', 'daniel_megert'), (nan, '2006-05-16 10:51:40 EDT', 'markus.kell.r')]</t>
  </si>
  <si>
    <t>RESOLVED  DUPLICATE  of bug 157314</t>
  </si>
  <si>
    <t>157314</t>
  </si>
  <si>
    <t>2007-03-30 09:49:01 EDT</t>
  </si>
  <si>
    <t>2007-03-30 09:46:10 EDT</t>
  </si>
  <si>
    <t>2006-05-10 16:37 EDT</t>
  </si>
  <si>
    <t>2006-05-10 16:39:20 EDT</t>
  </si>
  <si>
    <t>2007-05-15 14:09:58 EDT</t>
  </si>
  <si>
    <t>mutdosch</t>
  </si>
  <si>
    <t>[('CREATED', '2006-05-10 16:37 EDT'), ('mbarkhou', '2006-05-10 16:39:20 EDT', 'dmisic'), ('mdelder', '2006-05-11 04:43:36 EDT', 'martinae'), ('markus_keller', '2006-05-12 04:49:35 EDT', 'markus.kell.r'), ('mbologa', '2006-07-07 15:23:09 EDT', 'mbologa'), ('dleroux', '2006-07-11 09:07:27 EDT', 'dleroux'), ('3.3', '2006-07-19 16:24:49 EDT', 'mdelder'), ('Boris_Bokowski', '2006-07-26 17:49:52 EDT', 'bokowski'), ('Mike_Wilson', '2006-09-11 14:10:18 EDT', 'Mike_Wilson'), ('157314', '2006-09-14 10:07:06 EDT', 'markus.kell.r'), ('philippe_mulet', '2007-03-19 07:55:25 EDT', 'philippe_mulet'), ('[CommonNavigator] JDT actions appearing on resources not related to Java', '2007-03-26 10:07:18 EDT', 'markus.kell.r'), ('RESOLVED', '2007-03-30 00:57:39 EDT', 'mdelder'), ('DUPLICATE', '2007-03-30 00:57:39 EDT', 'mdelder'), ('REOPENED', '2007-03-30 09:46:10 EDT', 'dmisic'), ('---', '2007-03-30 09:46:10 EDT', 'dmisic'), ('RESOLVED', '2007-03-30 09:49:01 EDT', 'dmisic'), ('DUPLICATE', '2007-03-30 09:49:01 EDT', 'dmisic'), ('3.3 M7', '2007-04-26 13:19:09 EDT', 'mdelder'), ('mutdosch', '2007-05-15 14:09:58 EDT', 'mutdosch')]</t>
  </si>
  <si>
    <t>2006-06-14 08:48:15 EDT</t>
  </si>
  <si>
    <t>2006-05-11 07:03 EDT</t>
  </si>
  <si>
    <t>2006-05-11 13:06:30 EDT</t>
  </si>
  <si>
    <t>[('CREATED', '2006-05-11 07:03 EDT'), ('tobias_widmer', '2006-05-11 13:06:30 EDT', 'martinae'), ('ASSIGNED', '2006-05-12 04:42:39 EDT', 'tobias_widmer'), ('3.3', '2006-05-12 04:42:39 EDT', 'tobias_widmer'), ('[ltk] details pane of refactoring history control flickers when switching between refactorings [refactoring]', '2006-05-29 05:38:05 EDT', 'tobias_widmer'), ('FIXED', '2006-06-14 08:48:15 EDT', 'tobias_widmer'), ('3.3 M1', '2006-06-14 08:48:15 EDT', 'tobias_widmer'), ('RESOLVED', '2006-06-14 08:48:15 EDT', 'tobias_widmer')]</t>
  </si>
  <si>
    <t>2006-06-14 12:36:43 EDT</t>
  </si>
  <si>
    <t>2006-05-11 11:29 EDT</t>
  </si>
  <si>
    <t>2006-05-11 11:29:35 EDT</t>
  </si>
  <si>
    <t>[('CREATED', '2006-05-11 11:29 EDT'), ('[Migrate Jar] project is messed up if there are no sources', '2006-05-11 11:29:35 EDT', 'johannes_rieken'), ('tobias_widmer', '2006-05-15 05:43:10 EDT', 'martinae'), ('[migrate jar] project is messed up if there are no sources [refactoring]', '2006-05-29 09:38:49 EDT', 'tobias_widmer'), ('WORKSFORME', '2006-06-14 12:36:43 EDT', 'tobias_widmer'), ('RESOLVED', '2006-06-14 12:36:43 EDT', 'tobias_widmer')]</t>
  </si>
  <si>
    <t>2006-06-08 12:12:08 EDT</t>
  </si>
  <si>
    <t>2006-05-12 04:48 EDT</t>
  </si>
  <si>
    <t>2006-05-12 04:48:20 EDT</t>
  </si>
  <si>
    <t>2006-06-13 12:25:28 EDT</t>
  </si>
  <si>
    <t>[('CREATED', '2006-05-12 04:48 EDT'), ('ASSIGNED', '2006-05-12 04:48:20 EDT', 'tobias_widmer'), ('3.3', '2006-05-12 04:48:20 EDT', 'tobias_widmer'), ('[jar exporter] remove unused methods in JarPackagerUtil', '2006-05-29 05:48:51 EDT', 'tobias_widmer'), ('RESOLVED', '2006-06-08 12:12:08 EDT', 'tobias_widmer'), ('FIXED', '2006-06-08 12:12:08 EDT', 'tobias_widmer'), ('3.3 M1', '2006-06-13 12:25:28 EDT', 'tobias_widmer')]</t>
  </si>
  <si>
    <t>2006-05-12 11:15:14 EDT</t>
  </si>
  <si>
    <t>2006-05-12 11:12 EDT</t>
  </si>
  <si>
    <t>[('CREATED', '2006-05-12 11:12 EDT'), ('INVALID', '2006-05-12 11:15:14 EDT', 'eclipse'), ('RESOLVED', '2006-05-12 11:15:14 EDT', 'eclipse')]</t>
  </si>
  <si>
    <t>2020-02-12 10:26:47 EST</t>
  </si>
  <si>
    <t>2006-05-12 15:43 EDT</t>
  </si>
  <si>
    <t>2006-05-29 09:39:19 EDT</t>
  </si>
  <si>
    <t>[('CREATED', '2006-05-12 15:43 EDT'), ('[extract supertype] clean up extract supertype WorkingCopy story and add tests [refactoring]', '2006-05-29 09:39:19 EDT', 'tobias_widmer'), ('[extract superclass] clean up extract supertype WorkingCopy story and add tests [refactoring]', '2006-05-29 09:41:44 EDT', 'tobias_widmer'), ('jdt-ui-inbox', '2007-06-14 10:42:54 EDT', 'martinae'), ('daniel_megert', '2008-10-09 04:09:13 EDT', 'daniel_megert'), ('ASSIGNED', '2008-10-09 04:09:13 EDT', 'daniel_megert'), ('CLOSED', '2020-02-12 10:26:47 EST', 'genie'), ('WONTFIX', '2020-02-12 10:26:47 EST', 'genie'), ('stalebug', '2020-02-12 10:26:47 EST', 'genie')]</t>
  </si>
  <si>
    <t>147029</t>
  </si>
  <si>
    <t>2006-05-13 15:28 EDT</t>
  </si>
  <si>
    <t>2006-05-15 09:12:38 EDT</t>
  </si>
  <si>
    <t>2007-07-29 09:19:58 EDT</t>
  </si>
  <si>
    <t>[('CREATED', '2006-05-13 15:28 EDT'), ('jdt-ui-inbox', '2006-05-15 09:12:38 EDT', 'jerome_lanneluc'), ('UI', '2006-05-15 09:12:38 EDT', 'jerome_lanneluc'), ('[rename] Suppress refactoring-may-fail alert when the errors are just warnings treated as errors', '2006-06-10 06:49:07 EDT', 'martinae'), ('markus_keller', '2006-06-10 06:49:07 EDT', 'martinae'), ('147029', '2006-06-14 07:08:28 EDT', 'markus.kell.r'), ('Mac OS X', '2007-07-29 09:19:58 EDT', 'webmaster')]</t>
  </si>
  <si>
    <t>RESOLVED  DUPLICATE  of bug 71627</t>
  </si>
  <si>
    <t>250097 254801 (view as bug list)</t>
  </si>
  <si>
    <t>2009-03-06 05:36:10 EST</t>
  </si>
  <si>
    <t>2006-05-15 16:10 EDT</t>
  </si>
  <si>
    <t>2006-06-10 06:51:16 EDT</t>
  </si>
  <si>
    <t>[('CREATED', '2006-05-15 16:10 EDT'), ('tobias_widmer', '2006-06-10 06:51:16 EDT', 'martinae'), ('enhancement', '2006-06-10 06:51:16 EDT', 'martinae'), ('[extract interface] avoid generating redundant modifiers', '2006-06-10 06:51:16 EDT', 'martinae'), ('[extract interface] avoid generating redundant modifiers [refactoring]', '2006-06-12 04:53:13 EDT', 'tobias_widmer'), ('jdt-ui-inbox', '2007-06-14 10:42:33 EDT', 'martinae'), ('Lars.Vogel', '2008-10-08 11:56:30 EDT', 'markus.kell.r'), ('daniel_megert', '2008-10-09 04:10:20 EDT', 'daniel_megert'), ('ASSIGNED', '2008-10-09 04:10:20 EDT', 'daniel_megert'), ('aozarov', '2009-03-06 05:34:04 EST', 'markus.kell.r'), ('markus_keller', '2009-03-06 05:36:10 EST', 'markus.kell.r'), ('RESOLVED', '2009-03-06 05:36:10 EST', 'markus.kell.r'), ('DUPLICATE', '2009-03-06 05:36:10 EST', 'markus.kell.r')]</t>
  </si>
  <si>
    <t>2006-05-16 06:14:11 EDT</t>
  </si>
  <si>
    <t>2019-12-05 16:47:39 EST</t>
  </si>
  <si>
    <t>[('CREATED', '2006-05-15 16:10 EDT'), ('tobias_widmer', '2006-05-16 06:14:11 EDT', 'martinae'), ('[extract interface] refactoring should export methods in existing order [refactoring]', '2006-05-29 09:39:40 EDT', 'tobias_widmer'), ('jdt-ui-inbox', '2007-06-14 10:42:47 EDT', 'martinae'), ('stalebug', '2019-12-05 16:47:39 EST', 'genie')]</t>
  </si>
  <si>
    <t>2006-06-12 05:26:55 EDT</t>
  </si>
  <si>
    <t>2006-06-10 06:50:16 EDT</t>
  </si>
  <si>
    <t>[('CREATED', '2006-05-15 16:10 EDT'), ('tobias_widmer', '2006-06-10 06:50:16 EDT', 'martinae'), ('[extract interface] allow using existing interface', '2006-06-10 06:50:16 EDT', 'martinae'), ('RESOLVED', '2006-06-12 05:26:55 EDT', 'tobias_widmer'), ('WORKSFORME', '2006-06-12 05:26:55 EDT', 'tobias_widmer'), ('[extract interface] allow using existing interface [refactoring]', '2006-06-12 05:26:55 EDT', 'tobias_widmer')]</t>
  </si>
  <si>
    <t>2006-06-28 11:41:40 EDT</t>
  </si>
  <si>
    <t>2006-05-16 06:59 EDT</t>
  </si>
  <si>
    <t>2006-05-16 07:59:31 EDT</t>
  </si>
  <si>
    <t>[('CREATED', '2006-05-16 06:59 EDT'), ('enhancement', '2006-05-16 07:59:31 EDT', 'christof_marti'), ('tobias_widmer', '2006-06-10 06:53:06 EDT', 'martinae'), ('[script] Record "Move CU" refactorings in scripts', '2006-06-10 06:53:06 EDT', 'martinae'), ('ASSIGNED', '2006-06-12 04:54:56 EDT', 'tobias_widmer'), ('[reorg] provide scripting for all reorg refactorings [refactoring]', '2006-06-12 04:54:56 EDT', 'tobias_widmer'), ('3.3 M1', '2006-06-12 04:54:56 EDT', 'tobias_widmer'), ('RESOLVED', '2006-06-28 11:41:40 EDT', 'tobias_widmer'), ('FIXED', '2006-06-28 11:41:40 EDT', 'tobias_widmer')]</t>
  </si>
  <si>
    <t>2006-05-17 12:34:13 EDT</t>
  </si>
  <si>
    <t>2009-08-30 02:06:43 EDT</t>
  </si>
  <si>
    <t>2006-05-16 15:03 EDT</t>
  </si>
  <si>
    <t>2006-05-17 10:54:12 EDT</t>
  </si>
  <si>
    <t>[('CREATED', '2006-05-16 15:03 EDT'), ('jdt-ui-inbox', '2006-05-17 10:54:12 EDT', 'philippe_mulet'), ('UI', '2006-05-17 10:54:12 EDT', 'philippe_mulet'), ('premereur.eclipsebug', '2006-05-17 12:00:09 EDT', 'premereur.eclipsebug'), ('RESOLVED', '2006-05-17 12:34:13 EDT', 'martinae'), ('REMIND', '2006-05-17 12:34:13 EDT', 'martinae'), ('needinfo', '2009-08-30 02:06:43 EDT', 'denis.roy'), ('INVALID', '2009-08-30 02:06:43 EDT', 'denis.roy')]</t>
  </si>
  <si>
    <t>2020-03-31 04:00:41 EDT</t>
  </si>
  <si>
    <t>2006-05-18 05:21 EDT</t>
  </si>
  <si>
    <t>2006-05-22 05:29:04 EDT</t>
  </si>
  <si>
    <t>[('CREATED', '2006-05-18 05:21 EDT'), ('3.3', '2006-05-22 05:29:04 EDT', 'markus.kell.r'), ('ASSIGNED', '2006-05-22 05:29:04 EDT', 'markus.kell.r'), ('[refactoring] Enable disabled tests', '2006-08-03 10:12:18 EDT', 'martinae'), ('3.4', '2007-05-11 18:58:23 EDT', 'markus.kell.r'), ('3.5', '2008-05-10 12:24:03 EDT', 'markus.kell.r'), ('3.6', '2009-05-06 07:00:32 EDT', 'markus.kell.r'), ('3.7', '2010-04-20 14:52:38 EDT', 'markus.kell.r'), ('3.8', '2011-04-19 10:16:52 EDT', 'markus.kell.r'), ('---', '2012-04-24 11:36:56 EDT', 'markus.kell.r'), ('fix candidate', '2012-04-24 11:36:56 EDT', 'markus.kell.r'), ('jdt-ui-inbox', '2012-04-24 11:37:51 EDT', 'markus.kell.r'), ('stalebug', '2020-03-31 04:00:41 EDT', 'genie'), ('WONTFIX', '2020-03-31 04:00:41 EDT', 'genie'), ('CLOSED', '2020-03-31 04:00:41 EDT', 'genie')]</t>
  </si>
  <si>
    <t>2006-05-22 17:50:43 EDT</t>
  </si>
  <si>
    <t>2006-05-22 17:51:13 EDT</t>
  </si>
  <si>
    <t>2006-05-18 08:48 EDT</t>
  </si>
  <si>
    <t>2006-05-18 11:34:34 EDT</t>
  </si>
  <si>
    <t>[('CREATED', '2006-05-18 08:48 EDT'), ('philippe_mulet', '2006-05-18 11:34:34 EDT', 'martinae'), ('Darin_Wright', '2006-05-18 11:34:58 EDT', 'martinae'), ('Mike_Wilson', '2006-05-18 11:36:10 EDT', 'martinae'), ('wasleski', '2006-05-18 12:07:58 EDT', 'martinae'), ('3.2 RC5', '2006-05-19 04:47:33 EDT', 'martinae'), ('RESOLVED', '2006-05-22 17:50:43 EDT', 'martinae'), ('FIXED', '2006-05-22 17:50:43 EDT', 'martinae'), ('VERIFIED', '2006-05-22 17:51:13 EDT', 'martinae')]</t>
  </si>
  <si>
    <t>2006-11-28 13:03:50 EST</t>
  </si>
  <si>
    <t>2006-12-12 11:15:09 EST</t>
  </si>
  <si>
    <t>2006-05-18 11:11 EDT</t>
  </si>
  <si>
    <t>2006-05-18 11:25:26 EDT</t>
  </si>
  <si>
    <t>[('CREATED', '2006-05-18 11:11 EDT'), ('Andrew.Konchakov', '2006-05-18 11:25:26 EDT', 'Andrew.Konchakov'), ('markus_keller', '2006-05-18 12:33:01 EDT', 'martinae'), ('ASSIGNED', '2006-05-22 05:37:51 EDT', 'markus.kell.r'), ('3.3', '2006-05-22 05:37:51 EDT', 'markus.kell.r'), ('[rename] Refactoring text search fails to find occurences preceeded by #', '2006-06-08 06:13:35 EDT', 'markus.kell.r'), ('major', '2006-09-13 11:44:00 EDT', 'markus.kell.r'), ('3.3 M3', '2006-09-13 11:44:00 EDT', 'markus.kell.r'), ('P2', '2006-10-31 06:49:20 EST', 'markus.kell.r'), ('3.3 M4', '2006-10-31 06:49:20 EST', 'markus.kell.r'), ('RESOLVED', '2006-11-28 13:03:50 EST', 'markus.kell.r'), ('FIXED', '2006-11-28 13:03:50 EST', 'markus.kell.r'), ('VERIFIED', '2006-12-12 11:15:09 EST', 'martinae')]</t>
  </si>
  <si>
    <t>2006-05-19 11:03:47 EDT</t>
  </si>
  <si>
    <t>2006-05-18 18:44 EDT</t>
  </si>
  <si>
    <t>[('CREATED', '2006-05-18 18:44 EDT'), ('RESOLVED', '2006-05-19 11:03:47 EDT', 'martinae'), ('WORKSFORME', '2006-05-19 11:03:47 EDT', 'martinae')]</t>
  </si>
  <si>
    <t>2006-06-08 12:30:23 EDT</t>
  </si>
  <si>
    <t>2006-05-19 08:53 EDT</t>
  </si>
  <si>
    <t>2006-05-19 09:21:02 EDT</t>
  </si>
  <si>
    <t>[('CREATED', '2006-05-19 08:53 EDT'), ('martin_aeschlimann', '2006-05-19 09:21:02 EDT', 'tobias_widmer'), ('1', '2006-05-19 11:44:31 EDT', 'tobias_widmer'), ('RESOLVED', '2006-06-08 12:30:23 EDT', 'martinae'), ('FIXED', '2006-06-08 12:30:23 EDT', 'martinae'), ('3.2', '2006-06-08 12:30:23 EDT', 'martinae')]</t>
  </si>
  <si>
    <t>2020-03-23 16:54:53 EDT</t>
  </si>
  <si>
    <t>2006-05-20 02:20 EDT</t>
  </si>
  <si>
    <t>2006-05-20 03:18:07 EDT</t>
  </si>
  <si>
    <t>[('CREATED', '2006-05-20 02:20 EDT'), ('jdt-ui-inbox', '2006-05-20 03:18:07 EDT', 'jerome_lanneluc'), ('UI', '2006-05-20 03:18:07 EDT', 'jerome_lanneluc'), ('tobias_widmer', '2006-05-22 02:42:50 EDT', 'martinae'), ('[move member type] possible inconsistency [refactoring]', '2006-05-29 09:40:18 EDT', 'tobias_widmer'), ('jdt-ui-inbox', '2007-06-14 10:44:48 EDT', 'martinae'), ('WONTFIX', '2020-03-23 16:54:53 EDT', 'genie'), ('stalebug', '2020-03-23 16:54:53 EDT', 'genie'), ('CLOSED', '2020-03-23 16:54:53 EDT', 'genie')]</t>
  </si>
  <si>
    <t>2006-05-22 10:22 EDT</t>
  </si>
  <si>
    <t>2006-05-22 17:49:44 EDT</t>
  </si>
  <si>
    <t>2006-06-20 11:11:35 EDT</t>
  </si>
  <si>
    <t>[('CREATED', '2006-05-22 10:22 EDT'), ('markus_keller', '2006-05-22 17:49:44 EDT', 'martinae'), ('ASSIGNED', '2006-06-08 06:12:01 EDT', 'markus.kell.r'), ('[introduce indirection] should allow to specify the scope', '2006-06-08 06:12:01 EDT', 'markus.kell.r'), ('daniel_megert', '2006-06-20 11:11:35 EDT', 'markus.kell.r'), ('[refactoring] should allow to specify the scope for reference updating [introduce indirection][inline]', '2006-06-20 11:11:35 EDT', 'markus.kell.r')]</t>
  </si>
  <si>
    <t>2020-02-25 03:53:45 EST</t>
  </si>
  <si>
    <t>2006-05-22 10:59 EDT</t>
  </si>
  <si>
    <t>2006-05-23 08:41:02 EDT</t>
  </si>
  <si>
    <t>[('CREATED', '2006-05-22 10:59 EDT'), ('Michael_Valenta', '2006-05-23 08:41:02 EDT', 'valentam'), ('jdt-ui-inbox', '2006-05-23 08:41:02 EDT', 'valentam'), ('UI', '2006-05-23 08:41:02 EDT', 'valentam'), ('JDT', '2006-05-23 08:41:02 EDT', 'valentam'), ('tobias_widmer', '2006-05-23 13:14:28 EDT', 'martinae'), ('[synchronize] edit section in context menu of synchronize view missing for java files', '2006-05-29 04:56:31 EDT', 'tobias_widmer'), ('martin_aeschlimann', '2007-06-14 10:00:16 EDT', 'martinae'), ('jdt-ui-inbox', '2009-01-23 11:11:56 EST', 'daniel_megert'), ('ASSIGNED', '2009-01-23 11:26:14 EST', 'daniel_megert'), ('CLOSED', '2020-02-25 03:53:45 EST', 'genie'), ('stalebug', '2020-02-25 03:53:45 EST', 'genie'), ('WONTFIX', '2020-02-25 03:53:45 EST', 'genie')]</t>
  </si>
  <si>
    <t>RESOLVED  DUPLICATE  of bug 144785</t>
  </si>
  <si>
    <t>2006-06-08 12:06:04 EDT</t>
  </si>
  <si>
    <t>2006-05-24 05:47 EDT</t>
  </si>
  <si>
    <t>2006-05-24 05:51:08 EDT</t>
  </si>
  <si>
    <t>[('CREATED', '2006-05-24 05:47 EDT'), ('jdt-ui-inbox', '2006-05-24 05:51:08 EDT', 'jerome_lanneluc'), ('UI', '2006-05-24 05:51:08 EDT', 'jerome_lanneluc'), ('RESOLVED', '2006-06-08 12:06:04 EDT', 'martinae'), ('DUPLICATE', '2006-06-08 12:06:04 EDT', 'martinae')]</t>
  </si>
  <si>
    <t>2007-07-03 07:11:21 EDT</t>
  </si>
  <si>
    <t>2006-05-24 08:21 EDT</t>
  </si>
  <si>
    <t>2006-06-02 10:02:01 EDT</t>
  </si>
  <si>
    <t>[('CREATED', '2006-05-24 08:21 EDT'), ('tobias_widmer', '2006-06-02 10:02:01 EDT', 'martinae'), ("[move member type] label misses '...'", '2006-06-02 10:02:01 EDT', 'martinae'), ("[move member type] label misses '...' [refactoring]", '2006-06-02 10:56:38 EDT', 'tobias_widmer'), ('jdt-ui-inbox', '2007-06-14 10:44:46 EDT', 'martinae'), ('markus_keller', '2007-07-03 07:10:53 EDT', 'markus.kell.r'), ('3.4 M1', '2007-07-03 07:10:53 EDT', 'markus.kell.r'), ('RESOLVED', '2007-07-03 07:11:21 EDT', 'markus.kell.r'), ('FIXED', '2007-07-03 07:11:21 EDT', 'markus.kell.r')]</t>
  </si>
  <si>
    <t>2006-05-24 18:09 EDT</t>
  </si>
  <si>
    <t>2006-05-24 20:55:45 EDT</t>
  </si>
  <si>
    <t>2019-05-01 08:46:31 EDT</t>
  </si>
  <si>
    <t>[('CREATED', '2006-05-24 18:09 EDT'), ('jdt-ui-inbox', '2006-05-24 20:55:45 EDT', 'Olivier_Thomann'), ('UI', '2006-05-24 20:55:45 EDT', 'Olivier_Thomann'), ('dirk_baeumer', '2006-05-26 03:30:27 EDT', 'martinae'), ('jdt-ui-inbox', '2006-06-02 06:26:49 EDT', 'martinae'), ('[extract method] problem with shadowed subclass methods', '2006-06-02 06:26:49 EDT', 'martinae'), ('ASSIGNED', '2006-06-08 12:13:58 EDT', 'martinae'), ('bmuskalla, markus_keller', '2009-08-01 17:29:33 EDT', 'b.muskalla'), ('stalebug', '2019-04-30 18:11:44 EDT', 'genie'), ('daniel_megert', '2019-05-01 08:46:31 EDT', 'daniel_megert'), (nan, '2019-05-01 08:46:31 EDT', 'daniel_megert')]</t>
  </si>
  <si>
    <t>2006-05-30 06:20:20 EDT</t>
  </si>
  <si>
    <t>2006-05-26 15:45 EDT</t>
  </si>
  <si>
    <t>2006-05-26 19:10:34 EDT</t>
  </si>
  <si>
    <t>[('CREATED', '2006-05-26 15:45 EDT'), ('jdt-ui-inbox', '2006-05-26 19:10:34 EDT', 'Olivier_Thomann'), ('UI', '2006-05-26 19:10:34 EDT', 'Olivier_Thomann'), ('[JUnit] org.eclipse.jdt.internal.junit.refactoring.TypeRenameParticipant is really slow', '2006-05-29 11:40:43 EDT', 'martinae'), ('martin_aeschlimann', '2006-05-29 11:40:43 EDT', 'martinae'), ('markus_keller', '2006-05-29 11:40:43 EDT', 'martinae'), ('RESOLVED', '2006-05-30 06:20:20 EDT', 'markus.kell.r'), ('WORKSFORME', '2006-05-30 06:20:20 EDT', 'markus.kell.r')]</t>
  </si>
  <si>
    <t>2006-05-29 11:46:29 EDT</t>
  </si>
  <si>
    <t>2009-08-30 02:23:24 EDT</t>
  </si>
  <si>
    <t>2006-05-26 21:55 EDT</t>
  </si>
  <si>
    <t>[('CREATED', '2006-05-26 21:55 EDT'), ('RESOLVED', '2006-05-29 11:46:29 EDT', 'martinae'), ('helpwanted', '2006-05-29 11:46:29 EDT', 'martinae'), ('LATER', '2006-05-29 11:46:29 EDT', 'martinae'), ('WONTFIX', '2009-08-30 02:23:24 EDT', 'denis.roy')]</t>
  </si>
  <si>
    <t>256020 (view as bug list)</t>
  </si>
  <si>
    <t>2006-05-27 05:46 EDT</t>
  </si>
  <si>
    <t>2006-05-29 11:50:45 EDT</t>
  </si>
  <si>
    <t>2012-05-29 05:30:18 EDT</t>
  </si>
  <si>
    <t>ruediger.herrmann</t>
  </si>
  <si>
    <t>[('CREATED', '2006-05-27 05:46 EDT'), ('ASSIGNED', '2006-05-29 11:50:45 EDT', 'martinae'), ('dcr [refactoring] Support for refactoring arrays to lists (or vice versa)', '2006-05-29 11:50:45 EDT', 'martinae'), ('martin_aeschlimann', '2006-06-08 11:53:03 EDT', 'martinae'), ('NEW', '2006-06-08 11:53:03 EDT', 'martinae'), ('[quick fix] Support for refactoring arrays to lists (or vice versa)', '2006-06-08 11:53:03 EDT', 'martinae'), ('aniefer', '2008-11-21 03:01:03 EST', 'daniel_megert'), ('daniel_megert', '2008-11-21 03:01:48 EST', 'daniel_megert'), ('jdt-ui-inbox', '2009-01-23 11:17:20 EST', 'daniel_megert'), ('ASSIGNED', '2009-01-23 11:35:00 EST', 'daniel_megert'), ('ruediger.herrmann', '2012-05-29 05:30:18 EDT', 'ruediger.herrmann')]</t>
  </si>
  <si>
    <t>2007-06-25 05:01:23 EDT</t>
  </si>
  <si>
    <t>2006-05-27 07:11 EDT</t>
  </si>
  <si>
    <t>2006-05-29 04:26:41 EDT</t>
  </si>
  <si>
    <t>[('CREATED', '2006-05-27 07:11 EDT'), ('enhancement', '2006-05-29 04:26:41 EDT', 'benno.baumgartner'), ("[cleanup] option to 'Infer Generic Type Argurments'", '2006-05-29 04:26:41 EDT', 'benno.baumgartner'), ('benno_baumgartner', '2006-06-14 02:17:24 EDT', 'martinae'), ('WONTFIX', '2007-06-25 05:01:23 EDT', 'benno.baumgartner'), ('RESOLVED', '2007-06-25 05:01:23 EDT', 'benno.baumgartner')]</t>
  </si>
  <si>
    <t>291282 (view as bug list)</t>
  </si>
  <si>
    <t>2009-10-05 08:44:43 EDT</t>
  </si>
  <si>
    <t>2006-05-29 11:32 EDT</t>
  </si>
  <si>
    <t>2006-05-29 11:33:15 EDT</t>
  </si>
  <si>
    <t>[('CREATED', '2006-05-29 11:32 EDT'), ('jdt-ui-inbox', '2006-05-29 11:33:15 EDT', 'Olivier_Thomann'), ('UI', '2006-05-29 11:33:15 EDT', 'Olivier_Thomann'), ('[rename] NPE when renaming a local variable', '2006-06-07 11:24:07 EDT', 'martinae'), ('markus_keller', '2006-06-07 11:24:07 EDT', 'martinae'), ('lysathor', '2009-10-05 08:14:52 EDT', 'markus.kell.r'), ('ASSIGNED', '2009-10-05 08:24:47 EDT', 'markus.kell.r'), ('RESOLVED', '2009-10-05 08:44:43 EDT', 'markus.kell.r'), ('FIXED', '2009-10-05 08:44:43 EDT', 'markus.kell.r'), ('3.6 M3', '2009-10-05 08:44:43 EDT', 'markus.kell.r')]</t>
  </si>
  <si>
    <t>2006-05-30 13:10 EDT</t>
  </si>
  <si>
    <t>2006-05-30 14:17:04 EDT</t>
  </si>
  <si>
    <t>2018-12-15 19:50:58 EST</t>
  </si>
  <si>
    <t>[('CREATED', '2006-05-30 13:10 EDT'), ('jdt-ui-inbox', '2006-05-30 14:17:04 EDT', 'Olivier_Thomann'), ('UI', '2006-05-30 14:17:04 EDT', 'Olivier_Thomann'), ('markus_keller', '2006-06-01 06:31:35 EDT', 'martinae'), ('ASSIGNED', '2006-06-01 08:58:08 EDT', 'markus.kell.r'), ('[Change Method Signature] does not add imports for default expression', '2006-06-01 08:58:08 EDT', 'markus.kell.r'), ('deepak.azad', '2010-09-05 21:28:05 EDT', 'deepakazad'), ('stalebug', '2018-12-15 19:50:58 EST', 'genie')]</t>
  </si>
  <si>
    <t>146110 149917 152960 169441 (view as bug list)</t>
  </si>
  <si>
    <t>2006-07-19 12:24:22 EDT</t>
  </si>
  <si>
    <t>2006-08-31 06:23:20 EDT</t>
  </si>
  <si>
    <t>2006-07-12 11:12:39 EDT</t>
  </si>
  <si>
    <t>2006-05-30 15:16 EDT</t>
  </si>
  <si>
    <t>2006-06-08 07:00:51 EDT</t>
  </si>
  <si>
    <t>2007-01-04 04:14:21 EST</t>
  </si>
  <si>
    <t>[('CREATED', '2006-05-30 15:16 EDT'), ('markus_keller', '2006-06-08 07:00:51 EDT', 'martinae'), ('[rename] Invalid error message encountered when renaming file', '2006-06-08 07:00:51 EDT', 'martinae'), ('3.3', '2006-06-08 07:00:51 EDT', 'martinae'), ('ASSIGNED', '2006-06-08 07:07:58 EDT', 'markus.kell.r'), ('sarcher', '2006-06-14 12:12:34 EDT', 'markus.kell.r'), ('RESOLVED', '2006-06-14 12:41:55 EDT', 'markus.kell.r'), ('FIXED', '2006-06-14 12:41:55 EDT', 'markus.kell.r'), ('eddie', '2006-07-12 11:11:07 EDT', 'markus.kell.r'), ('3.3 M1', '2006-07-12 11:12:39 EDT', 'markus.kell.r'), ('REOPENED', '2006-07-12 11:12:39 EDT', 'markus.kell.r'), ('---', '2006-07-12 11:12:39 EDT', 'markus.kell.r'), ('3.2.1 candidate', '2006-07-12 11:12:39 EDT', 'markus.kell.r'), ('martin_aeschlimann', '2006-07-19 12:04:21 EDT', 'markus.kell.r'), ('ASSIGNED', '2006-07-19 12:04:21 EDT', 'markus.kell.r'), ('RESOLVED', '2006-07-19 12:24:22 EDT', 'markus.kell.r'), ('FIXED', '2006-07-19 12:24:22 EDT', 'markus.kell.r'), ('3.2.1', '2006-07-19 12:24:22 EDT', 'markus.kell.r'), ('d.nachev', '2006-08-07 08:55:01 EDT', 'martinae'), (nan, '2006-08-07 09:31:51 EDT', 'markus.kell.r'), ('VERIFIED', '2006-08-31 06:23:20 EDT', 'benno.baumgartner'), ('paul.melching', '2006-09-27 07:22:38 EDT', 'paul.melching'), ('gsager', '2007-01-04 04:14:21 EST', 'martinae')]</t>
  </si>
  <si>
    <t>2006-05-31 08:48 EDT</t>
  </si>
  <si>
    <t>2006-06-08 07:18:02 EDT</t>
  </si>
  <si>
    <t>2020-06-18 04:35:35 EDT</t>
  </si>
  <si>
    <t>jnord</t>
  </si>
  <si>
    <t>[('CREATED', '2006-05-31 08:48 EDT'), ('benno_baumgartner', '2006-06-08 07:18:02 EDT', 'martinae'), ('martin_aeschlimann', '2006-06-08 07:18:31 EDT', 'martinae'), ('villane', '2007-03-16 17:53:16 EDT', 'villane'), ('patlustosa', '2008-03-01 17:06:05 EST', 'patlustosa'), ('[refactoring] Allow users to create their own refactoring, extend existing ones', '2008-03-03 06:49:53 EST', 'martinae'), ('benjamin.cabe', '2008-03-04 08:45:59 EST', 'contact'), ('david.sciamma', '2008-03-06 13:45:05 EST', 'contact'), ('alfredo', '2008-03-06 13:45:34 EST', 'contact'), ('1', '2008-03-11 11:23:33 EDT', 'benno.baumgartner'), ('blaszczyk.jakub', '2008-03-30 18:30:40 EDT', 'blaszczyk.jakub'), ('jdt-ui-inbox', '2008-07-16 06:37:25 EDT', 'benno.baumgartner'), ('benno_baumgartner', '2008-07-16 06:38:10 EDT', 'benno.baumgartner'), ('ASSIGNED', '2008-07-16 06:38:10 EDT', 'benno.baumgartner'), ('helpwanted', '2008-07-16 06:38:10 EDT', 'benno.baumgartner'), ('t.menzel', '2008-10-29 06:06:35 EDT', 'tmenzel'), ('mn', '2008-11-29 07:35:06 EST', 'mn'), ('deepak.azad', '2010-10-29 12:21:36 EDT', 'deepakazad'), ('stolz+bugzilla', '2019-09-09 10:10:39 EDT', 'stolz+bugzilla'), ('jnord', '2020-06-18 04:35:35 EDT', 'jnord')]</t>
  </si>
  <si>
    <t>2006-06-06 12:35:23 EDT</t>
  </si>
  <si>
    <t>2006-05-31 18:55 EDT</t>
  </si>
  <si>
    <t>2006-06-01 04:18:28 EDT</t>
  </si>
  <si>
    <t>2006-06-06 12:35:33 EDT</t>
  </si>
  <si>
    <t>[('CREATED', '2006-05-31 18:55 EDT'), ('jdt-ui-inbox', '2006-06-01 04:18:28 EDT', 'jerome_lanneluc'), ('UI', '2006-06-01 04:18:28 EDT', 'jerome_lanneluc'), ('Michael_Valenta', '2006-06-01 12:23:45 EDT', 'martinae'), ('john_arthorne', '2006-06-01 13:11:28 EDT', 'valentam'), ('RESOLVED', '2006-06-06 12:35:23 EDT', 'martinae'), ('INVALID', '2006-06-06 12:35:23 EDT', 'martinae'), ('martin_aeschlimann', '2006-06-06 12:35:33 EDT', 'martinae')]</t>
  </si>
  <si>
    <t>2006-06-14 12:24:28 EDT</t>
  </si>
  <si>
    <t>2006-08-31 09:49:28 EDT</t>
  </si>
  <si>
    <t>2006-06-01 15:00 EDT</t>
  </si>
  <si>
    <t>2006-06-01 15:16:20 EDT</t>
  </si>
  <si>
    <t>2007-01-24 06:05:15 EST</t>
  </si>
  <si>
    <t>[('CREATED', '2006-06-01 15:00 EDT'), ('jdt-ui-inbox', '2006-06-01 15:16:20 EDT', 'Olivier_Thomann'), ('UI', '2006-06-01 15:16:20 EDT', 'Olivier_Thomann'), ('tobias_widmer', '2006-06-06 12:34:14 EDT', 'martinae'), ('[reorg] Refactoring errors when target is non Java project', '2006-06-06 12:34:14 EDT', 'martinae'), ('ASSIGNED', '2006-06-07 04:48:18 EDT', 'tobias_widmer'), ('[reorg] NPE in ReorgPolicyFactory [refactoring]', '2006-06-07 04:48:18 EDT', 'tobias_widmer'), ('RESOLVED', '2006-06-14 12:24:28 EDT', 'tobias_widmer'), ('FIXED', '2006-06-14 12:24:28 EDT', 'tobias_widmer'), ('3.3 M1', '2006-06-14 12:24:28 EDT', 'tobias_widmer'), ('3.2.1 candidate', '2006-06-14 12:27:40 EDT', 'tobias_widmer'), ('martin_aeschlimann', '2006-06-14 12:27:40 EDT', 'tobias_widmer'), ('3.2.1', '2006-07-25 04:37:08 EDT', 'tobias_widmer'), ('VERIFIED', '2006-08-31 09:49:28 EDT', 'benno.baumgartner'), (nan, '2007-01-24 06:05:15 EST', 'markus.kell.r')]</t>
  </si>
  <si>
    <t>2006-08-23 12:25:46 EDT</t>
  </si>
  <si>
    <t>2006-08-31 09:54:28 EDT</t>
  </si>
  <si>
    <t>2006-06-01 18:12 EDT</t>
  </si>
  <si>
    <t>2006-06-01 18:22:21 EDT</t>
  </si>
  <si>
    <t>2007-01-24 06:05:17 EST</t>
  </si>
  <si>
    <t>[('CREATED', '2006-06-01 18:12 EDT'), ('\'"Show Source Quick Menu" did not complete normally.\' when performing "Generate hashCode() and equals()" on a generic class', '2006-06-01 18:22:21 EDT', 'mypurchase'), ('jdt-ui-inbox', '2006-06-01 22:38:15 EDT', 'Olivier_Thomann'), ('UI', '2006-06-01 22:38:15 EDT', 'Olivier_Thomann'), ('[hashcode/equals] \'"Show Source Quick Menu" did not complete normally.\' when performing "Generate hashCode() and equals()" on a generic class', '2006-06-06 12:37:09 EDT', 'martinae'), ('3.2.1', '2006-06-06 12:37:09 EDT', 'martinae'), ('tobias_widmer', '2006-06-06 12:37:09 EDT', 'martinae'), ('ASSIGNED', '2006-06-07 04:50:33 EDT', 'tobias_widmer'), ('[hashcode/equals] CCE in GenerateHashcodeEqualsAction#checkHashcodeEqualsExists [code generation]', '2006-06-07 04:50:33 EDT', 'tobias_widmer'), ('3.2.1 candidate', '2006-06-14 04:57:32 EDT', 'martinae'), ('---', '2006-06-14 04:57:32 EDT', 'martinae'), ('3.2.1', '2006-08-16 08:36:22 EDT', 'tobias_widmer'), ('1', '2006-08-23 07:16:39 EDT', 'martinae'), ('RESOLVED', '2006-08-23 12:25:46 EDT', 'martinae'), ('FIXED', '2006-08-23 12:25:46 EDT', 'martinae'), ('martin_aeschlimann, Boris_Bokowski', '2006-08-28 17:23:21 EDT', 'bokowski'), ('VERIFIED', '2006-08-31 09:54:28 EDT', 'benno.baumgartner'), (nan, '2007-01-24 06:05:17 EST', 'markus.kell.r')]</t>
  </si>
  <si>
    <t>2007-06-14 10:02:16 EDT</t>
  </si>
  <si>
    <t>2006-06-01 20:19 EDT</t>
  </si>
  <si>
    <t>2006-06-06 12:37:38 EDT</t>
  </si>
  <si>
    <t>[('CREATED', '2006-06-01 20:19 EDT'), ("[ltkWhen renaming a Java Class (using refactor rename) the preview doesn't correctly show the changes to the .java file itself.", '2006-06-06 12:37:38 EDT', 'martinae'), ('tobias_widmer', '2006-06-06 12:38:23 EDT', 'martinae'), ("[rename] When renaming a Java Class (using refactor rename) the preview doesn't correctly show the changes to the .java file itself.", '2006-06-06 12:38:23 EDT', 'martinae'), ('daniel_megert', '2006-06-07 02:54:24 EDT', 'daniel_megert'), ('jdt-ui-inbox', '2007-06-14 10:02:01 EDT', 'martinae'), ('RESOLVED', '2007-06-14 10:02:16 EDT', 'martinae'), ('WORKSFORME', '2007-06-14 10:02:16 EDT', 'martinae')]</t>
  </si>
  <si>
    <t>2020-02-09 17:07:52 EST</t>
  </si>
  <si>
    <t>2006-06-06 10:37 EDT</t>
  </si>
  <si>
    <t>2006-06-06 10:52:23 EDT</t>
  </si>
  <si>
    <t>[('CREATED', '2006-06-06 10:37 EDT'), ('jdt-ui-inbox', '2006-06-06 10:52:23 EDT', 'david_audel'), ('UI', '2006-06-06 10:52:23 EDT', 'david_audel'), ('[encapsulate field] Code Style prefix causing problems refactoring', '2006-06-07 12:15:53 EDT', 'martinae'), ('stalebug', '2020-02-09 17:07:52 EST', 'genie'), ('WONTFIX', '2020-02-09 17:07:52 EST', 'genie'), ('CLOSED', '2020-02-09 17:07:52 EST', 'genie')]</t>
  </si>
  <si>
    <t>2020-02-02 19:47:24 EST</t>
  </si>
  <si>
    <t>2006-06-06 12:15 EDT</t>
  </si>
  <si>
    <t>2006-06-06 12:40:18 EDT</t>
  </si>
  <si>
    <t>[('CREATED', '2006-06-06 12:15 EDT'), ('[convert anonymous] gives illegal result.', '2006-06-06 12:40:18 EDT', 'martinae'), ('tobias_widmer', '2006-06-06 12:40:18 EDT', 'martinae'), ('ASSIGNED', '2006-06-07 04:53:14 EDT', 'tobias_widmer'), ('[convert anonymous] gives illegal result [refactoring]', '2006-06-07 04:53:14 EDT', 'tobias_widmer'), ('jdt-ui-inbox', '2007-06-14 10:42:16 EDT', 'martinae'), ('NEW', '2007-06-14 10:42:16 EDT', 'martinae'), ('WONTFIX', '2020-02-02 19:47:24 EST', 'genie'), ('CLOSED', '2020-02-02 19:47:24 EST', 'genie'), ('stalebug', '2020-02-02 19:47:24 EST', 'genie')]</t>
  </si>
  <si>
    <t>150829 163232 (view as bug list)</t>
  </si>
  <si>
    <t>2006-08-10 16:38:10 EDT</t>
  </si>
  <si>
    <t>2006-08-31 06:04:43 EDT</t>
  </si>
  <si>
    <t>2006-08-09 12:59:09 EDT</t>
  </si>
  <si>
    <t>2006-06-07 06:26 EDT</t>
  </si>
  <si>
    <t>2006-06-07 07:54:35 EDT</t>
  </si>
  <si>
    <t>2006-11-15 13:24:58 EST</t>
  </si>
  <si>
    <t>[('CREATED', '2006-06-07 06:26 EDT'), ('platform-resources-inbox', '2006-06-07 07:54:35 EDT', 'dj.houghton'), ('Resources', '2006-06-07 07:54:35 EDT', 'dj.houghton'), ('john_arthorne', '2006-06-07 12:03:33 EDT', 'john.arthorne'), ('jdt-ui-inbox', '2006-06-07 12:03:33 EDT', 'john.arthorne'), ('UI', '2006-06-07 12:03:33 EDT', 'john.arthorne'), ('JDT', '2006-06-07 12:03:33 EDT', 'john.arthorne'), ('markus_keller', '2006-06-08 06:22:05 EDT', 'martinae'), ('[rename] Renaming of Project causes linked folders to be unlinked and moved', '2006-06-08 06:22:05 EDT', 'martinae'), ('ASSIGNED', '2006-06-08 06:32:55 EDT', 'markus.kell.r'), ('max.weninger', '2006-07-20 09:59:17 EDT', 'martinae'), ('RESOLVED', '2006-07-21 04:20:22 EDT', 'markus.kell.r'), ('FIXED', '2006-07-21 04:20:22 EDT', 'markus.kell.r'), ('3.3 M1', '2006-07-21 04:20:22 EDT', 'markus.kell.r'), ('3.2.1 candidate', '2006-08-08 05:34:29 EDT', 'martinae'), ('daniel_megert', '2006-08-08 05:36:19 EDT', 'daniel_megert'), ('REOPENED', '2006-08-09 12:59:09 EDT', 'martinae'), ('---', '2006-08-09 12:59:09 EDT', 'martinae'), ('---', '2006-08-09 12:59:09 EDT', 'martinae'), ('RESOLVED', '2006-08-10 16:38:10 EDT', 'markus.kell.r'), ('FIXED', '2006-08-10 16:38:10 EDT', 'markus.kell.r'), (nan, '2006-08-10 16:38:10 EDT', 'markus.kell.r'), ('3.2.1', '2006-08-10 16:38:10 EDT', 'markus.kell.r'), ('VERIFIED', '2006-08-31 06:04:43 EDT', 'benno.baumgartner'), ('david.schneider', '2006-11-15 13:24:58 EST', 'john.arthorne')]</t>
  </si>
  <si>
    <t>2006-06-14 05:47:12 EDT</t>
  </si>
  <si>
    <t>2009-08-30 02:08:16 EDT</t>
  </si>
  <si>
    <t>2006-06-07 16:17 EDT</t>
  </si>
  <si>
    <t>2006-06-08 02:18:45 EDT</t>
  </si>
  <si>
    <t>[('CREATED', '2006-06-07 16:17 EDT'), ('jdt-ui-inbox', '2006-06-08 02:18:45 EDT', 'daniel_megert'), ('UI', '2006-06-08 02:18:45 EDT', 'daniel_megert'), ('martin_aeschlimann', '2006-06-08 06:42:41 EDT', 'martinae'), ('markus_keller', '2006-06-08 06:44:16 EDT', 'martinae'), ('other', '2006-06-08 06:44:16 EDT', 'martinae'), ('[rename] rename on a Java identifier corrupts source', '2006-06-08 06:44:16 EDT', 'martinae'), ('major', '2006-06-08 06:48:47 EDT', 'martinae'), ('RESOLVED', '2006-06-14 05:47:12 EDT', 'markus.kell.r'), ('REMIND', '2006-06-14 05:47:12 EDT', 'markus.kell.r'), ('INVALID', '2009-08-30 02:08:16 EDT', 'denis.roy'), ('needinfo', '2009-08-30 02:08:16 EDT', 'denis.roy')]</t>
  </si>
  <si>
    <t>2020-03-07 09:39:15 EST</t>
  </si>
  <si>
    <t>2006-06-08 08:46 EDT</t>
  </si>
  <si>
    <t>2006-06-11 06:59:58 EDT</t>
  </si>
  <si>
    <t>[('CREATED', '2006-06-08 08:46 EDT'), ('tobias_widmer', '2006-06-11 06:59:58 EDT', 'martinae'), ('[convert anonymous] Single-line comment is not preserved in Convert Anonymous to nested refactoring', '2006-06-11 06:59:58 EDT', 'martinae'), ('ASSIGNED', '2006-06-12 05:37:21 EDT', 'tobias_widmer'), ('[convert anonymous] Single-line comment is not preserved in Convert Anonymous to nested refactoring [refactoring]', '2006-06-12 05:37:21 EDT', 'tobias_widmer'), ('b.muskalla', '2007-01-06 20:50:15 EST', 'b.muskalla'), ('jdt-ui-inbox', '2007-06-14 10:42:20 EDT', 'martinae'), ('NEW', '2007-06-14 10:42:20 EDT', 'martinae'), ('WONTFIX', '2020-03-07 09:39:15 EST', 'genie'), ('stalebug', '2020-03-07 09:39:15 EST', 'genie'), ('CLOSED', '2020-03-07 09:39:15 EST', 'genie')]</t>
  </si>
  <si>
    <t>2006-06-11 03:57:47 EDT</t>
  </si>
  <si>
    <t>2006-06-08 14:58 EDT</t>
  </si>
  <si>
    <t>2006-06-08 14:58:45 EDT</t>
  </si>
  <si>
    <t>[('CREATED', '2006-06-08 14:58 EDT'), ('refactoring rename not available for method with covariant return types', '2006-06-08 14:58:45 EDT', 'hudsonr'), ('jdt-ui-inbox', '2006-06-08 20:52:29 EDT', 'Olivier_Thomann'), ('UI', '2006-06-08 20:52:29 EDT', 'Olivier_Thomann'), ('INVALID', '2006-06-11 03:57:47 EDT', 'martinae'), ('[rename] refactoring rename not available for method with covariant return types', '2006-06-11 03:57:47 EDT', 'martinae'), ('martin_aeschlimann, markus_keller', '2006-06-11 03:57:47 EDT', 'martinae'), ('RESOLVED', '2006-06-11 03:57:47 EDT', 'martinae')]</t>
  </si>
  <si>
    <t>RESOLVED  DUPLICATE  of bug 144524</t>
  </si>
  <si>
    <t>2006-06-14 12:12:34 EDT</t>
  </si>
  <si>
    <t>2006-06-08 16:33 EDT</t>
  </si>
  <si>
    <t>2006-06-11 06:49:48 EDT</t>
  </si>
  <si>
    <t>[('CREATED', '2006-06-08 16:33 EDT'), ('markus_keller', '2006-06-11 06:49:48 EDT', 'martinae'), ('[rename] Assertion failed during refactoring', '2006-06-11 06:49:48 EDT', 'martinae'), ('3.2.1', '2006-06-11 06:49:48 EDT', 'martinae'), ('---', '2006-06-14 04:58:20 EDT', 'martinae'), ('3.2.1 candidate', '2006-06-14 04:58:20 EDT', 'martinae'), ('RESOLVED', '2006-06-14 12:12:34 EDT', 'markus.kell.r'), ('DUPLICATE', '2006-06-14 12:12:34 EDT', 'markus.kell.r'), (nan, '2006-06-14 12:12:34 EDT', 'markus.kell.r')]</t>
  </si>
  <si>
    <t>147025 152971 (view as bug list)</t>
  </si>
  <si>
    <t>2006-07-24 12:44:06 EDT</t>
  </si>
  <si>
    <t>2006-08-31 08:38:41 EDT</t>
  </si>
  <si>
    <t>2006-06-08 16:57 EDT</t>
  </si>
  <si>
    <t>2006-06-08 20:51:35 EDT</t>
  </si>
  <si>
    <t>2007-01-24 06:05:10 EST</t>
  </si>
  <si>
    <t>[('CREATED', '2006-06-08 16:57 EDT'), ('jdt-ui-inbox', '2006-06-08 20:51:35 EDT', 'Olivier_Thomann'), ('UI', '2006-06-08 20:51:35 EDT', 'Olivier_Thomann'), ('martin_aeschlimann', '2006-06-11 06:47:20 EDT', 'martinae'), ('Core', '2006-06-11 06:47:20 EDT', 'martinae'), ('[render] npe in BindingLabelProvider', '2006-06-11 06:47:20 EDT', 'martinae'), ('3.2.1', '2006-06-11 06:47:20 EDT', 'martinae'), ('UI', '2006-06-15 12:10:47 EDT', 'martinae'), ('3.2.1 candidate', '2006-06-15 12:10:47 EDT', 'martinae'), ('---', '2006-06-15 12:10:47 EDT', 'martinae'), ('tom_eicher', '2006-06-15 12:10:59 EDT', 'martinae'), ('RESOLVED', '2006-07-24 12:44:06 EDT', 'martinae'), ('FIXED', '2006-07-24 12:44:06 EDT', 'martinae'), ('3.2.1', '2006-07-24 12:44:06 EDT', 'martinae'), ('christof_marti', '2006-08-07 12:00:25 EDT', 'martinae'), ('VERIFIED', '2006-08-31 08:38:41 EDT', 'benno.baumgartner'), (nan, '2007-01-24 06:05:10 EST', 'markus.kell.r')]</t>
  </si>
  <si>
    <t>2006-06-15 13:37:07 EDT</t>
  </si>
  <si>
    <t>2006-06-12 06:17 EDT</t>
  </si>
  <si>
    <t>2006-06-12 11:53:19 EDT</t>
  </si>
  <si>
    <t>[('CREATED', '2006-06-12 06:17 EDT'), ('markus_keller', '2006-06-12 11:53:19 EDT', 'martinae'), ('[inline] erroneous code as result', '2006-06-12 11:53:19 EDT', 'martinae'), ('ASSIGNED', '2006-06-14 13:57:48 EDT', 'markus.kell.r'), ('[inline] inline method produces compile error with this-qualified remote field access', '2006-06-14 13:57:48 EDT', 'markus.kell.r'), ('RESOLVED', '2006-06-15 13:37:07 EDT', 'markus.kell.r'), ('FIXED', '2006-06-15 13:37:07 EDT', 'markus.kell.r'), ('3.3 M1', '2006-06-15 13:37:07 EDT', 'markus.kell.r')]</t>
  </si>
  <si>
    <t>2006-08-03 10:55:31 EDT</t>
  </si>
  <si>
    <t>2006-06-12 10:42 EDT</t>
  </si>
  <si>
    <t>2006-06-12 10:42:45 EDT</t>
  </si>
  <si>
    <t>[('CREATED', '2006-06-12 10:42 EDT'), ('ASSIGNED', '2006-06-12 10:42:45 EDT', 'markus.kell.r'), ('3.2.1', '2006-06-12 10:42:45 EDT', 'markus.kell.r'), ('3.2.1 candidate', '2006-06-14 04:58:47 EDT', 'martinae'), ('---', '2006-06-14 04:58:47 EDT', 'martinae'), ('[refactoring] Fix test failure in 3.2.1 branch', '2006-08-03 10:32:45 EDT', 'martinae'), ('RESOLVED', '2006-08-03 10:55:31 EDT', 'markus.kell.r'), ('INVALID', '2006-08-03 10:55:31 EDT', 'markus.kell.r'), (nan, '2006-08-03 10:55:31 EDT', 'markus.kell.r')]</t>
  </si>
  <si>
    <t>2006-06-15 12:08:37 EDT</t>
  </si>
  <si>
    <t>2006-06-14 08:27:38 EDT</t>
  </si>
  <si>
    <t>2006-06-12 11:41 EDT</t>
  </si>
  <si>
    <t>2006-06-12 11:49:18 EDT</t>
  </si>
  <si>
    <t>[('CREATED', '2006-06-12 11:41 EDT'), ('RESOLVED', '2006-06-12 11:49:18 EDT', 'martinae'), ('WONTFIX', '2006-06-12 11:49:18 EDT', 'martinae'), ('Open call hierarchy should support classes', '2006-06-12 11:49:18 EDT', 'martinae'), ('REOPENED', '2006-06-14 08:27:38 EDT', 'cpuidle'), ('---', '2006-06-14 08:27:38 EDT', 'cpuidle'), ('RESOLVED', '2006-06-15 12:08:37 EDT', 'martinae'), ('WONTFIX', '2006-06-15 12:08:37 EDT', 'martinae')]</t>
  </si>
  <si>
    <t>RESOLVED  DUPLICATE  of bug 146116</t>
  </si>
  <si>
    <t>2006-06-15 12:10:59 EDT</t>
  </si>
  <si>
    <t>2006-06-14 06:03 EDT</t>
  </si>
  <si>
    <t>2006-06-14 06:04:19 EDT</t>
  </si>
  <si>
    <t>[('CREATED', '2006-06-14 06:03 EDT'), ('[inline] local variable in initializer fails with NPE', '2006-06-14 06:04:19 EDT', 'eclipse'), ('RESOLVED', '2006-06-15 12:10:59 EDT', 'martinae'), ('DUPLICATE', '2006-06-15 12:10:59 EDT', 'martinae')]</t>
  </si>
  <si>
    <t>152703 153559 157771 (view as bug list)</t>
  </si>
  <si>
    <t>2006-08-07 12:49:15 EDT</t>
  </si>
  <si>
    <t>2006-08-31 07:01:00 EDT</t>
  </si>
  <si>
    <t>2006-06-14 12:26 EDT</t>
  </si>
  <si>
    <t>2006-06-15 11:59:02 EDT</t>
  </si>
  <si>
    <t>2006-09-25 06:47:22 EDT</t>
  </si>
  <si>
    <t>[('CREATED', '2006-06-14 12:26 EDT'), ('martin_aeschlimann, philippe_mulet', '2006-06-15 11:59:02 EDT', 'martinae'), ('markus_keller', '2006-06-15 11:59:02 EDT', 'martinae'), ('greatbug', '2006-06-15 11:59:02 EDT', 'martinae'), ("[rename] wizard won't show if the Internal Web Browser View is open", '2006-06-15 11:59:02 EDT', 'martinae'), ('3.2.1 candidate', '2006-06-15 11:59:02 EDT', 'martinae'), ('iyers', '2006-08-03 12:41:44 EDT', 'martinae'), ('ASSIGNED', '2006-08-07 09:40:28 EDT', 'markus.kell.r'), (nan, '2006-08-07 09:40:28 EDT', 'markus.kell.r'), ('3.2.1', '2006-08-07 09:40:28 EDT', 'markus.kell.r'), ('RESOLVED', '2006-08-07 12:49:15 EDT', 'markus.kell.r'), ('FIXED', '2006-08-07 12:49:15 EDT', 'markus.kell.r'), ('domiclipsebugs', '2006-08-14 08:37:14 EDT', 'pwebster'), ('VERIFIED', '2006-08-31 07:01:00 EDT', 'daniel_megert'), ('a.vaisberg', '2006-09-25 06:47:22 EDT', 'martinae')]</t>
  </si>
  <si>
    <t>111447 (view as bug list)</t>
  </si>
  <si>
    <t>2006-11-14 03:04:03 EST</t>
  </si>
  <si>
    <t>2006-06-16 15:52 EDT</t>
  </si>
  <si>
    <t>2006-06-19 08:52:55 EDT</t>
  </si>
  <si>
    <t>[('CREATED', '2006-06-16 15:52 EDT'), ('martin_aeschlimann, Michael_Valenta', '2006-06-19 08:52:55 EDT', 'martinae'), ('daniel_megert', '2006-06-20 12:10:13 EDT', 'martinae'), ('john_arthorne', '2006-06-27 12:38:36 EDT', 'martinae'), ('3.3', '2006-06-28 02:23:05 EDT', 'martinae'), ('[refactoring] Enhancement: refactoring participation for generated files', '2006-06-28 02:23:05 EDT', 'martinae'), ('[refactoring] warn when refactoring derived files', '2006-06-28 04:56:38 EDT', 'martinae'), ('Mike_Wilson', '2006-06-29 02:31:02 EDT', 'daniel_megert'), ('markus_keller', '2006-08-03 12:11:17 EDT', 'markus.kell.r'), ('channingwalton', '2006-08-14 10:35:20 EDT', 'eclipse'), ('kim_horne', '2006-08-14 10:35:40 EDT', 'eclipse'), ('david_williams', '2006-08-16 07:14:18 EDT', 'martinae'), ('markus_keller', '2006-09-20 12:15:50 EDT', 'martinae'), ('ASSIGNED', '2006-10-04 11:35:05 EDT', 'markus.kell.r'), ('RESOLVED', '2006-11-14 03:04:03 EST', 'markus.kell.r'), ('FIXED', '2006-11-14 03:04:03 EST', 'markus.kell.r'), ('3.3 M4', '2006-11-14 03:04:03 EST', 'markus.kell.r')]</t>
  </si>
  <si>
    <t>89007</t>
  </si>
  <si>
    <t>2006-06-19 11:03:26 EDT</t>
  </si>
  <si>
    <t>2009-08-30 02:16:56 EDT</t>
  </si>
  <si>
    <t>2006-06-19 03:08 EDT</t>
  </si>
  <si>
    <t>2006-06-19 04:05:31 EDT</t>
  </si>
  <si>
    <t>[('CREATED', '2006-06-19 03:08 EDT'), ('Team', '2006-06-19 04:05:31 EDT', 'martinae'), ('Platform', '2006-06-19 04:05:31 EDT', 'martinae'), ('platform-team-inbox', '2006-06-19 04:05:31 EDT', 'martinae'), ('martin_aeschlimann', '2006-06-19 10:12:37 EDT', 'valentam'), ('jdt-ui-inbox', '2006-06-19 11:03:03 EDT', 'martinae'), ('UI', '2006-06-19 11:03:03 EDT', 'martinae'), ('JDT', '2006-06-19 11:03:03 EDT', 'martinae'), ('RESOLVED', '2006-06-19 11:03:26 EDT', 'martinae'), ('LATER', '2006-06-19 11:03:26 EDT', 'martinae'), ('89007', '2006-06-19 14:13:14 EDT', 'valentam'), ('etiennel', '2007-01-09 23:15:21 EST', 'etiennel'), ('WONTFIX', '2009-08-30 02:16:56 EDT', 'denis.roy')]</t>
  </si>
  <si>
    <t>2006-06-20 04:46 EDT</t>
  </si>
  <si>
    <t>2006-06-20 08:45:50 EDT</t>
  </si>
  <si>
    <t>2010-11-04 06:43:48 EDT</t>
  </si>
  <si>
    <t>[('CREATED', '2006-06-20 04:46 EDT'), ('jdt-ui-inbox', '2006-06-20 08:45:50 EDT', 'pwebster'), ('UI', '2006-06-20 08:45:50 EDT', 'pwebster'), ('JDT', '2006-06-20 08:45:50 EDT', 'pwebster'), ('ASSIGNED', '2006-06-20 13:05:46 EDT', 'martinae'), ('[refactoring] [dcr] Change type of variable/object', '2006-06-20 13:05:46 EDT', 'martinae'), ('[refactoring] Change type of variable/object', '2010-11-04 06:43:48 EDT', 'daniel_megert'), ('daniel_megert', '2010-11-04 06:43:48 EDT', 'daniel_megert')]</t>
  </si>
  <si>
    <t>149471 149469</t>
  </si>
  <si>
    <t>2007-06-22 13:09:32 EDT</t>
  </si>
  <si>
    <t>2006-06-20 13:04 EDT</t>
  </si>
  <si>
    <t>2006-06-21 11:05:15 EDT</t>
  </si>
  <si>
    <t>[('CREATED', '2006-06-20 13:04 EDT'), ('markus_keller', '2006-06-21 11:05:15 EDT', 'martinae'), ("[refactoring] Refactoring stops without an error if an open file can't be saved", '2006-06-21 11:05:15 EDT', 'martinae'), ('ASSIGNED', '2006-06-30 10:49:51 EDT', 'markus.kell.r'), ('149469', '2006-07-03 11:01:27 EDT', 'markus.kell.r'), ('149471', '2006-07-03 11:15:51 EDT', 'markus.kell.r'), ('RESOLVED', '2007-06-22 13:09:32 EDT', 'markus.kell.r'), ('WONTFIX', '2007-06-22 13:09:32 EDT', 'markus.kell.r')]</t>
  </si>
  <si>
    <t>253207 338871 (view as bug list)</t>
  </si>
  <si>
    <t>2006-06-27 13:38:54 EDT</t>
  </si>
  <si>
    <t>2006-06-27 13:37:48 EDT</t>
  </si>
  <si>
    <t>2006-06-27 13:38:33 EDT</t>
  </si>
  <si>
    <t>2006-06-21 06:48 EDT</t>
  </si>
  <si>
    <t>2006-06-22 10:02:43 EDT</t>
  </si>
  <si>
    <t>2011-03-04 06:30:29 EST</t>
  </si>
  <si>
    <t>[('CREATED', '2006-06-21 06:48 EDT'), ('[rename] AFE in RippleMethodFinder2 when renaming a method in an interface', '2006-06-22 10:02:43 EDT', 'martinae'), ('markus_keller', '2006-06-22 10:02:43 EDT', 'martinae'), ('RESOLVED', '2006-06-27 13:37:48 EDT', 'markus.kell.r'), ('WONTFIX', '2006-06-27 13:37:48 EDT', 'markus.kell.r'), ('REOPENED', '2006-06-27 13:38:33 EDT', 'markus.kell.r'), ('---', '2006-06-27 13:38:33 EDT', 'markus.kell.r'), ('RESOLVED', '2006-06-27 13:38:54 EDT', 'markus.kell.r'), ('WORKSFORME', '2006-06-27 13:38:54 EDT', 'markus.kell.r'), ('u.hobelmann', '2008-11-05 10:33:04 EST', 'markus.kell.r'), ('innusius', '2011-03-04 06:30:29 EST', 'markus.kell.r')]</t>
  </si>
  <si>
    <t>RESOLVED  DUPLICATE  of bug 67326</t>
  </si>
  <si>
    <t>2006-09-06 07:17:23 EDT</t>
  </si>
  <si>
    <t>2006-06-21 07:02 EDT</t>
  </si>
  <si>
    <t>2006-06-21 07:03:45 EDT</t>
  </si>
  <si>
    <t>[('CREATED', '2006-06-21 07:02 EDT'), ('eclipse-bug', '2006-06-21 07:03:45 EDT', 'eclipse-bug'), ('UI', '2006-06-21 07:05:42 EDT', 'sven.efftinge'), ('[rename] renaming similarly named types [refactoring]', '2006-06-21 07:09:37 EDT', 'tobias_widmer'), ('tobias_widmer', '2006-06-21 07:09:37 EDT', 'tobias_widmer'), ('jdt-ui-inbox', '2006-06-21 07:09:37 EDT', 'tobias_widmer'), ('markus_keller', '2006-06-21 07:10:25 EDT', 'tobias_widmer'), ('enhancement', '2006-06-21 07:16:11 EDT', 'markus.kell.r'), ('ASSIGNED', '2006-06-22 10:41:55 EDT', 'martinae'), ('gunnar', '2006-09-06 05:23:41 EDT', 'gunnar'), ('RESOLVED', '2006-09-06 07:17:23 EDT', 'markus.kell.r'), ('DUPLICATE', '2006-09-06 07:17:23 EDT', 'markus.kell.r')]</t>
  </si>
  <si>
    <t>2006-08-14 08:06:24 EDT</t>
  </si>
  <si>
    <t>2006-08-31 05:48:06 EDT</t>
  </si>
  <si>
    <t>2006-08-14 08:05:41 EDT</t>
  </si>
  <si>
    <t>2006-06-23 13:43 EDT</t>
  </si>
  <si>
    <t>2006-06-23 13:47:15 EDT</t>
  </si>
  <si>
    <t>2007-01-24 06:05:08 EST</t>
  </si>
  <si>
    <t>[('CREATED', '2006-06-23 13:43 EDT'), ('jdt-ui-inbox', '2006-06-23 13:47:15 EDT', 'Olivier_Thomann'), ('UI', '2006-06-23 13:47:15 EDT', 'Olivier_Thomann'), ('Olivier_Thomann', '2006-06-23 13:47:32 EDT', 'Olivier_Thomann'), ('benno_baumgartner', '2006-06-23 14:32:15 EDT', 'martinae'), ('normal', '2006-06-28 04:46:44 EDT', 'benno.baumgartner'), ('RESOLVED', '2006-06-28 04:46:44 EDT', 'benno.baumgartner'), ('REMIND', '2006-06-28 04:46:44 EDT', 'benno.baumgartner'), ('[clean up] convert to enhanced for loop ignores assignment to array', '2006-06-28 04:46:44 EDT', 'benno.baumgartner'), ('REOPENED', '2006-07-05 09:05:56 EDT', 'brian'), ('---', '2006-07-05 09:05:56 EDT', 'brian'), ('ASSIGNED', '2006-07-05 12:34:28 EDT', 'benno.baumgartner'), ('3.3 M1', '2006-07-05 12:34:28 EDT', 'benno.baumgartner'), ('major', '2006-07-06 05:41:03 EDT', 'benno.baumgartner'), ('[clean up] convert to enhanced for loop ignores assignment to array if field access', '2006-07-06 05:41:03 EDT', 'benno.baumgartner'), ('RESOLVED', '2006-07-06 05:42:05 EDT', 'benno.baumgartner'), ('FIXED', '2006-07-06 05:42:05 EDT', 'benno.baumgartner'), ('3.2.1 candidate', '2006-07-06 09:51:15 EDT', 'martinae'), ('VERIFIED', '2006-08-08 05:03:21 EDT', 'tobias_widmer'), ('3.2.1', '2006-08-14 08:05:41 EDT', 'benno.baumgartner'), ('REOPENED', '2006-08-14 08:05:41 EDT', 'benno.baumgartner'), ('---', '2006-08-14 08:05:41 EDT', 'benno.baumgartner'), ('RESOLVED', '2006-08-14 08:06:24 EDT', 'benno.baumgartner'), ('FIXED', '2006-08-14 08:06:24 EDT', 'benno.baumgartner'), ('VERIFIED', '2006-08-31 05:48:06 EDT', 'daniel_megert'), (nan, '2007-01-24 06:05:08 EST', 'markus.kell.r')]</t>
  </si>
  <si>
    <t>2019-03-21 11:53:42 EDT</t>
  </si>
  <si>
    <t>2006-06-24 04:53 EDT</t>
  </si>
  <si>
    <t>2006-06-24 18:15:10 EDT</t>
  </si>
  <si>
    <t>2019-03-21 11:53:56 EDT</t>
  </si>
  <si>
    <t>[('CREATED', '2006-06-24 04:53 EDT'), ('tobias_widmer', '2006-06-24 18:15:10 EDT', 'martinae'), ('[extract interface] Refactoring Extract Interface results in "Internal Error"', '2006-06-24 18:15:10 EDT', 'martinae'), ('jdt-ui-inbox', '2007-06-14 10:42:46 EDT', 'martinae'), ('stalebug', '2019-03-16 14:33:56 EDT', 'genie'), ('RESOLVED', '2019-03-21 11:53:42 EDT', 'daniel_megert'), ('WORKSFORME', '2019-03-21 11:53:42 EDT', 'daniel_megert'), ('nee', '2019-03-21 11:53:42 EDT', 'daniel_megert'), ('daniel_megert', '2019-03-21 11:53:42 EDT', 'daniel_megert'), (nan, '2019-03-21 11:53:56 EDT', 'daniel_megert'), ('needinfo', '2019-03-21 11:53:56 EDT', 'daniel_megert')]</t>
  </si>
  <si>
    <t>2009-06-21 16:23:11 EDT</t>
  </si>
  <si>
    <t>2006-06-24 18:21 EDT</t>
  </si>
  <si>
    <t>2006-06-24 18:34:37 EDT</t>
  </si>
  <si>
    <t>[('CREATED', '2006-06-24 18:21 EDT'), ('ASSIGNED', '2006-06-24 18:34:37 EDT', 'martinae'), ('NEW', '2009-06-18 18:55:30 EDT', 'b.muskalla'), ('markus_keller', '2009-06-18 18:55:30 EDT', 'b.muskalla'), ('bmuskalla', '2009-06-18 18:55:30 EDT', 'b.muskalla'), ('RESOLVED', '2009-06-21 16:23:11 EDT', 'markus.kell.r'), ('WONTFIX', '2009-06-21 16:23:11 EDT', 'markus.kell.r')]</t>
  </si>
  <si>
    <t>241914 (view as bug list)</t>
  </si>
  <si>
    <t>54948</t>
  </si>
  <si>
    <t>2006-06-30 07:05:11 EDT</t>
  </si>
  <si>
    <t>2020-02-22 11:32:25 EST</t>
  </si>
  <si>
    <t>2008-07-24 12:50:52 EDT</t>
  </si>
  <si>
    <t>2006-06-27 08:52 EDT</t>
  </si>
  <si>
    <t>2006-06-27 13:00:55 EDT</t>
  </si>
  <si>
    <t>[('CREATED', '2006-06-27 08:52 EDT'), ('RESOLVED', '2006-06-27 13:00:55 EDT', 'martinae'), ('WONTFIX', '2006-06-27 13:00:55 EDT', 'martinae'), ('REOPENED', '2006-06-27 13:18:42 EDT', 'frederic_fusier'), ('---', '2006-06-27 13:18:42 EDT', 'frederic_fusier'), ('markus_keller', '2006-06-28 01:49:18 EDT', 'martinae'), ('NEW', '2006-06-28 01:49:18 EDT', 'martinae'), ('[rename] javadoc constructor references are missed while refactoring type', '2006-06-28 01:49:18 EDT', 'martinae'), ('54948', '2006-06-30 07:05:11 EDT', 'markus.kell.r'), ('RESOLVED', '2006-06-30 07:05:11 EDT', 'markus.kell.r'), ('REMIND', '2006-06-30 07:05:11 EDT', 'markus.kell.r'), ('hoonkim3', '2008-07-24 12:47:20 EDT', 'markus.kell.r'), ('REOPENED', '2008-07-24 12:50:52 EDT', 'markus.kell.r'), ('---', '2008-07-24 12:50:52 EDT', 'markus.kell.r'), ('troy', '2013-04-11 17:48:21 EDT', 'troy'), ('WONTFIX', '2020-02-22 11:32:25 EST', 'genie'), ('CLOSED', '2020-02-22 11:32:25 EST', 'genie'), ('stalebug', '2020-02-22 11:32:25 EST', 'genie')]</t>
  </si>
  <si>
    <t>2006-06-27 16:08 EDT</t>
  </si>
  <si>
    <t>2006-06-28 03:08:01 EDT</t>
  </si>
  <si>
    <t>2017-10-13 19:00:56 EDT</t>
  </si>
  <si>
    <t>yuanyun.kenny</t>
  </si>
  <si>
    <t>[('CREATED', '2006-06-27 16:08 EDT'), ('jdt-ui-inbox', '2006-06-28 03:08:01 EDT', 'daniel_megert'), ('UI', '2006-06-28 03:08:01 EDT', 'daniel_megert'), ('tobias_widmer', '2006-06-28 04:52:57 EDT', 'martinae'), ('enhancement', '2006-06-28 04:52:57 EDT', 'martinae'), ('[getter setter] code template option for chained setters', '2006-06-28 04:52:57 EDT', 'martinae'), ('martin_aeschlimann', '2006-06-28 04:52:57 EDT', 'martinae'), ('jdt-ui-inbox', '2007-06-14 10:43:34 EDT', 'martinae'), ('daniel_megert', '2008-08-29 08:54:56 EDT', 'daniel_megert'), ('ASSIGNED', '2008-08-29 08:54:56 EDT', 'daniel_megert'), ('P5', '2008-08-29 08:54:56 EDT', 'daniel_megert'), ('pplupo', '2017-05-25 11:47:59 EDT', 'pplupo'), ('yuanyun.kenny', '2017-10-13 19:00:56 EDT', 'yuanyun.kenny')]</t>
  </si>
  <si>
    <t>2006-06-27 17:58 EDT</t>
  </si>
  <si>
    <t>2006-06-28 04:34:57 EDT</t>
  </si>
  <si>
    <t>2010-11-04 06:46:51 EDT</t>
  </si>
  <si>
    <t>[('CREATED', '2006-06-27 17:58 EDT'), ('benno_baumgartner', '2006-06-28 04:34:57 EDT', 'martinae'), ('P4', '2006-06-28 04:34:57 EDT', 'martinae'), ('[clean up] [dcr] Refactorings to downgrade Java 5 source', '2006-06-28 04:34:57 EDT', 'martinae'), ('martin_aeschlimann', '2006-06-28 04:35:08 EDT', 'martinae'), ('jdt-ui-inbox', '2008-07-16 06:39:18 EDT', 'benno.baumgartner'), ('benno_baumgartner', '2008-07-16 06:39:35 EDT', 'benno.baumgartner'), ('ASSIGNED', '2008-07-16 06:39:35 EDT', 'benno.baumgartner'), ('helpwanted', '2008-07-16 06:39:35 EDT', 'benno.baumgartner'), ('mn', '2008-11-28 17:38:15 EST', 'mn'), ('daniel_megert', '2010-11-04 06:46:51 EDT', 'daniel_megert'), ('[clean up] Refactorings to downgrade Java 5 source', '2010-11-04 06:46:51 EDT', 'daniel_megert')]</t>
  </si>
  <si>
    <t>2020-02-04 07:40:02 EST</t>
  </si>
  <si>
    <t>2006-06-28 18:35 EDT</t>
  </si>
  <si>
    <t>2006-06-29 10:38:07 EDT</t>
  </si>
  <si>
    <t>[('CREATED', '2006-06-28 18:35 EDT'), ('martin_aeschlimann', '2006-06-29 10:38:07 EDT', 'martinae'), ('tobias_widmer', '2006-06-29 10:38:07 EDT', 'martinae'), ('[reorg] Dragging a method node should invoke move refactoring', '2006-06-29 10:38:07 EDT', 'martinae'), ('ASSIGNED', '2006-06-29 10:43:44 EDT', 'tobias_widmer'), ('3.3 M1', '2006-06-29 10:43:44 EDT', 'tobias_widmer'), ('3.3 M2', '2006-08-07 12:06:48 EDT', 'tobias_widmer'), ('3.3', '2006-09-21 05:25:04 EDT', 'martinae'), ('---', '2007-04-30 06:46:11 EDT', 'tobias_widmer'), ('jdt-ui-inbox', '2007-06-14 10:47:15 EDT', 'martinae'), ('NEW', '2007-06-14 10:47:15 EDT', 'martinae'), ('WONTFIX', '2020-02-04 07:40:02 EST', 'genie'), ('stalebug', '2020-02-04 07:40:02 EST', 'genie'), ('CLOSED', '2020-02-04 07:40:02 EST', 'genie')]</t>
  </si>
  <si>
    <t>2008-04-22 10:10:44 EDT</t>
  </si>
  <si>
    <t>2008-04-28 06:08:15 EDT</t>
  </si>
  <si>
    <t>2006-06-30 12:13 EDT</t>
  </si>
  <si>
    <t>2006-06-30 12:16:08 EDT</t>
  </si>
  <si>
    <t>[('CREATED', '2006-06-30 12:13 EDT'), ('UI', '2006-06-30 12:16:08 EDT', 'frederic_fusier'), ('jdt-ui-inbox', '2006-06-30 12:16:08 EDT', 'frederic_fusier'), ('tobias_widmer', '2006-07-04 10:35:39 EDT', 'martinae'), ('[move method] Move method refactoring does not handle parameters correctly', '2006-07-04 10:35:39 EDT', 'martinae'), ('jdt-ui-inbox', '2007-06-14 10:45:10 EDT', 'martinae'), ('martin_aeschlimann', '2008-04-22 10:09:48 EDT', 'martinae'), ('martin_aeschlimann', '2008-04-22 10:09:48 EDT', 'martinae'), ('3.4 M7', '2008-04-22 10:09:48 EDT', 'martinae'), ('RESOLVED', '2008-04-22 10:10:44 EDT', 'martinae'), ('FIXED', '2008-04-22 10:10:44 EDT', 'martinae'), ('daniel_megert', '2008-04-28 06:08:15 EDT', 'daniel_megert'), ('VERIFIED', '2008-04-28 06:08:15 EDT', 'daniel_megert')]</t>
  </si>
  <si>
    <t>99939 (view as bug list)</t>
  </si>
  <si>
    <t>2006-11-22 12:15:08 EST</t>
  </si>
  <si>
    <t>2006-07-03 10:31 EDT</t>
  </si>
  <si>
    <t>2006-07-03 10:53:23 EDT</t>
  </si>
  <si>
    <t>[('CREATED', '2006-07-03 10:31 EDT'), ('dirk_baeumer', '2006-07-03 10:53:23 EDT', 'markus.kell.r'), ('ASSIGNED', '2006-07-04 10:53:29 EDT', 'martinae'), ('Boris_Bokowski', '2006-07-05 08:00:59 EDT', 'bokowski'), ('mlists', '2006-08-18 15:53:20 EDT', 'mlists'), ('markus_keller', '2006-09-20 12:12:47 EDT', 'martinae'), ('NEW', '2006-09-20 12:12:47 EDT', 'martinae'), ('3.3', '2006-09-20 12:12:47 EDT', 'martinae'), ('andre_weinand', '2006-10-16 12:05:51 EDT', 'andre_weinand'), ('ASSIGNED', '2006-11-17 08:15:27 EST', 'markus.kell.r'), ('3.3 M4', '2006-11-17 08:15:27 EST', 'markus.kell.r'), ('FIXED', '2006-11-22 12:15:08 EST', 'markus.kell.r'), ('RESOLVED', '2006-11-22 12:15:08 EST', 'markus.kell.r')]</t>
  </si>
  <si>
    <t>2006-07-05 08:46:17 EDT</t>
  </si>
  <si>
    <t>2006-08-10 10:27:47 EDT</t>
  </si>
  <si>
    <t>2006-07-04 05:40 EDT</t>
  </si>
  <si>
    <t>2006-07-04 11:05:43 EDT</t>
  </si>
  <si>
    <t>[('CREATED', '2006-07-04 05:40 EDT'), ('tobias_widmer', '2006-07-04 11:05:43 EDT', 'martinae'), ('RESOLVED', '2006-07-05 08:46:17 EDT', 'tobias_widmer'), ('FIXED', '2006-07-05 08:46:17 EDT', 'tobias_widmer'), ('[ltk] problems overriding TextFileChange#commit() [refactoring]', '2006-07-05 08:46:17 EDT', 'tobias_widmer'), ('3.3 M1', '2006-07-05 08:46:17 EDT', 'tobias_widmer'), ('VERIFIED', '2006-08-10 10:27:47 EDT', 'martinae')]</t>
  </si>
  <si>
    <t>2006-07-05 11:40:01 EDT</t>
  </si>
  <si>
    <t>2006-07-04 14:11 EDT</t>
  </si>
  <si>
    <t>2006-07-05 09:44:38 EDT</t>
  </si>
  <si>
    <t>[('CREATED', '2006-07-04 14:11 EDT'), ('tobias_widmer', '2006-07-05 09:44:38 EDT', 'martinae'), ('[refactoring] Refactoring problems window does not respect configured editor fonts', '2006-07-05 09:44:38 EDT', 'martinae'), ('RESOLVED', '2006-07-05 11:40:01 EDT', 'tobias_widmer'), ('WORKSFORME', '2006-07-05 11:40:01 EDT', 'tobias_widmer')]</t>
  </si>
  <si>
    <t>155988 (view as bug list)</t>
  </si>
  <si>
    <t>2007-04-23 03:45:41 EDT</t>
  </si>
  <si>
    <t>2007-05-02 11:26:57 EDT</t>
  </si>
  <si>
    <t>2006-07-05 22:00 EDT</t>
  </si>
  <si>
    <t>2006-07-06 09:56:49 EDT</t>
  </si>
  <si>
    <t>[('CREATED', '2006-07-05 22:00 EDT'), ('tobias_widmer', '2006-07-06 09:56:49 EDT', 'martinae'), ('[extract superclass] extract superclass refactor can cause stack overflow in refactored code', '2006-07-06 09:56:49 EDT', 'martinae'), ('benno_baumgartner', '2007-02-16 04:08:30 EST', 'martinae'), ('P1', '2007-02-16 04:08:43 EST', 'martinae'), ('3.3', '2007-02-16 04:48:04 EST', 'martinae'), ('P2', '2007-03-22 10:56:03 EDT', 'tobias_widmer'), ('RESOLVED', '2007-04-23 03:45:41 EDT', 'tobias_widmer'), ('FIXED', '2007-04-23 03:45:41 EDT', 'tobias_widmer'), ('3.3 M7', '2007-04-23 03:45:41 EDT', 'tobias_widmer'), ('VERIFIED', '2007-05-02 11:26:57 EDT', 'benno.baumgartner')]</t>
  </si>
  <si>
    <t>RESOLVED  DUPLICATE  of bug 148373</t>
  </si>
  <si>
    <t>2006-07-06 10:08:03 EDT</t>
  </si>
  <si>
    <t>2006-07-06 02:34 EDT</t>
  </si>
  <si>
    <t>2006-07-06 05:48:48 EDT</t>
  </si>
  <si>
    <t>[('CREATED', '2006-07-06 02:34 EDT'), ('jdt-ui-inbox', '2006-07-06 05:48:48 EDT', 'frederic_fusier'), ('UI', '2006-07-06 05:48:48 EDT', 'frederic_fusier'), ('[quick fix] change modifiers refactoring error', '2006-07-06 10:00:12 EDT', 'martinae'), ('benno_baumgartner', '2006-07-06 10:00:12 EDT', 'martinae'), ('RESOLVED', '2006-07-06 10:08:03 EDT', 'benno.baumgartner'), ('DUPLICATE', '2006-07-06 10:08:03 EDT', 'benno.baumgartner')]</t>
  </si>
  <si>
    <t>312474 (view as bug list)</t>
  </si>
  <si>
    <t>2010-11-11 22:55:07 EST</t>
  </si>
  <si>
    <t>2006-07-06 06:21 EDT</t>
  </si>
  <si>
    <t>2006-07-06 06:49:29 EDT</t>
  </si>
  <si>
    <t>[('CREATED', '2006-07-06 06:21 EDT'), ('jdt-ui-inbox', '2006-07-06 06:49:29 EDT', 'frederic_fusier'), ('UI', '2006-07-06 06:49:29 EDT', 'frederic_fusier'), ('martin_aeschlimann', '2006-07-06 10:02:12 EDT', 'martinae'), ("[quick assist] 'exchange left and right operands' incorrectly removes parentheses around logical operators", '2006-07-06 10:02:12 EDT', 'martinae'), ('tiggrt+ebz', '2006-09-29 04:43:02 EDT', 'tiggrt+ebz'), ('manaster', '2007-03-28 17:54:37 EDT', 'manaster'), ('jdt-ui-inbox', '2009-01-23 11:12:04 EST', 'daniel_megert'), ('ASSIGNED', '2009-01-23 11:26:25 EST', 'daniel_megert'), ('denpashogai', '2010-05-12 02:35:29 EDT', 'daniel_megert'), ('daniel_megert', '2010-05-12 02:35:55 EDT', 'daniel_megert'), ('3.7', '2010-05-12 02:35:55 EDT', 'daniel_megert'), ('deepak.azad', '2010-11-11 22:54:32 EST', 'deepakazad'), ('RESOLVED', '2010-11-11 22:55:07 EST', 'deepakazad'), ('FIXED', '2010-11-11 22:55:07 EST', 'deepakazad'), ('3.7 M4', '2010-11-11 22:55:07 EST', 'deepakazad')]</t>
  </si>
  <si>
    <t>2006-07-12 11:11:07 EDT</t>
  </si>
  <si>
    <t>2006-07-06 18:38 EDT</t>
  </si>
  <si>
    <t>2006-07-07 08:08:03 EDT</t>
  </si>
  <si>
    <t>[('CREATED', '2006-07-06 18:38 EDT'), ('UI', '2006-07-07 08:08:03 EDT', 'Tod_Creasey'), ('JDT', '2006-07-07 08:08:03 EDT', 'Tod_Creasey'), ('jdt-ui-inbox', '2006-07-10 12:34:13 EDT', 'Tod_Creasey'), ('markus_keller', '2006-07-12 10:59:20 EDT', 'martinae'), ('[rename] "null argument" executing Rename command (renaming resource)', '2006-07-12 10:59:20 EDT', 'martinae'), ('RESOLVED', '2006-07-12 11:11:07 EDT', 'markus.kell.r'), ('DUPLICATE', '2006-07-12 11:11:07 EDT', 'markus.kell.r')]</t>
  </si>
  <si>
    <t>2006-07-07 09:03 EDT</t>
  </si>
  <si>
    <t>2006-07-11 09:15:19 EDT</t>
  </si>
  <si>
    <t>2019-09-30 12:00:27 EDT</t>
  </si>
  <si>
    <t>[('CREATED', '2006-07-07 09:03 EDT'), ("[move static members] incorrect 'foobar() will not be visible' error when moving member", '2006-07-11 09:15:19 EDT', 'martinae'), ('tobias_widmer', '2006-07-11 09:15:19 EDT', 'martinae'), ('jdt-ui-inbox', '2007-06-14 10:45:30 EDT', 'martinae'), ('markus_keller', '2008-03-19 12:32:17 EDT', 'markus.kell.r'), ('major', '2008-03-19 12:32:17 EDT', 'markus.kell.r'), ('daniel_megert', '2008-03-20 03:47:34 EDT', 'daniel_megert'), ('BrianMiller', '2008-11-10 12:07:23 EST', 'Brian.Miller'), ('ASSIGNED', '2008-11-11 05:38:09 EST', 'daniel_megert'), ('stalebug', '2019-09-30 12:00:27 EDT', 'genie')]</t>
  </si>
  <si>
    <t>CLOSED  DUPLICATE  of bug 107409</t>
  </si>
  <si>
    <t>2014-06-24 22:22:18 EDT</t>
  </si>
  <si>
    <t>2006-07-07 18:40 EDT</t>
  </si>
  <si>
    <t>2006-07-10 05:07:30 EDT</t>
  </si>
  <si>
    <t>[('CREATED', '2006-07-07 18:40 EDT'), ('jdt-ui-inbox', '2006-07-10 05:07:30 EDT', 'daniel_megert'), ('UI', '2006-07-10 05:07:30 EDT', 'daniel_megert'), ('tobias_widmer', '2006-07-12 09:25:08 EDT', 'martinae'), ('[move member type] Refactoring gives incorrect import statement for class-within-class-within-class', '2006-07-12 09:25:08 EDT', 'martinae'), ('jdt-ui-inbox', '2007-06-14 10:44:52 EDT', 'martinae'), ('BrianMiller', '2008-02-11 12:23:32 EST', 'Brian.Miller'), ('CLOSED', '2014-06-24 22:22:18 EDT', 'manju656'), ('manju_mathew', '2014-06-24 22:22:18 EDT', 'manju656'), ('DUPLICATE', '2014-06-24 22:22:18 EDT', 'manju656')]</t>
  </si>
  <si>
    <t>RESOLVED  DUPLICATE  of bug 150144</t>
  </si>
  <si>
    <t>2006-07-12 04:09:34 EDT</t>
  </si>
  <si>
    <t>2006-07-10 10:32 EDT</t>
  </si>
  <si>
    <t>[('CREATED', '2006-07-10 10:32 EDT'), ('DUPLICATE', '2006-07-12 04:09:34 EDT', 'martinae'), ('RESOLVED', '2006-07-12 04:09:34 EDT', 'martinae')]</t>
  </si>
  <si>
    <t>RESOLVED  DUPLICATE  of bug 175733</t>
  </si>
  <si>
    <t>150142 (view as bug list)</t>
  </si>
  <si>
    <t>2007-07-10 04:38:55 EDT</t>
  </si>
  <si>
    <t>2006-09-20 11:54:57 EDT</t>
  </si>
  <si>
    <t>[('CREATED', '2006-07-10 10:32 EDT'), ('ASSIGNED', '2006-09-20 11:54:57 EDT', 'martinae'), ('benno_baumgartner', '2007-05-09 05:18:48 EDT', 'martinae'), ('NEW', '2007-05-09 05:18:48 EDT', 'martinae'), ('3.3 RC1', '2007-05-15 05:13:53 EDT', 'benno.baumgartner'), ('review?(martin_aeschlimann)', '2007-05-15 05:13:53 EDT', 'benno.baumgartner'), ('3.4', '2007-05-15 08:25:03 EDT', 'benno.baumgartner'), ('review-', '2007-05-15 08:25:03 EDT', 'benno.baumgartner'), ('RESOLVED', '2007-07-10 04:38:55 EDT', 'benno.baumgartner'), ('DUPLICATE', '2007-07-10 04:38:55 EDT', 'benno.baumgartner')]</t>
  </si>
  <si>
    <t>2006-07-21 07:55:24 EDT</t>
  </si>
  <si>
    <t>2006-08-09 13:07:19 EDT</t>
  </si>
  <si>
    <t>2006-07-10 11:28 EDT</t>
  </si>
  <si>
    <t>2006-07-21 00:51:58 EDT</t>
  </si>
  <si>
    <t>2006-08-09 13:12:44 EDT</t>
  </si>
  <si>
    <t>[('CREATED', '2006-07-10 11:28 EDT'), ('jdt-ui-inbox', '2006-07-21 00:51:58 EDT', 'wassim.melhem'), ('UI', '2006-07-21 00:51:58 EDT', 'wassim.melhem'), ('JDT', '2006-07-21 00:51:58 EDT', 'wassim.melhem'), ('markus_keller, wassimm', '2006-07-21 00:51:58 EDT', 'wassim.melhem'), ('markus_keller', '2006-07-21 07:54:55 EDT', 'markus.kell.r'), ('3.3 M1', '2006-07-21 07:54:55 EDT', 'markus.kell.r'), ('RESOLVED', '2006-07-21 07:55:24 EDT', 'markus.kell.r'), ('All', '2006-07-21 07:55:24 EDT', 'markus.kell.r'), ('All', '2006-07-21 07:55:24 EDT', 'markus.kell.r'), ('FIXED', '2006-07-21 07:55:24 EDT', 'markus.kell.r'), ('VERIFIED', '2006-08-09 13:07:19 EDT', 'martinae'), ('[refactoring] Refactoring participant actions get lost during preview involving back, next', '2006-08-09 13:12:44 EDT', 'martinae')]</t>
  </si>
  <si>
    <t>2006-07-12 12:42:48 EDT</t>
  </si>
  <si>
    <t>2006-07-11 11:48 EDT</t>
  </si>
  <si>
    <t>2006-07-12 11:41:31 EDT</t>
  </si>
  <si>
    <t>[('CREATED', '2006-07-11 11:48 EDT'), ('daniel_megert', '2006-07-12 11:41:31 EDT', 'daniel_megert'), ('WONTFIX', '2006-07-12 12:42:48 EDT', 'martinae'), ('RESOLVED', '2006-07-12 12:42:48 EDT', 'martinae')]</t>
  </si>
  <si>
    <t>151476 258377 264941 404856 (view as bug list)</t>
  </si>
  <si>
    <t>46171</t>
  </si>
  <si>
    <t>2006-07-18 06:42:08 EDT</t>
  </si>
  <si>
    <t>2013-04-04 07:37:05 EDT</t>
  </si>
  <si>
    <t>2006-07-13 15:19 EDT</t>
  </si>
  <si>
    <t>2006-07-17 09:52:26 EDT</t>
  </si>
  <si>
    <t>2020-09-08 19:53:26 EDT</t>
  </si>
  <si>
    <t>[('CREATED', '2006-07-13 15:19 EDT'), ('daniel_megert', '2006-07-17 09:52:26 EDT', 'daniel_megert'), ('jdt-ui-inbox', '2006-07-17 09:52:26 EDT', 'daniel_megert'), ('UI', '2006-07-17 09:52:26 EDT', 'daniel_megert'), ('WONTFIX', '2006-07-18 06:42:08 EDT', 'martinae'), ('RESOLVED', '2006-07-18 06:42:08 EDT', 'martinae'), ('m_schnei', '2006-07-27 05:01:18 EDT', 'martinae'), ('gubespam', '2008-12-11 03:52:03 EST', 'daniel_megert'), ('izbyshev', '2009-02-16 03:22:41 EST', 'daniel_megert'), ('markus_keller', '2013-04-04 04:26:53 EDT', 'daniel_megert'), ('Moving field/method to another class causes loss of following comment', '2013-04-04 04:26:53 EDT', 'daniel_megert'), ('jongwook.kim', '2013-04-04 04:27:28 EDT', 'daniel_megert'), ('REOPENED', '2013-04-04 07:37:05 EDT', 'markus.kell.r'), ('---', '2013-04-04 07:37:05 EDT', 'markus.kell.r'), ('ASSIGNED', '2013-04-04 07:37:12 EDT', 'markus.kell.r'), ('4.8', '2018-09-14 05:24:18 EDT', 'luke.hutch'), ('jdt-core-inbox', '2018-09-14 05:24:18 EDT', 'luke.hutch'), ('46171', '2018-09-14 06:27:08 EDT', 'noopur_gupta'), ('stalebug', '2020-09-04 14:33:16 EDT', 'genie'), ('jjohnstn', '2020-09-08 19:53:26 EDT', 'jjohnstn')]</t>
  </si>
  <si>
    <t>2006-07-19 10:04:13 EDT</t>
  </si>
  <si>
    <t>2006-07-17 05:40:51 EDT</t>
  </si>
  <si>
    <t>2006-07-14 14:43 EDT</t>
  </si>
  <si>
    <t>2006-07-17 05:06:42 EDT</t>
  </si>
  <si>
    <t>[('CREATED', '2006-07-14 14:43 EDT'), ('RESOLVED', '2006-07-17 05:06:42 EDT', 'jerome_lanneluc'), ('REMIND', '2006-07-17 05:06:42 EDT', 'jerome_lanneluc'), ('REOPENED', '2006-07-17 05:40:51 EDT', 'janekdb+eclipse-bugzilla'), ('---', '2006-07-17 05:40:51 EDT', 'janekdb+eclipse-bugzilla'), ('janekdb+eclipse-bugzilla', '2006-07-17 05:43:04 EDT', 'janekdb+eclipse-bugzilla'), ('jdt-ui-inbox', '2006-07-17 06:26:05 EDT', 'jerome_lanneluc'), ('NEW', '2006-07-17 06:26:05 EDT', 'jerome_lanneluc'), ('UI', '2006-07-17 06:26:05 EDT', 'jerome_lanneluc'), ('markus_keller', '2006-07-17 06:32:38 EDT', 'martinae'), ('[rename] Failure caused by misnamed class when renaming a package', '2006-07-17 06:32:38 EDT', 'martinae'), ('jdt-ui-inbox', '2006-07-19 10:03:08 EDT', 'markus.kell.r'), ('All', '2006-07-19 10:03:08 EDT', 'markus.kell.r'), ('All', '2006-07-19 10:03:08 EDT', 'markus.kell.r'), ('3.3 M1', '2006-07-19 10:03:08 EDT', 'markus.kell.r'), ('markus_keller', '2006-07-19 10:03:32 EDT', 'markus.kell.r'), ('RESOLVED', '2006-07-19 10:04:13 EDT', 'markus.kell.r'), ('FIXED', '2006-07-19 10:04:13 EDT', 'markus.kell.r')]</t>
  </si>
  <si>
    <t>2020-03-07 17:36:31 EST</t>
  </si>
  <si>
    <t>2006-07-17 14:27 EDT</t>
  </si>
  <si>
    <t>2006-07-18 06:45:17 EDT</t>
  </si>
  <si>
    <t>[('CREATED', '2006-07-17 14:27 EDT'), ('tobias_widmer', '2006-07-18 06:45:17 EDT', 'martinae'), ('[move type] Different tools for moving top-level and sub- interfaces', '2006-07-18 06:45:17 EDT', 'martinae'), ('jdt-ui-inbox', '2007-06-14 10:45:43 EDT', 'martinae'), ('stalebug', '2020-03-07 17:36:31 EST', 'genie'), ('CLOSED', '2020-03-07 17:36:31 EST', 'genie'), ('WONTFIX', '2020-03-07 17:36:31 EST', 'genie')]</t>
  </si>
  <si>
    <t>2006-07-19 03:46 EDT</t>
  </si>
  <si>
    <t>2006-07-26 03:03:19 EDT</t>
  </si>
  <si>
    <t>2019-10-18 12:05:33 EDT</t>
  </si>
  <si>
    <t>[('CREATED', '2006-07-19 03:46 EDT'), ('UI', '2006-07-26 03:03:19 EDT', 'maxime_daniel'), ('jdt-ui-inbox', '2006-07-26 03:03:19 EDT', 'maxime_daniel'), ('tobias_widmer', '2006-07-27 04:59:08 EDT', 'martinae'), ('[extract superclass] Extract Supertype duplicates code', '2006-07-27 04:59:08 EDT', 'martinae'), ('jdt-ui-inbox', '2007-06-14 10:43:05 EDT', 'martinae'), ('stalebug', '2019-10-18 12:05:33 EDT', 'genie')]</t>
  </si>
  <si>
    <t>2006-07-25 05:28:55 EDT</t>
  </si>
  <si>
    <t>2006-08-31 10:11:32 EDT</t>
  </si>
  <si>
    <t>2006-07-19 16:36 EDT</t>
  </si>
  <si>
    <t>2006-07-19 17:32:28 EDT</t>
  </si>
  <si>
    <t>2007-01-24 06:05:18 EST</t>
  </si>
  <si>
    <t>[('CREATED', '2006-07-19 16:36 EDT'), ('jdt-ui-inbox', '2006-07-19 17:32:28 EDT', 'john.arthorne'), ('UI', '2006-07-19 17:32:28 EDT', 'john.arthorne'), ('JDT', '2006-07-19 17:32:28 EDT', 'john.arthorne'), ('tobias_widmer', '2006-07-20 11:51:13 EDT', 'martinae'), ('[refactoring scripts] Traceback when examining properties for a closed project', '2006-07-20 11:51:13 EDT', 'martinae'), ('3.2.1', '2006-07-20 12:31:29 EDT', 'tobias_widmer'), ('ASSIGNED', '2006-07-20 12:31:29 EDT', 'tobias_widmer'), ('martin_aeschlimann', '2006-07-24 12:31:08 EDT', 'martinae'), ('3.2.1 candidate', '2006-07-25 03:14:31 EDT', 'tobias_widmer'), ('RESOLVED', '2006-07-25 05:28:55 EDT', 'tobias_widmer'), ('FIXED', '2006-07-25 05:28:55 EDT', 'tobias_widmer'), ('VERIFIED', '2006-08-31 10:11:32 EDT', 'martinae'), (nan, '2007-01-24 06:05:18 EST', 'markus.kell.r')]</t>
  </si>
  <si>
    <t>2006-07-21 08:48:58 EDT</t>
  </si>
  <si>
    <t>2009-08-30 02:05:04 EDT</t>
  </si>
  <si>
    <t>2006-07-20 15:51 EDT</t>
  </si>
  <si>
    <t>[('CREATED', '2006-07-20 15:51 EDT'), ('RESOLVED', '2006-07-21 08:48:58 EDT', 'martinae'), ('helpwanted', '2006-07-21 08:48:58 EDT', 'martinae'), ('REMIND', '2006-07-21 08:48:58 EDT', 'martinae'), ('[refactoring] [dcr] IDE should automatically suggest possible refactorings', '2006-07-21 08:48:58 EDT', 'martinae'), ('needinfo', '2009-08-30 02:05:04 EDT', 'denis.roy'), ('INVALID', '2009-08-30 02:05:04 EDT', 'denis.roy')]</t>
  </si>
  <si>
    <t>2006-07-25 09:20:43 EDT</t>
  </si>
  <si>
    <t>2006-07-20 20:16 EDT</t>
  </si>
  <si>
    <t>2006-07-25 08:31:50 EDT</t>
  </si>
  <si>
    <t>2007-06-13 11:31:10 EDT</t>
  </si>
  <si>
    <t>[('CREATED', '2006-07-20 20:16 EDT'), ('jdt-ui-inbox', '2006-07-25 08:31:50 EDT', 'maxime_daniel'), ('UI', '2006-07-25 08:31:50 EDT', 'maxime_daniel'), ('tobias_widmer', '2006-07-25 09:18:41 EDT', 'martinae'), ('[refactoring scripts] Refactor -&gt; Move is not recorded in history', '2006-07-25 09:18:41 EDT', 'martinae'), ('RESOLVED', '2006-07-25 09:20:43 EDT', 'tobias_widmer'), ('FIXED', '2006-07-25 09:20:43 EDT', 'tobias_widmer'), ('3.3 M1', '2007-06-13 11:31:10 EDT', 'martinae')]</t>
  </si>
  <si>
    <t>2007-05-09 09:54:36 EDT</t>
  </si>
  <si>
    <t>2006-07-21 09:00 EDT</t>
  </si>
  <si>
    <t>[('CREATED', '2006-07-21 09:00 EDT'), ('RESOLVED', '2007-05-09 09:54:36 EDT', 'benno.baumgartner'), ('WONTFIX', '2007-05-09 09:54:36 EDT', 'benno.baumgartner')]</t>
  </si>
  <si>
    <t>2006-07-27 05:16:58 EDT</t>
  </si>
  <si>
    <t>2006-07-21 17:53 EDT</t>
  </si>
  <si>
    <t>2006-07-24 09:21:41 EDT</t>
  </si>
  <si>
    <t>[('CREATED', '2006-07-21 17:53 EDT'), ('UI', '2006-07-24 09:21:41 EDT', 'kent_johnson'), ('jdt-ui-inbox', '2006-07-26 05:17:29 EDT', 'frederic_fusier'), ('RESOLVED', '2006-07-27 05:16:58 EDT', 'martinae'), ('WORKSFORME', '2006-07-27 05:16:58 EDT', 'martinae'), ('[extract superclass] "Extract Superclass" kills equally named method without warning', '2006-07-27 05:16:58 EDT', 'martinae')]</t>
  </si>
  <si>
    <t>2006-07-21 18:01 EDT</t>
  </si>
  <si>
    <t>2006-07-24 09:21:00 EDT</t>
  </si>
  <si>
    <t>2020-01-03 09:53:48 EST</t>
  </si>
  <si>
    <t>[('CREATED', '2006-07-21 18:01 EDT'), ('UI', '2006-07-24 09:21:00 EDT', 'kent_johnson'), ('jdt-ui-inbox', '2006-07-26 05:17:49 EDT', 'frederic_fusier'), ('tobias_widmer', '2006-07-27 05:17:30 EDT', 'martinae'), ('[extract superclass] Extract Superclass" should allow multiple selected classes in package explorer', '2006-07-27 05:17:30 EDT', 'martinae'), ('jdt-ui-inbox', '2007-06-14 10:43:03 EDT', 'martinae'), ('mauromol', '2017-09-21 05:38:51 EDT', 'mauromol'), ('stalebug', '2020-01-03 09:53:48 EST', 'genie')]</t>
  </si>
  <si>
    <t>2006-07-24 09:38:28 EDT</t>
  </si>
  <si>
    <t>2006-07-24 09:23 EDT</t>
  </si>
  <si>
    <t>[('CREATED', '2006-07-24 09:23 EDT'), ('RESOLVED', '2006-07-24 09:38:28 EDT', 'tobias_widmer'), ('WONTFIX', '2006-07-24 09:38:28 EDT', 'tobias_widmer')]</t>
  </si>
  <si>
    <t>2006-08-17 11:32:30 EDT</t>
  </si>
  <si>
    <t>2006-08-31 06:17:53 EDT</t>
  </si>
  <si>
    <t>2006-07-24 13:50 EDT</t>
  </si>
  <si>
    <t>2006-07-24 13:57:51 EDT</t>
  </si>
  <si>
    <t>[('CREATED', '2006-07-24 13:50 EDT'), ('UI', '2006-07-24 13:57:51 EDT', 'kent_johnson'), ('jdt-ui-inbox', '2006-07-26 05:26:02 EDT', 'frederic_fusier'), ('markus_keller', '2006-07-27 05:19:55 EDT', 'martinae'), ('[infer type arguments] NPE in InferTypeArgumentsTCModel.makeVariableVariable()', '2006-07-27 05:19:55 EDT', 'martinae'), ('3.2.1 candidate', '2006-07-27 05:19:55 EDT', 'martinae'), ('RESOLVED', '2006-08-17 11:32:30 EDT', 'markus.kell.r'), ('FIXED', '2006-08-17 11:32:30 EDT', 'markus.kell.r'), (nan, '2006-08-17 11:32:30 EDT', 'markus.kell.r'), ('3.2.1', '2006-08-17 11:32:30 EDT', 'markus.kell.r'), ('VERIFIED', '2006-08-31 06:17:53 EDT', 'benno.baumgartner')]</t>
  </si>
  <si>
    <t>2006-07-24 16:38 EDT</t>
  </si>
  <si>
    <t>2006-07-24 16:55:08 EDT</t>
  </si>
  <si>
    <t>2006-07-25 06:33:33 EDT</t>
  </si>
  <si>
    <t>[('CREATED', '2006-07-24 16:38 EDT'), ("'Encapsulate field' refactoring dialog should display all options, including disabled ones", '2006-07-24 16:55:08 EDT', 'max.gilead'), ('ASSIGNED', '2006-07-25 06:33:33 EDT', 'martinae'), ('[encapsulate field] display all visibility modifiers', '2006-07-25 06:33:33 EDT', 'martinae')]</t>
  </si>
  <si>
    <t>200444</t>
  </si>
  <si>
    <t>2014-06-13 09:54:23 EDT</t>
  </si>
  <si>
    <t>2006-07-25 06:39:49 EDT</t>
  </si>
  <si>
    <t>2013-10-23 10:49:51 EDT</t>
  </si>
  <si>
    <t>2006-07-25 04:52 EDT</t>
  </si>
  <si>
    <t>2018-07-04 03:36:38 EDT</t>
  </si>
  <si>
    <t>loskutov</t>
  </si>
  <si>
    <t>[('CREATED', '2006-07-25 04:52 EDT'), ('RESOLVED', '2006-07-25 06:39:49 EDT', 'martinae'), ('WONTFIX', '2006-07-25 06:39:49 EDT', 'martinae'), ('dharkness', '2013-08-26 19:11:00 EDT', 'dharkness'), ('daniel_megert', '2013-08-27 03:58:40 EDT', 'daniel_megert'), ('200444', '2013-08-27 03:58:40 EDT', 'daniel_megert'), ("[reorg] Copy action should NOT add 'copy of' prefix", '2013-10-23 10:49:51 EDT', 'markus.kell.r'), ('fix candidate', '2013-10-23 10:49:51 EDT', 'markus.kell.r'), ('REOPENED', '2013-10-23 10:49:51 EDT', 'markus.kell.r'), ('markus_keller', '2013-10-23 10:49:51 EDT', 'markus.kell.r'), ('---', '2013-10-23 10:49:51 EDT', 'markus.kell.r'), ('ASSIGNED', '2013-10-23 10:49:58 EDT', 'markus.kell.r'), ('bugday', '2014-03-28 10:18:05 EDT', 'daniel_megert'), ('yves.joan', '2014-04-09 09:22:11 EDT', 'yves.joan'), ('yves.joan', '2014-04-17 04:27:45 EDT', 'daniel_megert'), ('simon.vienot', '2014-05-21 13:12:23 EDT', 'simon.vienot'), ('noopur_gupta', '2014-05-28 04:57:04 EDT', 'noopur_gupta'), ('review?(noopur_gupta)', '2014-05-28 04:57:04 EDT', 'noopur_gupta'), ('4.5', '2014-05-28 09:11:40 EDT', 'noopur_gupta'), ('1', '2014-06-10 05:17:25 EDT', 'yves.joan'), ('1', '2014-06-10 08:51:07 EDT', 'yves.joan'), ('RESOLVED', '2014-06-13 09:54:23 EDT', 'noopur_gupta'), ('FIXED', '2014-06-13 09:54:23 EDT', 'noopur_gupta'), ('4.5 M1', '2014-06-13 09:54:23 EDT', 'noopur_gupta'), ('review+', '2014-06-13 09:54:23 EDT', 'noopur_gupta'), (nan, '2014-06-13 12:49:30 EDT', 'markus.kell.r'), (nan, '2014-06-13 12:49:30 EDT', 'markus.kell.r'), ('https://bugs.eclipse.org/bugs/show_bug.cgi?id=536673', '2018-07-04 03:36:38 EDT', 'loskutov')]</t>
  </si>
  <si>
    <t>152995 154669 191180 198281 (view as bug list)</t>
  </si>
  <si>
    <t>2007-05-23 10:52:27 EDT</t>
  </si>
  <si>
    <t>2007-05-29 06:51:59 EDT</t>
  </si>
  <si>
    <t>2006-07-25 08:28 EDT</t>
  </si>
  <si>
    <t>2006-07-25 08:59:05 EDT</t>
  </si>
  <si>
    <t>2008-05-15 11:02:25 EDT</t>
  </si>
  <si>
    <t>[('CREATED', '2006-07-25 08:28 EDT'), ('tobias_widmer', '2006-07-25 08:59:05 EDT', 'martinae'), ('[extract superclass] Extract Superclass does remove code', '2006-07-25 08:59:05 EDT', 'martinae'), ('stmoebius', '2006-11-14 04:25:50 EST', 'stmoebius'), ('markus_keller', '2007-03-16 05:24:58 EDT', 'markus.kell.r'), ('major', '2007-03-16 05:24:58 EDT', 'markus.kell.r'), ("[extract superclass] Extract Superclass without 'Use the extracted class' removes code", '2007-03-16 05:24:58 EDT', 'markus.kell.r'), ('bmiller', '2007-03-16 05:26:59 EDT', 'markus.kell.r'), ('P1', '2007-03-16 05:27:16 EDT', 'markus.kell.r'), ('3.3', '2007-03-16 05:27:16 EDT', 'markus.kell.r'), ('benno_baumgartner', '2007-05-23 07:57:13 EDT', 'benno.baumgartner'), ('ASSIGNED', '2007-05-23 07:57:13 EDT', 'benno.baumgartner'), ('tobias_widmer', '2007-05-23 07:58:05 EDT', 'benno.baumgartner'), ('3.3 RC2', '2007-05-23 07:58:05 EDT', 'benno.baumgartner'), ('martin_aeschlimann', '2007-05-23 07:58:24 EDT', 'benno.baumgartner'), ('review?(martin_aeschlimann)', '2007-05-23 07:58:24 EDT', 'benno.baumgartner'), ('review?(tobias_widmer)', '2007-05-23 07:59:02 EDT', 'benno.baumgartner'), ('review+', '2007-05-23 09:14:10 EDT', 'tobias_widmer'), ('review+', '2007-05-23 10:08:13 EDT', 'martinae'), ('FIXED', '2007-05-23 10:52:27 EDT', 'benno.baumgartner'), ('RESOLVED', '2007-05-23 10:52:27 EDT', 'benno.baumgartner'), ('VERIFIED', '2007-05-29 06:51:59 EDT', 'benno.baumgartner'), ('robert.munteanu', '2007-06-06 06:25:22 EDT', 'martinae'), ('johannes_rieken', '2008-05-15 11:02:25 EDT', 'benno.baumgartner')]</t>
  </si>
  <si>
    <t>2006-08-03 09:47:56 EDT</t>
  </si>
  <si>
    <t>2006-07-26 17:28 EDT</t>
  </si>
  <si>
    <t>2006-07-27 11:55:48 EDT</t>
  </si>
  <si>
    <t>[('CREATED', '2006-07-26 17:28 EDT'), ('markus_keller', '2006-07-27 11:55:48 EDT', 'martinae'), ('[rename] rename package should also rename in other source folders', '2006-07-27 11:55:48 EDT', 'martinae'), ('ASSIGNED', '2006-07-28 04:26:22 EDT', 'markus.kell.r'), ('DUPLICATE', '2006-08-03 09:47:56 EDT', 'martinae'), ('RESOLVED', '2006-08-03 09:47:56 EDT', 'martinae')]</t>
  </si>
  <si>
    <t>RESOLVED  DUPLICATE  of bug 185457</t>
  </si>
  <si>
    <t>2007-07-24 06:39:32 EDT</t>
  </si>
  <si>
    <t>2006-07-28 05:49 EDT</t>
  </si>
  <si>
    <t>2006-08-02 08:42:30 EDT</t>
  </si>
  <si>
    <t>[('CREATED', '2006-07-28 05:49 EDT'), ('tobias_widmer', '2006-08-02 08:42:30 EDT', 'martinae'), ('[refactoring] Allow maximizing of preview window', '2006-08-02 08:42:30 EDT', 'martinae'), ('jdt-ui-inbox', '2007-06-14 10:46:54 EDT', 'martinae'), ('RESOLVED', '2007-07-24 06:39:32 EDT', 'markus.kell.r'), ('DUPLICATE', '2007-07-24 06:39:32 EDT', 'markus.kell.r')]</t>
  </si>
  <si>
    <t>2007-08-14 09:13:52 EDT</t>
  </si>
  <si>
    <t>2006-07-28 09:51 EDT</t>
  </si>
  <si>
    <t>2006-07-31 09:52:04 EDT</t>
  </si>
  <si>
    <t>2007-08-14 09:17:08 EDT</t>
  </si>
  <si>
    <t>[('CREATED', '2006-07-28 09:51 EDT'), ('benno_baumgartner, daniel_megert', '2006-07-31 09:52:04 EDT', 'daniel_megert'), ('benno_baumgartner', '2006-08-02 13:11:29 EDT', 'martinae'), ('[nls] the NLS key tab is not available in the search dialog window', '2006-08-02 13:11:56 EDT', 'martinae'), ('3.3 RC1', '2007-05-09 11:38:07 EDT', 'benno.baumgartner'), ('review?(daniel_megert)', '2007-05-09 11:38:07 EDT', 'benno.baumgartner'), ('review-', '2007-05-09 11:51:33 EDT', 'daniel_megert'), ('3.4', '2007-05-09 12:07:13 EDT', 'benno.baumgartner'), ('1', '2007-08-14 09:11:11 EDT', 'benno.baumgartner'), ('RESOLVED', '2007-08-14 09:13:52 EDT', 'benno.baumgartner'), ('FIXED', '2007-08-14 09:13:52 EDT', 'benno.baumgartner'), ('3.4 M2', '2007-08-14 09:17:08 EDT', 'benno.baumgartner')]</t>
  </si>
  <si>
    <t>2006-08-02 13:10:01 EDT</t>
  </si>
  <si>
    <t>2006-07-28 12:18 EDT</t>
  </si>
  <si>
    <t>2006-07-31 02:58:14 EDT</t>
  </si>
  <si>
    <t>[('CREATED', '2006-07-28 12:18 EDT'), ('jdt-ui-inbox', '2006-07-31 02:58:14 EDT', 'maxime_daniel'), ('UI', '2006-07-31 02:58:14 EDT', 'maxime_daniel'), ('RESOLVED', '2006-08-02 13:10:01 EDT', 'martinae'), ('DUPLICATE', '2006-08-02 13:10:01 EDT', 'martinae')]</t>
  </si>
  <si>
    <t>353010 (view as bug list)</t>
  </si>
  <si>
    <t>2006-08-02 13:26:18 EDT</t>
  </si>
  <si>
    <t>2009-08-30 02:34:51 EDT</t>
  </si>
  <si>
    <t>2011-07-25 10:35:02 EDT</t>
  </si>
  <si>
    <t>2006-07-31 14:31 EDT</t>
  </si>
  <si>
    <t>2006-08-01 04:54:12 EDT</t>
  </si>
  <si>
    <t>2013-03-28 07:04:06 EDT</t>
  </si>
  <si>
    <t>janArbeit</t>
  </si>
  <si>
    <t>[('CREATED', '2006-07-31 14:31 EDT'), ('jdt-ui-inbox', '2006-08-01 04:54:12 EDT', 'frederic_fusier'), ('UI', '2006-08-01 04:54:12 EDT', 'frederic_fusier'), ('RESOLVED', '2006-08-02 13:26:18 EDT', 'martinae'), ('LATER', '2006-08-02 13:26:18 EDT', 'martinae'), ('[clean up] remove declared exceptions', '2006-08-02 13:26:18 EDT', 'martinae'), ('benno_baumgartner', '2006-08-02 13:26:18 EDT', 'martinae'), ('helpwanted', '2006-08-07 03:23:18 EDT', 'martinae'), ('WONTFIX', '2009-08-30 02:34:51 EDT', 'webmaster'), ('REOPENED', '2011-07-25 10:35:02 EDT', 'daniel_megert'), ('daniel_megert', '2011-07-25 10:35:02 EDT', 'daniel_megert'), ('All', '2011-07-25 10:35:02 EDT', 'daniel_megert'), ('---', '2011-07-25 10:35:02 EDT', 'daniel_megert'), ('All', '2011-07-25 10:35:02 EDT', 'daniel_megert'), ('ASSIGNED', '2011-07-25 10:35:11 EDT', 'daniel_megert'), ('[save actions][clean up] remove declared exceptions', '2011-07-25 10:35:30 EDT', 'daniel_megert'), ('juergen', '2011-07-25 10:35:57 EDT', 'daniel_megert'), ('jan', '2013-03-28 07:04:06 EDT', 'janArbeit')]</t>
  </si>
  <si>
    <t>RESOLVED  DUPLICATE  of bug 157798</t>
  </si>
  <si>
    <t>154618 (view as bug list)</t>
  </si>
  <si>
    <t>2007-01-15 10:48:15 EST</t>
  </si>
  <si>
    <t>2006-07-31 21:14 EDT</t>
  </si>
  <si>
    <t>2006-08-02 13:18:53 EDT</t>
  </si>
  <si>
    <t>[('CREATED', '2006-07-31 21:14 EDT'), ('benno_baumgartner', '2006-08-02 13:18:53 EDT', 'martinae'), ('[clean up] Source &gt; Clean Up... preview of refactored source is incorrect', '2006-08-02 13:18:53 EDT', 'martinae'), ('ggregory', '2006-08-22 03:39:15 EDT', 'benno.baumgartner'), ('RESOLVED', '2007-01-15 10:48:15 EST', 'benno.baumgartner'), ('DUPLICATE', '2007-01-15 10:48:15 EST', 'benno.baumgartner')]</t>
  </si>
  <si>
    <t>RESOLVED  DUPLICATE  of bug 147079</t>
  </si>
  <si>
    <t>2006-08-03 12:41:44 EDT</t>
  </si>
  <si>
    <t>2006-08-03 03:00 EDT</t>
  </si>
  <si>
    <t>[('CREATED', '2006-08-03 03:00 EDT'), ('RESOLVED', '2006-08-03 12:41:44 EDT', 'martinae'), ('DUPLICATE', '2006-08-03 12:41:44 EDT', 'martinae')]</t>
  </si>
  <si>
    <t>2006-08-07 05:17:59 EDT</t>
  </si>
  <si>
    <t>2006-08-03 14:54 EDT</t>
  </si>
  <si>
    <t>2006-08-04 03:12:56 EDT</t>
  </si>
  <si>
    <t>[('CREATED', '2006-08-03 14:54 EDT'), ('daniel_megert', '2006-08-04 03:12:56 EDT', 'daniel_megert'), ('markus_keller', '2006-08-07 03:55:06 EDT', 'martinae'), ('[JUnit] Chars in project name causing errors', '2006-08-07 03:55:06 EDT', 'martinae'), ('RESOLVED', '2006-08-07 05:17:59 EDT', 'markus.kell.r'), ('WORKSFORME', '2006-08-07 05:17:59 EDT', 'markus.kell.r')]</t>
  </si>
  <si>
    <t>2006-08-05 13:39 EDT</t>
  </si>
  <si>
    <t>2006-08-07 04:03:11 EDT</t>
  </si>
  <si>
    <t>2007-06-14 10:42:50 EDT</t>
  </si>
  <si>
    <t>[('CREATED', '2006-08-05 13:39 EDT'), ('tobias_widmer', '2006-08-07 04:03:11 EDT', 'martinae'), ('[extract superclass] extract interface should offer superclass methods', '2006-08-07 04:03:11 EDT', 'martinae'), ('[extract interface] should offer superclass methods', '2006-08-07 04:03:37 EDT', 'martinae'), ('jdt-ui-inbox', '2007-06-14 10:42:50 EDT', 'martinae')]</t>
  </si>
  <si>
    <t>2006-08-07 08:55:01 EDT</t>
  </si>
  <si>
    <t>2006-08-07 07:49 EDT</t>
  </si>
  <si>
    <t>2006-08-07 07:54:00 EDT</t>
  </si>
  <si>
    <t>[('CREATED', '2006-08-07 07:49 EDT'), ('jdt-ui-inbox', '2006-08-07 07:54:00 EDT', 'frederic_fusier'), ('UI', '2006-08-07 07:54:00 EDT', 'frederic_fusier'), ('RESOLVED', '2006-08-07 08:55:01 EDT', 'martinae'), ('DUPLICATE', '2006-08-07 08:55:01 EDT', 'martinae')]</t>
  </si>
  <si>
    <t>2006-08-07 12:00:25 EDT</t>
  </si>
  <si>
    <t>2006-08-07 09:53 EDT</t>
  </si>
  <si>
    <t>[('CREATED', '2006-08-07 09:53 EDT'), ('RESOLVED', '2006-08-07 12:00:25 EDT', 'martinae'), ('DUPLICATE', '2006-08-07 12:00:25 EDT', 'martinae')]</t>
  </si>
  <si>
    <t>2006-08-08 05:32:09 EDT</t>
  </si>
  <si>
    <t>2006-08-10 09:34:08 EDT</t>
  </si>
  <si>
    <t>2006-08-08 05:14 EDT</t>
  </si>
  <si>
    <t>2006-08-08 05:31:48 EDT</t>
  </si>
  <si>
    <t>[('CREATED', '2006-08-08 05:14 EDT'), ('markus_keller', '2006-08-08 05:31:48 EDT', 'markus.kell.r'), ('3.3 M1', '2006-08-08 05:31:48 EDT', 'markus.kell.r'), ('FIXED', '2006-08-08 05:32:09 EDT', 'markus.kell.r'), ('RESOLVED', '2006-08-08 05:32:09 EDT', 'markus.kell.r'), ('VERIFIED', '2006-08-10 09:34:08 EDT', 'martinae')]</t>
  </si>
  <si>
    <t>2020-04-28 00:56:51 EDT</t>
  </si>
  <si>
    <t>2006-08-08 07:04 EDT</t>
  </si>
  <si>
    <t>2006-08-08 07:05:36 EDT</t>
  </si>
  <si>
    <t>[('CREATED', '2006-08-08 07:04 EDT'), ('tobias_widmer', '2006-08-08 07:05:36 EDT', 'martinae'), ("[refactoring scripts] Apply script dialog: 'No refactorings selected' doesn't go away", '2006-08-08 07:05:36 EDT', 'martinae'), ('jdt-ui-inbox', '2007-06-14 10:46:48 EDT', 'martinae'), ('stalebug', '2020-04-28 00:56:51 EDT', 'genie'), ('CLOSED', '2020-04-28 00:56:51 EDT', 'genie'), ('WONTFIX', '2020-04-28 00:56:51 EDT', 'genie')]</t>
  </si>
  <si>
    <t>188118 (view as bug list)</t>
  </si>
  <si>
    <t>2007-08-14 11:10:04 EDT</t>
  </si>
  <si>
    <t>2006-08-09 11:33 EDT</t>
  </si>
  <si>
    <t>2006-08-10 06:09:29 EDT</t>
  </si>
  <si>
    <t>[('CREATED', '2006-08-09 11:33 EDT'), ('tobias_widmer', '2006-08-10 06:09:29 EDT', 'martinae'), ('[refactoring scripts] Create/applay refactoring script dialog to/from clipboard has disabled next buttons', '2006-08-10 06:09:29 EDT', 'martinae'), ('jdt-ui-inbox', '2007-06-14 10:46:50 EDT', 'martinae'), ('karsten_becker', '2007-07-05 12:39:40 EDT', 'eclipse'), ('markus_keller', '2007-07-24 11:37:57 EDT', 'markus.kell.r'), ('[refactoring scripts] Create/apply refactoring script dialog to/from clipboard has disabled next buttons', '2007-07-24 11:38:17 EDT', 'markus.kell.r'), ('markus_keller', '2007-08-14 11:08:44 EDT', 'markus.kell.r'), ('3.4 M2', '2007-08-14 11:08:44 EDT', 'markus.kell.r'), (nan, '2007-08-14 11:10:04 EDT', 'markus.kell.r'), ('RESOLVED', '2007-08-14 11:10:04 EDT', 'markus.kell.r'), ('FIXED', '2007-08-14 11:10:04 EDT', 'markus.kell.r')]</t>
  </si>
  <si>
    <t>CLOSED  DUPLICATE  of bug 43594</t>
  </si>
  <si>
    <t>2012-05-21 09:37:18 EDT</t>
  </si>
  <si>
    <t>2006-08-10 05:10 EDT</t>
  </si>
  <si>
    <t>2006-08-16 10:23:14 EDT</t>
  </si>
  <si>
    <t>[('CREATED', '2006-08-10 05:10 EDT'), ('tobias_widmer', '2006-08-16 10:23:14 EDT', 'martinae'), ('[reorg] Selection in pkg expl gone after move folder', '2006-08-16 10:23:14 EDT', 'martinae'), ('jdt-ui-inbox', '2007-06-14 10:48:37 EDT', 'martinae'), ('CLOSED', '2012-05-21 09:37:18 EDT', 'markus.kell.r'), ('markus_keller', '2012-05-21 09:37:18 EDT', 'markus.kell.r'), ('DUPLICATE', '2012-05-21 09:37:18 EDT', 'markus.kell.r')]</t>
  </si>
  <si>
    <t>155113 (view as bug list)</t>
  </si>
  <si>
    <t>2006-08-22 12:25:14 EDT</t>
  </si>
  <si>
    <t>2006-08-31 10:08:31 EDT</t>
  </si>
  <si>
    <t>2006-08-10 10:25 EDT</t>
  </si>
  <si>
    <t>2006-08-10 11:58:06 EDT</t>
  </si>
  <si>
    <t>2006-08-31 10:08:42 EDT</t>
  </si>
  <si>
    <t>[('CREATED', '2006-08-10 10:25 EDT'), ('jdt-ui-inbox', '2006-08-10 11:58:06 EDT', 'frederic_fusier'), ('UI', '2006-08-10 11:58:06 EDT', 'frederic_fusier'), ('feniks', '2006-08-16 10:42:20 EDT', 'feniks'), ('3.2.1', '2006-08-21 06:21:17 EDT', 'martinae'), ('tobias_widmer', '2006-08-21 06:21:17 EDT', 'martinae'), ('[ltk] rename package containing read-only files in CVS fails', '2006-08-21 06:21:17 EDT', 'martinae'), ('3.2.1 candidate', '2006-08-21 06:22:18 EDT', 'martinae'), ('RESOLVED', '2006-08-22 12:25:14 EDT', 'martinae'), ('FIXED', '2006-08-22 12:25:14 EDT', 'martinae'), ('3.2.1', '2006-08-22 12:25:14 EDT', 'martinae'), ('jpetrakis', '2006-08-29 10:54:11 EDT', 'martinae'), ('VERIFIED', '2006-08-31 10:08:31 EDT', 'martinae'), (nan, '2006-08-31 10:08:42 EDT', 'martinae')]</t>
  </si>
  <si>
    <t>2006-08-11 07:05 EDT</t>
  </si>
  <si>
    <t>2006-08-14 08:42:39 EDT</t>
  </si>
  <si>
    <t>2010-11-04 06:43:58 EDT</t>
  </si>
  <si>
    <t>[('CREATED', '2006-08-11 07:05 EDT'), ('Provide extension point for custom pasters into the Package Explorer', '2006-08-14 08:42:39 EDT', 'daniel_megert'), ('markus_keller', '2006-08-15 05:34:33 EDT', 'markus.kell.r'), ('[reorg] [dcr] Provide extension point for custom pasters into the Package Explorer', '2006-08-21 07:11:15 EDT', 'martinae'), ('ASSIGNED', '2006-08-21 07:11:15 EDT', 'martinae'), ('daniel_megert', '2010-11-04 06:43:58 EDT', 'daniel_megert'), ('[reorg] Provide extension point for custom pasters into the Package Explorer', '2010-11-04 06:43:58 EDT', 'daniel_megert')]</t>
  </si>
  <si>
    <t>2007-04-03 10:50:55 EDT</t>
  </si>
  <si>
    <t>2006-08-14 08:09 EDT</t>
  </si>
  <si>
    <t>2006-08-14 08:52:33 EDT</t>
  </si>
  <si>
    <t>[('CREATED', '2006-08-14 08:09 EDT'), ('daniel_megert', '2006-08-14 08:52:33 EDT', 'daniel_megert'), ('markus_keller', '2006-08-15 06:27:43 EDT', 'markus.kell.r'), ('martin_aeschlimann', '2006-08-29 10:44:36 EDT', 'martinae'), ('benno_baumgartner', '2006-08-29 10:44:36 EDT', 'martinae'), ('RESOLVED', '2007-04-03 10:50:55 EDT', 'benno.baumgartner'), ('FIXED', '2007-04-03 10:50:55 EDT', 'benno.baumgartner'), ('3.2', '2007-04-03 10:50:55 EDT', 'benno.baumgartner')]</t>
  </si>
  <si>
    <t>169599 (view as bug list)</t>
  </si>
  <si>
    <t>2008-10-16 08:15:06 EDT</t>
  </si>
  <si>
    <t>2006-08-14 09:38 EDT</t>
  </si>
  <si>
    <t>2006-08-14 13:10:13 EDT</t>
  </si>
  <si>
    <t>[('CREATED', '2006-08-14 09:38 EDT'), ('jdt-ui-inbox', '2006-08-14 13:10:13 EDT', 'Olivier_Thomann'), ('UI', '2006-08-14 13:10:13 EDT', 'Olivier_Thomann'), ('[clean up] Extension point for the clean up wizard', '2006-08-21 09:53:27 EDT', 'martinae'), ('martin_aeschlimann', '2006-08-21 09:53:27 EDT', 'martinae'), ('benno_baumgartner', '2006-08-21 09:53:27 EDT', 'martinae'), ('enhancement', '2007-01-05 03:37:14 EST', 'benno.baumgartner'), ('169599', '2007-01-05 03:51:10 EST', 'benno.baumgartner'), ('alex_blewitt', '2007-01-09 09:25:17 EST', 'martinae'), (nan, '2008-07-16 08:15:15 EDT', 'benno.baumgartner'), ('daniel_megert', '2008-07-16 08:19:21 EDT', 'benno.baumgartner'), ('ASSIGNED', '2008-07-16 08:19:21 EDT', 'benno.baumgartner'), ('3.5', '2008-07-17 04:06:35 EDT', 'daniel_megert'), ('markus_keller', '2008-07-17 04:07:08 EDT', 'daniel_megert'), ('eclipse', '2008-08-21 02:33:18 EDT', 'eclipse'), ('3.5 M3', '2008-10-06 09:11:47 EDT', 'daniel_megert'), ('1', '2008-10-14 09:41:32 EDT', 'benno.baumgartner'), ('kscheglov', '2008-10-16 04:38:20 EDT', 'Konstantin.Scheglov'), ('RESOLVED', '2008-10-16 08:15:06 EDT', 'daniel_megert'), ('FIXED', '2008-10-16 08:15:06 EDT', 'daniel_megert')]</t>
  </si>
  <si>
    <t>2006-08-15 05:46:27 EDT</t>
  </si>
  <si>
    <t>2006-09-19 05:18:22 EDT</t>
  </si>
  <si>
    <t>2006-08-15 05:44 EDT</t>
  </si>
  <si>
    <t>[('CREATED', '2006-08-15 05:44 EDT'), ('3.3 M2', '2006-08-15 05:46:27 EDT', 'tobias_widmer'), ('RESOLVED', '2006-08-15 05:46:27 EDT', 'tobias_widmer'), ('FIXED', '2006-08-15 05:46:27 EDT', 'tobias_widmer'), ('VERIFIED', '2006-09-19 05:18:22 EDT', 'daniel_megert')]</t>
  </si>
  <si>
    <t>2007-05-09 05:13:33 EDT</t>
  </si>
  <si>
    <t>2006-08-16 13:48 EDT</t>
  </si>
  <si>
    <t>2006-08-16 14:26:25 EDT</t>
  </si>
  <si>
    <t>[('CREATED', '2006-08-16 13:48 EDT'), ('P4', '2006-08-16 14:26:25 EDT', 'john.arthorne'), ('kscheglov', '2006-08-16 16:55:10 EDT', 'Konstantin.Scheglov'), ('bpasero', '2006-08-17 04:28:39 EDT', 'bpasero'), ('rjlorimer', '2006-08-19 12:12:41 EDT', 'rjlorimer'), ('ASSIGNED', '2006-08-22 12:24:02 EDT', 'martinae'), ('[plan] More refactorings', '2006-08-22 12:24:02 EDT', 'martinae'), ('lfrenzel', '2006-08-31 10:53:25 EDT', 'lfrenzel'), ('francois, pombredanne', '2006-09-08 22:05:44 EDT', 'pombredanne'), ('3.3', '2007-05-09 05:13:33 EDT', 'martinae'), ('RESOLVED', '2007-05-09 05:13:33 EDT', 'martinae'), ('FIXED', '2007-05-09 05:13:33 EDT', 'martinae')]</t>
  </si>
  <si>
    <t>213301 (view as bug list)</t>
  </si>
  <si>
    <t>2008-03-03 12:50:34 EST</t>
  </si>
  <si>
    <t>2008-03-04 06:35:26 EST</t>
  </si>
  <si>
    <t>2006-11-10 06:14:46 EST</t>
  </si>
  <si>
    <t>2007-12-18 05:04:33 EST</t>
  </si>
  <si>
    <t>2006-08-17 07:09 EDT</t>
  </si>
  <si>
    <t>2006-08-21 13:25:35 EDT</t>
  </si>
  <si>
    <t>[('CREATED', '2006-08-17 07:09 EDT'), ('martin_aeschlimann', '2006-08-21 13:25:35 EDT', 'martinae'), ('benno_baumgartner', '2006-08-21 13:25:35 EDT', 'martinae'), ('[quick assist] NEW: Convert to StringBuffer/StringBuilder', '2006-08-21 13:25:35 EDT', 'martinae'), ('RESOLVED', '2006-11-10 06:14:46 EST', 'martinae'), ('DUPLICATE', '2006-11-10 06:14:46 EST', 'martinae'), ('REOPENED', '2007-12-18 05:04:33 EST', 'martinae'), ('---', '2007-12-18 05:04:33 EST', 'martinae'), ('[quick assist] convert to StringBuilder', '2007-12-18 05:04:33 EST', 'martinae'), ('b.muskalla', '2007-12-18 05:05:54 EST', 'martinae'), ('martin_aeschlimann', '2007-12-18 05:05:54 EST', 'martinae'), ('NEW', '2007-12-18 05:05:54 EST', 'martinae'), ('benno_baumgartner', '2007-12-18 05:35:13 EST', 'benno.baumgartner'), ('antoine', '2007-12-18 10:46:52 EST', 'martinae'), ('eclipse', '2007-12-19 07:31:08 EST', 'eclipse'), ('wmitsuda', '2007-12-19 10:04:30 EST', 'wmitsuda'), ('neale', '2008-02-12 11:37:31 EST', 'neale'), ('3.4 M6', '2008-02-12 11:44:54 EST', 'martinae'), ('RESOLVED', '2008-03-03 12:50:34 EST', 'martinae'), ('FIXED', '2008-03-03 12:50:34 EST', 'martinae'), ('VERIFIED', '2008-03-04 06:35:26 EST', 'benno.baumgartner')]</t>
  </si>
  <si>
    <t>RESOLVED  DUPLICATE  of bug 188597</t>
  </si>
  <si>
    <t>2007-10-04 11:58:30 EDT</t>
  </si>
  <si>
    <t>2006-08-17 09:17 EDT</t>
  </si>
  <si>
    <t>2006-08-17 09:27:16 EDT</t>
  </si>
  <si>
    <t>[('CREATED', '2006-08-17 09:17 EDT'), ('1', '2006-08-17 09:27:16 EDT', 'jtk499'), ('tobias_widmer', '2006-08-21 13:27:34 EDT', 'martinae'), ('[pull up] Preview fails to show "Add member declaration"', '2006-08-21 13:27:34 EDT', 'martinae'), ('3.2.2', '2007-06-06 05:13:28 EDT', 'jtk499'), ('jdt-ui-inbox', '2007-06-14 10:46:19 EDT', 'martinae'), ('martin_aeschlimann', '2007-10-04 11:58:30 EDT', 'martinae'), ('RESOLVED', '2007-10-04 11:58:30 EDT', 'martinae'), ('DUPLICATE', '2007-10-04 11:58:30 EDT', 'martinae')]</t>
  </si>
  <si>
    <t>108019 157516 (view as bug list)</t>
  </si>
  <si>
    <t>2006-08-22 11:56:48 EDT</t>
  </si>
  <si>
    <t>2006-08-17 11:10 EDT</t>
  </si>
  <si>
    <t>2006-08-17 11:14:05 EDT</t>
  </si>
  <si>
    <t>2006-09-16 06:02:17 EDT</t>
  </si>
  <si>
    <t>[('CREATED', '2006-08-17 11:10 EDT'), ('markus_keller', '2006-08-17 11:14:05 EDT', 'martinae'), ('ASSIGNED', '2006-08-17 12:01:16 EDT', 'markus.kell.r'), ('3.3', '2006-08-17 12:01:16 EDT', 'markus.kell.r'), ('RESOLVED', '2006-08-22 11:56:48 EDT', 'markus.kell.r'), ('FIXED', '2006-08-22 11:56:48 EDT', 'markus.kell.r'), ('3.3 M2', '2006-08-22 11:56:48 EDT', 'markus.kell.r'), ('markus_keller', '2006-08-23 10:23:04 EDT', 'markus.kell.r'), ('lord0', '2006-09-16 06:02:17 EDT', 'daniel_megert')]</t>
  </si>
  <si>
    <t>2020-02-19 10:28:32 EST</t>
  </si>
  <si>
    <t>2006-08-18 10:35 EDT</t>
  </si>
  <si>
    <t>2006-08-18 19:46:49 EDT</t>
  </si>
  <si>
    <t>[('CREATED', '2006-08-18 10:35 EDT'), ('UI', '2006-08-18 19:46:49 EDT', 'Olivier_Thomann'), ('jdt-ui-inbox', '2006-08-18 19:46:49 EDT', 'Olivier_Thomann'), ('markus_keller', '2006-08-22 12:23:43 EDT', 'martinae'), ('[change method signature] "Migrate JAR File..." fails with " Search for method declaration did not find original element"', '2006-08-22 12:23:43 EDT', 'martinae'), ('metatech', '2008-07-10 04:30:06 EDT', 'daniel_megert'), ('ASSIGNED', '2011-02-23 14:58:05 EST', 'markus.kell.r'), ('[migrate jar][change method signature] "Migrate JAR File..." fails with " Search for method declaration did not find original element"', '2011-02-23 14:58:05 EST', 'markus.kell.r'), ('fix candidate', '2011-02-23 14:58:05 EST', 'markus.kell.r'), ('stalebug', '2020-02-19 10:28:32 EST', 'genie'), ('CLOSED', '2020-02-19 10:28:32 EST', 'genie'), ('WONTFIX', '2020-02-19 10:28:32 EST', 'genie')]</t>
  </si>
  <si>
    <t>2007-04-19 05:40:26 EDT</t>
  </si>
  <si>
    <t>2007-05-02 09:15:32 EDT</t>
  </si>
  <si>
    <t>2006-08-18 21:01 EDT</t>
  </si>
  <si>
    <t>2006-08-21 13:28:42 EDT</t>
  </si>
  <si>
    <t>[('CREATED', '2006-08-18 21:01 EDT'), ('gunnar.bo', '2006-08-21 13:28:42 EDT', 'gunnar.bo'), ('tobias_widmer', '2006-08-22 12:35:04 EDT', 'martinae'), ('[hashcode/equals] running twice produces incorrect call to super', '2006-08-22 12:35:04 EDT', 'martinae'), ('3.3', '2006-08-22 12:35:04 EDT', 'martinae'), ('mypurchase', '2006-11-05 10:11:39 EST', 'mypurchase'), ('P2', '2007-02-16 04:09:13 EST', 'martinae'), ('RESOLVED', '2007-04-19 05:40:26 EDT', 'tobias_widmer'), ('FIXED', '2007-04-19 05:40:26 EDT', 'tobias_widmer'), ('3.3 M7', '2007-04-19 05:40:26 EDT', 'tobias_widmer'), ('martin_aeschlimann', '2007-05-02 08:57:25 EDT', 'eclipse'), ('VERIFIED', '2007-05-02 09:15:32 EDT', 'martinae')]</t>
  </si>
  <si>
    <t>2007-04-19 05:18:22 EDT</t>
  </si>
  <si>
    <t>2007-05-02 09:42:39 EDT</t>
  </si>
  <si>
    <t>2006-08-19 19:29 EDT</t>
  </si>
  <si>
    <t>2006-08-20 11:33:22 EDT</t>
  </si>
  <si>
    <t>[('CREATED', '2006-08-19 19:29 EDT'), ('jdt-ui-inbox', '2006-08-20 11:33:22 EDT', 'Olivier_Thomann'), ('UI', '2006-08-20 11:33:22 EDT', 'Olivier_Thomann'), ('tobias_widmer', '2006-08-21 14:44:23 EDT', 'martinae'), ('3.3', '2007-02-16 04:42:52 EST', 'martinae'), ('P2', '2007-02-16 05:47:53 EST', 'martinae'), ('RESOLVED', '2007-04-19 05:18:22 EDT', 'tobias_widmer'), ('FIXED', '2007-04-19 05:18:22 EDT', 'tobias_widmer'), ('3.3 M7', '2007-04-19 05:18:22 EDT', 'tobias_widmer'), ('martin_aeschlimann', '2007-05-02 09:14:08 EDT', 'eclipse'), ('VERIFIED', '2007-05-02 09:42:39 EDT', 'martinae')]</t>
  </si>
  <si>
    <t>157827 (view as bug list)</t>
  </si>
  <si>
    <t>2007-11-29 13:38:05 EST</t>
  </si>
  <si>
    <t>2006-08-21 06:00 EDT</t>
  </si>
  <si>
    <t>2006-09-20 12:13:05 EDT</t>
  </si>
  <si>
    <t>[('CREATED', '2006-08-21 06:00 EDT'), ('markus_keller', '2006-09-20 12:13:05 EDT', 'martinae'), ('3.3', '2006-09-20 12:13:05 EDT', 'martinae'), ('benno_baumgartner', '2006-09-25 09:19:35 EDT', 'martinae'), ('ASSIGNED', '2007-03-29 05:59:26 EDT', 'markus.kell.r'), ('3.3 M7', '2007-03-29 05:59:26 EDT', 'markus.kell.r'), ('3.3 RC1', '2007-05-03 05:34:33 EDT', 'martinae'), ('3.3 RC2', '2007-05-16 09:18:24 EDT', 'martinae'), ('3.3 RC3', '2007-05-24 11:46:16 EDT', 'martinae'), ('3.4', '2007-06-01 05:58:56 EDT', 'markus.kell.r'), ('FIXED', '2007-11-29 13:38:05 EST', 'martinae'), ('3.3 M4', '2007-11-29 13:38:05 EST', 'martinae'), ('RESOLVED', '2007-11-29 13:38:05 EST', 'martinae')]</t>
  </si>
  <si>
    <t>RESOLVED  DUPLICATE  of bug 152402</t>
  </si>
  <si>
    <t>2006-08-22 03:39:15 EDT</t>
  </si>
  <si>
    <t>2006-08-21 17:15 EDT</t>
  </si>
  <si>
    <t>2006-08-21 17:18:10 EDT</t>
  </si>
  <si>
    <t>[('CREATED', '2006-08-21 17:15 EDT'), ('Bad refactoring "Change if body to block"', '2006-08-21 17:18:10 EDT', 'ggregory'), ('jdt-ui-inbox', '2006-08-22 02:19:18 EDT', 'maxime_daniel'), ('UI', '2006-08-22 02:19:18 EDT', 'maxime_daniel'), ('DUPLICATE', '2006-08-22 03:39:15 EDT', 'benno.baumgartner'), ('RESOLVED', '2006-08-22 03:39:15 EDT', 'benno.baumgartner')]</t>
  </si>
  <si>
    <t>2006-08-22 02:03 EDT</t>
  </si>
  <si>
    <t>2006-08-22 02:16:41 EDT</t>
  </si>
  <si>
    <t>2020-08-17 12:49:20 EDT</t>
  </si>
  <si>
    <t>[('CREATED', '2006-08-22 02:03 EDT'), ('jdt-ui-inbox', '2006-08-22 02:16:41 EDT', 'maxime_daniel'), ('UI', '2006-08-22 02:16:41 EDT', 'maxime_daniel'), ('tobias_widmer', '2006-08-22 08:44:46 EDT', 'martinae'), ('[reorg] Moving class between packages with a problem refers to in-accessible preview page', '2006-08-22 08:44:46 EDT', 'martinae'), ('jdt-ui-inbox', '2007-06-14 10:47:45 EDT', 'martinae'), ('stalebug', '2020-08-17 12:49:20 EDT', 'genie')]</t>
  </si>
  <si>
    <t>2006-09-06 11:06:26 EDT</t>
  </si>
  <si>
    <t>2006-08-22 05:52 EDT</t>
  </si>
  <si>
    <t>[('CREATED', '2006-08-22 05:52 EDT'), ('RESOLVED', '2006-09-06 11:06:26 EDT', 'markus.kell.r'), ('FIXED', '2006-09-06 11:06:26 EDT', 'markus.kell.r'), ('3.3 M2', '2006-09-06 11:06:26 EDT', 'markus.kell.r')]</t>
  </si>
  <si>
    <t>157794 161308 165179 169445 183074 (view as bug list)</t>
  </si>
  <si>
    <t>2007-01-15 11:36:22 EST</t>
  </si>
  <si>
    <t>2007-01-29 11:43:22 EST</t>
  </si>
  <si>
    <t>2007-01-15 05:58:46 EST</t>
  </si>
  <si>
    <t>2006-08-22 14:41 EDT</t>
  </si>
  <si>
    <t>2006-08-29 05:34:24 EDT</t>
  </si>
  <si>
    <t>2007-04-24 06:44:20 EDT</t>
  </si>
  <si>
    <t>[('CREATED', '2006-08-22 14:41 EDT'), ('martin_aeschlimann', '2006-08-29 05:34:24 EDT', 'martinae'), ('[refactoring scripts] Refactoring History Property page showing in weird places', '2006-08-29 05:34:24 EDT', 'martinae'), ('markus_keller', '2006-09-04 09:51:00 EDT', 'markus.kell.r'), ('tobias_widmer', '2006-09-05 13:04:59 EDT', 'martinae'), ('daniel_megert', '2006-09-19 11:25:05 EDT', 'tobias_widmer'), ('3.3', '2006-09-19 12:04:28 EDT', 'markus.kell.r'), ('kmunir', '2006-10-17 16:40:56 EDT', 'kmunir'), ('martin.oberhuber', '2006-11-03 17:37:57 EST', 'mober.at+eclipse'), ('RESOLVED', '2006-11-15 06:13:21 EST', 'martinae'), ('FIXED', '2006-11-15 06:13:21 EST', 'martinae'), ('3.2.2', '2006-11-15 06:13:21 EST', 'martinae'), ('koshin.mariano', '2006-11-22 05:44:18 EST', 'martinae'), ('mohamads', '2007-01-04 09:06:40 EST', 'martinae'), ('REOPENED', '2007-01-15 05:58:46 EST', 'daniel_megert'), ('---', '2007-01-15 05:58:46 EST', 'daniel_megert'), ('martin_aeschlimann', '2007-01-15 11:26:01 EST', 'martinae'), ('NEW', '2007-01-15 11:26:01 EST', 'martinae'), ('RESOLVED', '2007-01-15 11:36:22 EST', 'martinae'), ('FIXED', '2007-01-15 11:36:22 EST', 'martinae'), ('VERIFIED', '2007-01-29 11:43:22 EST', 'markus.kell.r'), ('miwako.tokugawa', '2007-04-24 06:44:20 EDT', 'martinae')]</t>
  </si>
  <si>
    <t>2006-08-22 21:51 EDT</t>
  </si>
  <si>
    <t>2006-08-23 01:23:13 EDT</t>
  </si>
  <si>
    <t>2019-09-26 09:20:59 EDT</t>
  </si>
  <si>
    <t>[('CREATED', '2006-08-22 21:51 EDT'), ('jdt-ui-inbox', '2006-08-23 01:23:13 EDT', 'maxime_daniel'), ('UI', '2006-08-23 01:23:13 EDT', 'maxime_daniel'), ('martin_aeschlimann', '2006-08-23 12:34:49 EDT', 'martinae'), ('[add import] Automatically adding import can be unsafe', '2006-08-23 12:34:49 EDT', 'martinae'), ('jdt-ui-inbox', '2009-01-23 11:12:18 EST', 'daniel_megert'), ('ASSIGNED', '2009-01-23 11:26:47 EST', 'daniel_megert'), ('stalebug', '2019-09-26 09:20:59 EDT', 'genie')]</t>
  </si>
  <si>
    <t>198391 (view as bug list)</t>
  </si>
  <si>
    <t>2010-04-06 03:28:59 EDT</t>
  </si>
  <si>
    <t>2010-04-01 08:12:26 EDT</t>
  </si>
  <si>
    <t>2006-08-23 09:28 EDT</t>
  </si>
  <si>
    <t>2006-08-29 09:07:20 EDT</t>
  </si>
  <si>
    <t>2010-05-21 11:37:40 EDT</t>
  </si>
  <si>
    <t>[('CREATED', '2006-08-23 09:28 EDT'), ('tobias_widmer', '2006-08-29 09:07:20 EDT', 'martinae'), ('jdt-ui-inbox', '2007-06-14 10:45:32 EDT', 'martinae'), ('BrianMiller', '2008-07-07 13:01:17 EDT', 'Brian.Miller'), ('[reorg][move static members] Move constant wizard has option "Keep original method..."', '2008-07-08 04:23:38 EDT', 'daniel_megert'), ('daniel_megert', '2008-07-08 04:23:38 EDT', 'daniel_megert'), ('ASSIGNED', '2008-07-08 04:23:38 EDT', 'daniel_megert'), ('david.balazic', '2010-03-04 08:11:18 EST', 'david.balazic'), ('raksha.vasisht', '2010-03-04 09:41:57 EST', 'markus.kell.r'), ('3.6 M7', '2010-03-04 09:41:57 EST', 'markus.kell.r'), ('RESOLVED', '2010-04-01 03:47:40 EDT', 'raksha.vasisht'), ('FIXED', '2010-04-01 03:47:40 EDT', 'raksha.vasisht'), ('REOPENED', '2010-04-01 08:12:26 EDT', 'markus.kell.r'), ('---', '2010-04-01 08:12:26 EDT', 'markus.kell.r'), ('RESOLVED', '2010-04-06 03:28:59 EDT', 'raksha.vasisht'), ('FIXED', '2010-04-06 03:28:59 EDT', 'raksha.vasisht'), ('gsoares', '2010-05-21 11:37:40 EDT', 'markus.kell.r')]</t>
  </si>
  <si>
    <t>RESOLVED  DUPLICATE  of bug 153434</t>
  </si>
  <si>
    <t>2006-08-29 10:54:11 EDT</t>
  </si>
  <si>
    <t>2006-08-24 16:46 EDT</t>
  </si>
  <si>
    <t>2006-08-27 10:02:03 EDT</t>
  </si>
  <si>
    <t>[('CREATED', '2006-08-24 16:46 EDT'), ('daniel_megert', '2006-08-27 10:02:03 EDT', 'daniel_megert'), ('RESOLVED', '2006-08-29 10:54:11 EDT', 'martinae'), ('DUPLICATE', '2006-08-29 10:54:11 EDT', 'martinae')]</t>
  </si>
  <si>
    <t>2020-04-20 06:33:14 EDT</t>
  </si>
  <si>
    <t>2006-08-29 06:52 EDT</t>
  </si>
  <si>
    <t>2006-08-31 10:30:04 EDT</t>
  </si>
  <si>
    <t>[('CREATED', '2006-08-29 06:52 EDT'), ('tobias_widmer', '2006-08-31 10:30:04 EDT', 'martinae'), ('[reorg] Different move refactoring tools launched depending on variable visibility', '2006-08-31 10:30:04 EDT', 'martinae'), ('jdt-ui-inbox', '2007-06-14 10:47:14 EDT', 'martinae'), ('CLOSED', '2020-04-20 06:33:14 EDT', 'genie'), ('stalebug', '2020-04-20 06:33:14 EDT', 'genie'), ('WONTFIX', '2020-04-20 06:33:14 EDT', 'genie')]</t>
  </si>
  <si>
    <t>2020-06-15 15:01:30 EDT</t>
  </si>
  <si>
    <t>2020-07-07 13:48:27 EDT</t>
  </si>
  <si>
    <t>2006-08-29 11:43 EDT</t>
  </si>
  <si>
    <t>2006-08-31 10:32:10 EDT</t>
  </si>
  <si>
    <t>[('CREATED', '2006-08-29 11:43 EDT'), ('tobias_widmer', '2006-08-31 10:32:10 EDT', 'martinae'), ('[extract interface] does not correctly update a field declaration.', '2006-08-31 10:32:10 EDT', 'martinae'), ('jdt-ui-inbox', '2007-06-14 10:42:39 EDT', 'martinae'), ('stalebug', '2019-12-19 14:17:13 EST', 'genie'), ('All', '2019-12-20 03:11:28 EST', 'daniel_megert'), ('All', '2019-12-20 03:11:28 EST', 'daniel_megert'), (nan, '2019-12-20 03:11:28 EST', 'daniel_megert'), ('daniel_megert', '2019-12-20 03:11:28 EST', 'daniel_megert'), ('ASSIGNED', '2019-12-20 03:11:28 EST', 'daniel_megert'), ('https://git.eclipse.org/r/163374', '2020-05-21 14:02:29 EDT', 'genie'), ('kenneth', '2020-05-21 14:03:12 EDT', 'kenneth'), ('kenneth', '2020-05-21 14:03:12 EDT', 'kenneth'), ('rgrunber', '2020-06-09 14:06:28 EDT', 'rgrunber'), ('rgrunber', '2020-06-09 14:06:28 EDT', 'rgrunber'), ('4.17 M1', '2020-06-09 14:06:28 EDT', 'rgrunber'), ('https://git.eclipse.org/c/jdt/eclipse.jdt.ui.git/commit/?id=afd512d2d9b59f5a1d354aa2486570992fffcb24', '2020-06-09 17:13:31 EDT', 'genie'), ('FIXED', '2020-06-15 15:01:30 EDT', 'rgrunber'), ('RESOLVED', '2020-06-15 15:01:30 EDT', 'rgrunber'), ('VERIFIED', '2020-07-07 13:48:27 EDT', 'rgrunber')]</t>
  </si>
  <si>
    <t>CLOSED  DUPLICATE  of bug 195817</t>
  </si>
  <si>
    <t>2012-11-28 08:18:22 EST</t>
  </si>
  <si>
    <t>2006-08-29 12:00 EDT</t>
  </si>
  <si>
    <t>2006-08-31 10:33:21 EDT</t>
  </si>
  <si>
    <t>[('CREATED', '2006-08-29 12:00 EDT'), ('tobias_widmer', '2006-08-31 10:33:21 EDT', 'martinae'), ('[extract interface] does not correctly update "for" loops if they are used with a "foreach" semantic', '2006-08-31 10:33:21 EDT', 'martinae'), ('jdt-ui-inbox', '2007-06-14 10:42:38 EDT', 'martinae'), ('milos.gligoric', '2012-11-27 21:28:17 EST', 'milos.gligoric'), ('CLOSED', '2012-11-28 08:18:22 EST', 'daniel_megert'), ('daniel_megert', '2012-11-28 08:18:22 EST', 'daniel_megert'), ('DUPLICATE', '2012-11-28 08:18:22 EST', 'daniel_megert')]</t>
  </si>
  <si>
    <t>2006-08-31 05:26 EDT</t>
  </si>
  <si>
    <t>2006-08-31 05:32:30 EDT</t>
  </si>
  <si>
    <t>2006-09-05 12:31:17 EDT</t>
  </si>
  <si>
    <t>[('CREATED', '2006-08-31 05:26 EDT'), ('Refactor/Move should optionally preserve package structure', '2006-08-31 05:32:30 EDT', 'fillg1'), ('martin_aeschlimann', '2006-08-31 12:51:19 EDT', 'martinae'), ('ASSIGNED', '2006-09-05 12:31:17 EDT', 'martinae'), ('[reorg] Refactor/Move should optionally preserve package structure', '2006-09-05 12:31:17 EDT', 'martinae')]</t>
  </si>
  <si>
    <t>2006-08-31 12:54:21 EDT</t>
  </si>
  <si>
    <t>2006-08-31 10:30 EDT</t>
  </si>
  <si>
    <t>2006-08-31 10:32:05 EDT</t>
  </si>
  <si>
    <t>[('CREATED', '2006-08-31 10:30 EDT'), ('jdt-ui-inbox', '2006-08-31 10:32:05 EDT', 'daniel_megert'), ('UI', '2006-08-31 10:32:05 EDT', 'daniel_megert'), ('RESOLVED', '2006-08-31 12:54:21 EDT', 'martinae'), ('WONTFIX', '2006-08-31 12:54:21 EDT', 'martinae')]</t>
  </si>
  <si>
    <t>2006-09-05 13:03:34 EDT</t>
  </si>
  <si>
    <t>2009-08-30 02:08:10 EDT</t>
  </si>
  <si>
    <t>2006-09-02 09:58 EDT</t>
  </si>
  <si>
    <t>2014-04-26 14:49:31 EDT</t>
  </si>
  <si>
    <t>konstantin.isaev</t>
  </si>
  <si>
    <t>[('CREATED', '2006-09-02 09:58 EDT'), ('martin_aeschlimann', '2006-09-05 13:03:34 EDT', 'martinae'), ('RESOLVED', '2006-09-05 13:03:34 EDT', 'martinae'), ('REMIND', '2006-09-05 13:03:34 EDT', 'martinae'), ('needinfo', '2009-08-30 02:08:10 EDT', 'denis.roy'), ('INVALID', '2009-08-30 02:08:10 EDT', 'denis.roy'), ('konstantin.isaev', '2014-04-26 14:49:31 EDT', 'konstantin.isaev')]</t>
  </si>
  <si>
    <t>2006-09-06 06:41:45 EDT</t>
  </si>
  <si>
    <t>2006-09-06 03:19 EDT</t>
  </si>
  <si>
    <t>[('CREATED', '2006-09-06 03:19 EDT'), ('martin_aeschlimann', '2006-09-06 06:41:45 EDT', 'martinae'), ('RESOLVED', '2006-09-06 06:41:45 EDT', 'martinae'), ('LATER', '2006-09-06 06:41:45 EDT', 'martinae'), ('WONTFIX', '2009-08-30 02:39:52 EDT', 'webmaster')]</t>
  </si>
  <si>
    <t>2006-09-20 10:52:25 EDT</t>
  </si>
  <si>
    <t>2009-08-30 02:06:27 EDT</t>
  </si>
  <si>
    <t>2006-09-09 06:56 EDT</t>
  </si>
  <si>
    <t>[('CREATED', '2006-09-09 06:56 EDT'), ('martin_aeschlimann', '2006-09-20 10:52:25 EDT', 'martinae'), ('RESOLVED', '2006-09-20 10:52:25 EDT', 'martinae'), ('REMIND', '2006-09-20 10:52:25 EDT', 'martinae'), ('[refactoring] JDT Actions should check for registered ModelProvider and invoke validateChange', '2006-09-20 10:52:25 EDT', 'martinae'), ('needinfo', '2009-08-30 02:06:27 EDT', 'denis.roy'), ('INVALID', '2009-08-30 02:06:27 EDT', 'denis.roy')]</t>
  </si>
  <si>
    <t>2006-09-21 11:18:30 EDT</t>
  </si>
  <si>
    <t>2006-09-12 15:18 EDT</t>
  </si>
  <si>
    <t>2006-09-13 02:32:32 EDT</t>
  </si>
  <si>
    <t>[('CREATED', '2006-09-12 15:18 EDT'), ('daniel_megert', '2006-09-13 02:32:32 EDT', 'daniel_megert'), ('martin_aeschlimann', '2006-09-21 10:53:36 EDT', 'martinae'), ('3.3 M3', '2006-09-21 10:53:36 EDT', 'martinae'), ('FIXED', '2006-09-21 11:18:30 EDT', 'martinae'), ('RESOLVED', '2006-09-21 11:18:30 EDT', 'martinae')]</t>
  </si>
  <si>
    <t>2006-09-13 06:14 EDT</t>
  </si>
  <si>
    <t>2006-09-13 06:19:57 EDT</t>
  </si>
  <si>
    <t>2019-11-11 20:14:36 EST</t>
  </si>
  <si>
    <t>[('CREATED', '2006-09-13 06:14 EDT'), ('tobias_widmer', '2006-09-13 06:19:57 EDT', 'markus.kell.r'), ("[convert anonymous] 'Outerclass.this' not correctly handled by 'convert to top level' refactoring", '2006-09-13 06:19:57 EDT', 'markus.kell.r'), ('jdt-ui-inbox', '2007-06-14 10:42:05 EDT', 'martinae'), ('stalebug', '2019-11-11 20:14:36 EST', 'genie')]</t>
  </si>
  <si>
    <t>2006-09-21 11:31:22 EDT</t>
  </si>
  <si>
    <t>2006-09-13 09:14 EDT</t>
  </si>
  <si>
    <t>[('CREATED', '2006-09-13 09:14 EDT'), ('RESOLVED', '2006-09-21 11:31:22 EDT', 'martinae'), ('FIXED', '2006-09-21 11:31:22 EDT', 'martinae'), ('3.3 M3', '2006-09-21 11:31:22 EDT', 'martinae')]</t>
  </si>
  <si>
    <t>2007-03-14 04:27:06 EDT</t>
  </si>
  <si>
    <t>2007-03-21 11:50:46 EDT</t>
  </si>
  <si>
    <t>2006-09-13 11:58 EDT</t>
  </si>
  <si>
    <t>2006-09-13 12:00:53 EDT</t>
  </si>
  <si>
    <t>[('CREATED', '2006-09-13 11:58 EDT'), ('[refactoring] Avoid using non-API types from LTK in refactoring', '2006-09-13 12:00:53 EDT', 'markus.kell.r'), ('3.3 M3', '2006-09-13 12:00:53 EDT', 'markus.kell.r'), ('daniel_megert', '2006-09-13 12:11:31 EDT', 'daniel_megert'), ('3.3 M5', '2006-10-20 13:02:42 EDT', 'martinae'), ('martin_aeschlimann', '2007-02-05 03:31:51 EST', 'markus.kell.r'), ('P2', '2007-02-05 03:31:51 EST', 'markus.kell.r'), ('3.3 M6', '2007-02-05 03:31:51 EST', 'markus.kell.r'), ('[refactoring] actions related to refactoring scripts should be API', '2007-03-13 10:14:02 EDT', 'martinae'), ('philippe_mulet', '2007-03-13 10:14:02 EDT', 'martinae'), ('RESOLVED', '2007-03-14 04:27:06 EDT', 'martinae'), ('FIXED', '2007-03-14 04:27:06 EDT', 'martinae'), ('VERIFIED', '2007-03-21 11:50:46 EDT', 'martinae')]</t>
  </si>
  <si>
    <t>2006-09-15 06:33:58 EDT</t>
  </si>
  <si>
    <t>2006-09-13 13:19 EDT</t>
  </si>
  <si>
    <t>2006-09-15 06:33:24 EDT</t>
  </si>
  <si>
    <t>2007-01-08 05:22:10 EST</t>
  </si>
  <si>
    <t>[('CREATED', '2006-09-13 13:19 EDT'), ('markus_keller', '2006-09-15 06:33:24 EDT', 'markus.kell.r'), ('contributed', '2006-09-15 06:33:24 EDT', 'markus.kell.r'), ('3.3 M2', '2006-09-15 06:33:24 EDT', 'markus.kell.r'), ('RESOLVED', '2006-09-15 06:33:58 EDT', 'markus.kell.r'), ('FIXED', '2006-09-15 06:33:58 EDT', 'markus.kell.r'), ('martin_aeschlimann', '2006-09-15 10:46:50 EDT', 'markus.kell.r'), ('3.2.1 candidate', '2006-09-15 10:46:50 EDT', 'markus.kell.r'), (nan, '2007-01-08 05:22:10 EST', 'martinae')]</t>
  </si>
  <si>
    <t>2006-09-18 08:12:16 EDT</t>
  </si>
  <si>
    <t>2006-09-13 15:46 EDT</t>
  </si>
  <si>
    <t>2006-09-14 03:40:42 EDT</t>
  </si>
  <si>
    <t>[('CREATED', '2006-09-13 15:46 EDT'), ('daniel_megert', '2006-09-14 03:40:42 EDT', 'daniel_megert'), ('jdt-ui-inbox', '2006-09-14 03:40:42 EDT', 'daniel_megert'), ('UI', '2006-09-14 03:40:42 EDT', 'daniel_megert'), ("Add Ctrl-Alt-U functionality to text boxes like 'rename'", '2006-09-14 03:43:03 EDT', 'daniel_megert'), ('markus_keller', '2006-09-18 08:12:16 EDT', 'markus.kell.r'), ('RESOLVED', '2006-09-18 08:12:16 EDT', 'markus.kell.r'), ('WONTFIX', '2006-09-18 08:12:16 EDT', 'markus.kell.r')]</t>
  </si>
  <si>
    <t>2006-09-18 08:00:21 EDT</t>
  </si>
  <si>
    <t>2006-09-14 15:39 EDT</t>
  </si>
  <si>
    <t>2006-09-15 12:04:18 EDT</t>
  </si>
  <si>
    <t>[('CREATED', '2006-09-14 15:39 EDT'), ('UI', '2006-09-15 12:04:18 EDT', 'Olivier_Thomann'), ('jdt-ui-inbox', '2006-09-15 12:04:18 EDT', 'Olivier_Thomann'), ('markus_keller', '2006-09-18 08:00:21 EDT', 'markus.kell.r'), ('RESOLVED', '2006-09-18 08:00:21 EDT', 'markus.kell.r'), ('WONTFIX', '2006-09-18 08:00:21 EDT', 'markus.kell.r')]</t>
  </si>
  <si>
    <t>2006-11-14 03:05:11 EST</t>
  </si>
  <si>
    <t>2006-09-15 09:27 EDT</t>
  </si>
  <si>
    <t>2006-09-15 09:45:16 EDT</t>
  </si>
  <si>
    <t>[('CREATED', '2006-09-15 09:27 EDT'), ('jdt-ui-inbox', '2006-09-15 09:45:16 EDT', 'daniel_megert'), ('UI', '2006-09-15 09:45:16 EDT', 'daniel_megert'), ("'Rename in File' in does not perform the required checks", '2006-09-15 09:45:16 EDT', 'daniel_megert'), ('martin_aeschlimann', '2006-09-15 10:13:53 EDT', 'markus.kell.r'), ('3.3 M3', '2006-09-15 10:13:53 EDT', 'markus.kell.r'), ('benno_baumgartner', '2006-09-15 10:47:51 EDT', 'benno.baumgartner'), ('daniel_megert', '2006-09-19 12:52:05 EDT', 'daniel_megert'), ("[quick fix] 'Rename in File' in does not perform the required checks", '2006-09-20 10:19:06 EDT', 'martinae'), ('martin_aeschlimann', '2006-09-20 10:19:06 EDT', 'martinae'), ('3.3 M4', '2006-10-20 13:02:19 EDT', 'martinae'), ('markus_keller', '2006-11-14 03:04:19 EST', 'markus.kell.r'), ('RESOLVED', '2006-11-14 03:05:11 EST', 'markus.kell.r'), ('FIXED', '2006-11-14 03:05:11 EST', 'markus.kell.r')]</t>
  </si>
  <si>
    <t>2006-09-15 12:33:46 EDT</t>
  </si>
  <si>
    <t>2006-09-15 09:59 EDT</t>
  </si>
  <si>
    <t>[('CREATED', '2006-09-15 09:59 EDT'), ('RESOLVED', '2006-09-15 12:33:46 EDT', 'benno.baumgartner'), ('FIXED', '2006-09-15 12:33:46 EDT', 'benno.baumgartner'), ('3.3 M2', '2006-09-15 12:33:46 EDT', 'benno.baumgartner')]</t>
  </si>
  <si>
    <t>164156 171356 (view as bug list)</t>
  </si>
  <si>
    <t>2007-01-24 06:42:02 EST</t>
  </si>
  <si>
    <t>2007-02-06 11:52:14 EST</t>
  </si>
  <si>
    <t>2006-09-15 11:02 EDT</t>
  </si>
  <si>
    <t>2006-09-15 11:12:26 EDT</t>
  </si>
  <si>
    <t>[('CREATED', '2006-09-15 11:02 EDT'), ('markus_keller', '2006-09-15 11:12:26 EDT', 'markus.kell.r'), ('tobias_widmer', '2006-09-15 11:12:26 EDT', 'markus.kell.r'), ('[refactoring scripts] Internal error in refactoring history', '2006-09-15 11:12:26 EDT', 'markus.kell.r'), ('ASSIGNED', '2006-09-15 12:36:23 EDT', 'tobias_widmer'), ('P2', '2007-01-10 10:07:29 EST', 'markus.kell.r'), ('3.3', '2007-01-10 10:07:29 EST', 'markus.kell.r'), ('major', '2007-01-23 06:03:26 EST', 'markus.kell.r'), ('3.3 M5', '2007-01-23 06:03:26 EST', 'markus.kell.r'), ('daniel_megert', '2007-01-23 06:03:41 EST', 'markus.kell.r'), ('RESOLVED', '2007-01-24 06:42:02 EST', 'tobias_widmer'), ('FIXED', '2007-01-24 06:42:02 EST', 'tobias_widmer'), ('normal', '2007-01-24 06:42:02 EST', 'tobias_widmer'), ('VERIFIED', '2007-02-06 11:52:14 EST', 'benno.baumgartner')]</t>
  </si>
  <si>
    <t>2006-09-15 15:19 EDT</t>
  </si>
  <si>
    <t>2006-09-15 15:21:13 EDT</t>
  </si>
  <si>
    <t>2006-09-16 06:03:19 EDT</t>
  </si>
  <si>
    <t>[('CREATED', '2006-09-15 15:19 EDT'), ('Windows XP', '2006-09-15 15:21:13 EDT', 'lord0'), ('jdt-ui-inbox', '2006-09-16 06:01:18 EDT', 'daniel_megert'), ('UI', '2006-09-16 06:01:18 EDT', 'daniel_megert'), ('JDT', '2006-09-16 06:01:18 EDT', 'daniel_megert'), ('DUPLICATE', '2006-09-16 06:02:17 EDT', 'daniel_megert'), ('RESOLVED', '2006-09-16 06:02:17 EDT', 'daniel_megert'), ('daniel_megert', '2006-09-16 06:03:19 EDT', 'daniel_megert')]</t>
  </si>
  <si>
    <t>2006-09-18 06:12:37 EDT</t>
  </si>
  <si>
    <t>2006-09-16 06:54 EDT</t>
  </si>
  <si>
    <t>2006-09-16 06:58:24 EDT</t>
  </si>
  <si>
    <t>[('CREATED', '2006-09-16 06:54 EDT'), ('non-NLSed strings from new lightweight rename refactoring work', '2006-09-16 06:58:24 EDT', 'daniel_megert'), ('3.3 M2', '2006-09-16 06:58:24 EDT', 'daniel_megert'), ('FIXED', '2006-09-18 06:12:37 EDT', 'markus.kell.r'), ('RESOLVED', '2006-09-18 06:12:37 EDT', 'markus.kell.r')]</t>
  </si>
  <si>
    <t>2020-02-22 11:32:36 EST</t>
  </si>
  <si>
    <t>2006-09-18 09:06 EDT</t>
  </si>
  <si>
    <t>2006-09-18 09:52:34 EDT</t>
  </si>
  <si>
    <t>[('CREATED', '2006-09-18 09:06 EDT'), ('jdt-ui-inbox', '2006-09-18 09:52:34 EDT', 'frederic_fusier'), ('UI', '2006-09-18 09:52:34 EDT', 'frederic_fusier'), ('markus_keller', '2006-09-18 10:06:08 EDT', 'markus.kell.r'), ('tobias_widmer', '2006-09-18 10:06:08 EDT', 'markus.kell.r'), ('[refactoring scripts] Refactoring script does not execute refactoring properly', '2006-09-18 10:06:08 EDT', 'markus.kell.r'), ('3.3', '2007-02-16 04:44:03 EST', 'martinae'), ('3.4', '2007-06-01 12:12:18 EDT', 'martinae'), ('jdt-ui-inbox', '2007-06-14 10:46:52 EDT', 'martinae'), ('martin_aeschlimann', '2008-05-18 05:07:27 EDT', 'martinae'), ('3.4 candidate', '2008-05-18 05:07:27 EDT', 'martinae'), ('---', '2008-05-18 05:07:27 EDT', 'martinae'), ('daniel_megert', '2008-08-13 06:41:06 EDT', 'daniel_megert'), ('markus_keller', '2008-08-13 06:41:06 EDT', 'daniel_megert'), (nan, '2008-08-13 06:41:06 EDT', 'daniel_megert'), ('WONTFIX', '2020-02-22 11:32:36 EST', 'genie'), ('stalebug', '2020-02-22 11:32:36 EST', 'genie'), ('CLOSED', '2020-02-22 11:32:36 EST', 'genie')]</t>
  </si>
  <si>
    <t>2006-09-25 06:45:56 EDT</t>
  </si>
  <si>
    <t>2009-08-30 02:07:28 EDT</t>
  </si>
  <si>
    <t>2006-09-19 05:31 EDT</t>
  </si>
  <si>
    <t>[('CREATED', '2006-09-19 05:31 EDT'), ('RESOLVED', '2006-09-25 06:45:56 EDT', 'martinae'), ('REMIND', '2006-09-25 06:45:56 EDT', 'martinae'), ('[refactoring] Lightweight Rename: allow to hide the info window', '2006-09-25 06:45:56 EDT', 'martinae'), ('needinfo', '2009-08-30 02:07:28 EDT', 'denis.roy'), ('INVALID', '2009-08-30 02:07:28 EDT', 'denis.roy')]</t>
  </si>
  <si>
    <t>2006-09-19 06:10 EDT</t>
  </si>
  <si>
    <t>2006-09-19 06:19:48 EDT</t>
  </si>
  <si>
    <t>[('CREATED', '2006-09-19 06:10 EDT'), ('jdt-ui-inbox', '2006-09-19 06:19:48 EDT', 'frederic_fusier'), ('UI', '2006-09-19 06:19:48 EDT', 'frederic_fusier'), ('RESOLVED', '2006-09-25 06:47:22 EDT', 'martinae'), ('DUPLICATE', '2006-09-25 06:47:22 EDT', 'martinae')]</t>
  </si>
  <si>
    <t>157830 (view as bug list)</t>
  </si>
  <si>
    <t>2006-09-19 06:47 EDT</t>
  </si>
  <si>
    <t>2006-09-19 07:05:58 EDT</t>
  </si>
  <si>
    <t>2019-10-06 08:43:22 EDT</t>
  </si>
  <si>
    <t>[('CREATED', '2006-09-19 06:47 EDT'), ('daniel_megert', '2006-09-19 07:05:58 EDT', 'daniel_megert'), ('markus_keller', '2006-09-19 11:04:02 EDT', 'markus.kell.r'), ('3.3 M3', '2006-09-19 11:04:02 EDT', 'markus.kell.r'), ('martin_aeschlimann', '2006-09-19 11:04:14 EDT', 'markus.kell.r'), ('ASSIGNED', '2006-10-30 08:51:31 EST', 'markus.kell.r'), ('3.3 M4', '2006-10-30 08:51:31 EST', 'markus.kell.r'), ('3.3', '2006-12-11 12:08:07 EST', 'markus.kell.r'), ('3.4', '2007-05-11 19:04:50 EDT', 'markus.kell.r'), ('3.5', '2008-05-10 12:24:53 EDT', 'markus.kell.r'), ('3.6', '2009-05-06 07:00:01 EDT', 'markus.kell.r'), ('---', '2010-04-20 14:52:19 EDT', 'markus.kell.r'), ('stalebug', '2019-10-06 08:43:22 EDT', 'genie')]</t>
  </si>
  <si>
    <t>2007-01-10 10:29:51 EST</t>
  </si>
  <si>
    <t>2006-09-19 07:12 EDT</t>
  </si>
  <si>
    <t>2006-09-25 06:48:20 EDT</t>
  </si>
  <si>
    <t>[('CREATED', '2006-09-19 07:12 EDT'), ('markus_keller', '2006-09-25 06:48:20 EDT', 'martinae'), ('FIXED', '2007-01-10 10:29:51 EST', 'markus.kell.r'), ('[rename] Linked mode should be left immediately on external updates', '2007-01-10 10:29:51 EST', 'markus.kell.r'), ('3.3 M5', '2007-01-10 10:29:51 EST', 'markus.kell.r'), ('RESOLVED', '2007-01-10 10:29:51 EST', 'markus.kell.r')]</t>
  </si>
  <si>
    <t>2020-04-01 02:47:49 EDT</t>
  </si>
  <si>
    <t>2006-09-19 07:13 EDT</t>
  </si>
  <si>
    <t>2006-09-19 11:30:15 EDT</t>
  </si>
  <si>
    <t>[('CREATED', '2006-09-19 07:13 EDT'), ('markus_keller', '2006-09-19 11:30:15 EDT', 'martinae'), ('ASSIGNED', '2006-10-04 09:47:48 EDT', 'markus.kell.r'), ('stalebug', '2020-04-01 02:47:49 EDT', 'genie'), ('CLOSED', '2020-04-01 02:47:49 EDT', 'genie'), ('WONTFIX', '2020-04-01 02:47:49 EDT', 'genie')]</t>
  </si>
  <si>
    <t>RESOLVED  DUPLICATE  of bug 154735</t>
  </si>
  <si>
    <t>2006-09-19 11:25:05 EDT</t>
  </si>
  <si>
    <t>2006-09-19 08:29 EDT</t>
  </si>
  <si>
    <t>2006-09-19 11:20:17 EDT</t>
  </si>
  <si>
    <t>[('CREATED', '2006-09-19 08:29 EDT'), ('tobias_widmer', '2006-09-19 11:20:17 EDT', 'martinae'), ("[refactoring scripts] ANY project properties contain the 'Refactoring History' page", '2006-09-19 11:20:17 EDT', 'martinae'), ('3.3', '2006-09-19 11:20:17 EDT', 'martinae'), ('RESOLVED', '2006-09-19 11:25:05 EDT', 'tobias_widmer'), ('DUPLICATE', '2006-09-19 11:25:05 EDT', 'tobias_widmer')]</t>
  </si>
  <si>
    <t>152402 163354 170070 (view as bug list)</t>
  </si>
  <si>
    <t>2007-01-15 10:48:05 EST</t>
  </si>
  <si>
    <t>2006-09-19 09:04 EDT</t>
  </si>
  <si>
    <t>2006-10-31 10:28:20 EST</t>
  </si>
  <si>
    <t>[('CREATED', '2006-09-19 09:04 EDT'), ('markus_keller', '2006-10-31 10:28:20 EST', 'markus.kell.r'), ('john_arthorne', '2006-11-03 13:48:49 EST', 'markus.kell.r'), ('philippe_mulet', '2007-01-10 05:47:21 EST', 'benno.baumgartner'), ('3.3 M5', '2007-01-15 10:48:05 EST', 'benno.baumgartner'), ('RESOLVED', '2007-01-15 10:48:05 EST', 'benno.baumgartner'), ('FIXED', '2007-01-15 10:48:05 EST', 'benno.baumgartner'), ('sarcher', '2007-01-15 10:48:15 EST', 'benno.baumgartner')]</t>
  </si>
  <si>
    <t>RESOLVED  DUPLICATE  of bug 157777</t>
  </si>
  <si>
    <t>2006-09-19 11:04:14 EDT</t>
  </si>
  <si>
    <t>2006-09-19 10:36 EDT</t>
  </si>
  <si>
    <t>[('CREATED', '2006-09-19 10:36 EDT'), ('RESOLVED', '2006-09-19 11:04:14 EDT', 'markus.kell.r'), ('DUPLICATE', '2006-09-19 11:04:14 EDT', 'markus.kell.r')]</t>
  </si>
  <si>
    <t>2006-09-25 10:09:07 EDT</t>
  </si>
  <si>
    <t>2009-08-30 02:09:28 EDT</t>
  </si>
  <si>
    <t>2006-09-20 07:04 EDT</t>
  </si>
  <si>
    <t>2006-09-20 07:25:57 EDT</t>
  </si>
  <si>
    <t>[('CREATED', '2006-09-20 07:04 EDT'), ('frederic_fusier', '2006-09-20 07:25:57 EDT', 'frederic_fusier'), ('jdt-ui-inbox', '2006-09-20 07:25:57 EDT', 'frederic_fusier'), ('UI', '2006-09-20 07:25:57 EDT', 'frederic_fusier'), ('RESOLVED', '2006-09-25 10:09:07 EDT', 'martinae'), ('REMIND', '2006-09-25 10:09:07 EDT', 'martinae'), ('needinfo', '2009-08-30 02:09:28 EDT', 'denis.roy'), ('INVALID', '2009-08-30 02:09:28 EDT', 'denis.roy')]</t>
  </si>
  <si>
    <t>199386 (view as bug list)</t>
  </si>
  <si>
    <t>2007-08-31 12:48:28 EDT</t>
  </si>
  <si>
    <t>2007-08-09 12:25:24 EDT</t>
  </si>
  <si>
    <t>2006-09-20 11:33 EDT</t>
  </si>
  <si>
    <t>2006-09-21 12:27:48 EDT</t>
  </si>
  <si>
    <t>2007-09-03 03:33:42 EDT</t>
  </si>
  <si>
    <t>[('CREATED', '2006-09-20 11:33 EDT'), ('markus_keller', '2006-09-21 12:27:48 EDT', 'martinae'), ('RESOLVED', '2006-11-06 09:42:16 EST', 'markus.kell.r'), ('REMIND', '2006-11-06 09:42:16 EST', 'markus.kell.r'), ('[change method signature] IOOBE when removing parameter', '2006-11-06 09:42:16 EST', 'markus.kell.r'), ('johannes_rieken', '2007-08-09 08:02:15 EDT', 'benno.baumgartner'), ('REOPENED', '2007-08-09 12:25:24 EDT', 'markus.kell.r'), ('---', '2007-08-09 12:25:24 EDT', 'markus.kell.r'), ('3.4', '2007-08-09 12:25:24 EDT', 'markus.kell.r'), ('RESOLVED', '2007-08-31 12:48:28 EDT', 'markus.kell.r'), ('FIXED', '2007-08-31 12:48:28 EDT', 'markus.kell.r'), ('3.3 M2', '2007-08-31 12:48:28 EDT', 'markus.kell.r'), ('daniel_megert', '2007-09-03 03:33:42 EDT', 'daniel_megert'), ('3.4 M2', '2007-09-03 03:33:42 EDT', 'daniel_megert')]</t>
  </si>
  <si>
    <t>21084 254444</t>
  </si>
  <si>
    <t>2007-05-08 13:35:39 EDT</t>
  </si>
  <si>
    <t>2008-10-26 12:38:51 EDT</t>
  </si>
  <si>
    <t>2006-09-21 03:15 EDT</t>
  </si>
  <si>
    <t>2006-09-21 03:16:26 EDT</t>
  </si>
  <si>
    <t>2020-08-30 01:42:51 EDT</t>
  </si>
  <si>
    <t>[('CREATED', '2006-09-21 03:15 EDT'), ('ValidateEditTests refactoring tests fail (last builds)', '2006-09-21 03:16:26 EDT', 'daniel_megert'), ('158123', '2006-09-21 06:16:00 EDT', 'markus.kell.r'), ('markus_keller', '2006-09-21 06:16:53 EDT', 'markus.kell.r'), ('markus_keller', '2007-05-08 12:39:52 EDT', 'martinae'), ('RESOLVED', '2007-05-08 13:35:39 EDT', 'markus.kell.r'), ('WORKSFORME', '2007-05-08 13:35:39 EDT', 'markus.kell.r'), ('REOPENED', '2008-10-26 12:38:51 EDT', 'daniel_megert'), ('---', '2008-10-26 12:38:51 EDT', 'daniel_megert'), ('3.5 M4', '2008-10-26 12:41:21 EDT', 'daniel_megert'), ('254444', '2008-11-06 08:44:57 EST', 'markus.kell.r'), ('ASSIGNED', '2008-11-06 08:53:24 EST', 'markus.kell.r'), ('3.5 M5', '2008-12-05 04:26:43 EST', 'markus.kell.r'), ('3.5', '2009-01-20 12:14:32 EST', 'markus.kell.r'), ('3.6', '2009-04-14 09:10:12 EDT', 'markus.kell.r'), ('21084', '2010-04-12 10:55:53 EDT', 'markus.kell.r'), ('---', '2010-04-12 10:55:53 EDT', 'markus.kell.r'), ('fix candidate', '2010-04-12 10:55:53 EDT', 'markus.kell.r'), ('stalebug', '2020-08-30 01:42:51 EDT', 'genie')]</t>
  </si>
  <si>
    <t>2006-12-06 11:49:59 EST</t>
  </si>
  <si>
    <t>2009-08-30 02:19:00 EDT</t>
  </si>
  <si>
    <t>2006-09-22 19:54 EDT</t>
  </si>
  <si>
    <t>2006-09-25 05:00:44 EDT</t>
  </si>
  <si>
    <t>[('CREATED', '2006-09-22 19:54 EDT'), ('jdt-ui-inbox', '2006-09-25 05:00:44 EDT', 'frederic_fusier'), ('UI', '2006-09-25 05:00:44 EDT', 'frederic_fusier'), ('martin_aeschlimann', '2006-10-04 08:55:25 EDT', 'martinae'), ('platform-resources-inbox', '2006-10-04 08:55:25 EDT', 'martinae'), ('Resources', '2006-10-04 08:55:25 EDT', 'martinae'), ('Platform', '2006-10-04 08:55:25 EDT', 'martinae'), ('jdt-ui-inbox', '2006-11-15 13:13:07 EST', 'john.arthorne'), ('UI', '2006-11-15 13:13:07 EST', 'john.arthorne'), ('JDT', '2006-11-15 13:13:07 EST', 'john.arthorne'), ('[rename] Changing case in package causes error', '2006-11-15 18:06:09 EST', 'martinae'), ('markus_keller', '2006-11-15 18:06:09 EST', 'martinae'), ('RESOLVED', '2006-12-06 11:49:59 EST', 'markus.kell.r'), ('LATER', '2006-12-06 11:49:59 EST', 'markus.kell.r'), ('benno_baumgartner', '2008-05-19 04:59:29 EDT', 'benno.baumgartner'), ('WONTFIX', '2009-08-30 02:19:00 EDT', 'denis.roy'), ('jdt-ui-inbox', '2009-08-30 02:19:00 EDT', 'denis.roy')]</t>
  </si>
  <si>
    <t>2006-09-25 02:32:14 EDT</t>
  </si>
  <si>
    <t>2006-09-23 21:54 EDT</t>
  </si>
  <si>
    <t>2006-09-24 21:21:55 EDT</t>
  </si>
  <si>
    <t>lieudna</t>
  </si>
  <si>
    <t>[('CREATED', '2006-09-23 21:54 EDT'), ('jdt-ui-inbox', '2006-09-24 21:21:55 EDT', 'Olivier_Thomann'), ('UI', '2006-09-24 21:21:55 EDT', 'Olivier_Thomann'), ('minor', '2006-09-25 02:32:14 EDT', 'lieudna'), ('RESOLVED', '2006-09-25 02:32:14 EDT', 'lieudna'), ('INVALID', '2006-09-25 02:32:14 EDT', 'lieudna')]</t>
  </si>
  <si>
    <t>2006-10-04 09:18:24 EDT</t>
  </si>
  <si>
    <t>2006-09-27 03:57 EDT</t>
  </si>
  <si>
    <t>[('CREATED', '2006-09-27 03:57 EDT'), ('RESOLVED', '2006-10-04 09:18:24 EDT', 'martinae'), ('DUPLICATE', '2006-10-04 09:18:24 EDT', 'martinae')]</t>
  </si>
  <si>
    <t>165447 (view as bug list)</t>
  </si>
  <si>
    <t>2008-08-19 05:01:37 EDT</t>
  </si>
  <si>
    <t>2006-09-27 08:17 EDT</t>
  </si>
  <si>
    <t>2006-10-04 12:08:34 EDT</t>
  </si>
  <si>
    <t>[('CREATED', '2006-09-27 08:17 EDT'), ('martin_aeschlimann', '2006-10-04 12:08:34 EDT', 'martinae'), ('Platform-UI-Inbox', '2006-10-04 12:08:34 EDT', 'martinae'), ('UI', '2006-10-04 12:08:34 EDT', 'martinae'), ('Platform', '2006-10-04 12:08:34 EDT', 'martinae'), ('Tod_Creasey', '2006-10-04 15:42:25 EDT', 'eclipse'), ('[Properties] Properties... action appears in context menu but is not applicable', '2006-10-04 15:42:25 EDT', 'eclipse'), ('nick_edgar', '2006-11-24 08:40:26 EST', 'Tod_Creasey'), ('helpwanted', '2007-06-19 15:24:47 EDT', 'Tod_Creasey'), ('P5', '2007-06-22 09:56:24 EDT', 'Tod_Creasey'), ('daniel_megert', '2008-08-19 04:45:53 EDT', 'markus.kell.r'), ('UI', '2008-08-19 05:00:34 EDT', 'daniel_megert'), ('JDT', '2008-08-19 05:00:34 EDT', 'daniel_megert'), ('jdt-ui-inbox', '2008-08-19 05:00:34 EDT', 'daniel_megert'), ('RESOLVED', '2008-08-19 05:01:37 EDT', 'daniel_megert'), (nan, '2008-08-19 05:01:37 EDT', 'daniel_megert'), ('FIXED', '2008-08-19 05:01:37 EDT', 'daniel_megert'), ('3.5 M2', '2008-08-19 05:01:37 EDT', 'daniel_megert')]</t>
  </si>
  <si>
    <t>198103 (view as bug list)</t>
  </si>
  <si>
    <t>2006-10-05 04:09:20 EDT</t>
  </si>
  <si>
    <t>2006-10-31 08:47:24 EST</t>
  </si>
  <si>
    <t>2006-09-28 02:30 EDT</t>
  </si>
  <si>
    <t>2006-09-28 03:36:26 EDT</t>
  </si>
  <si>
    <t>2007-07-31 05:43:24 EDT</t>
  </si>
  <si>
    <t>[('CREATED', '2006-09-28 02:30 EDT'), ('uchi', '2006-09-28 03:36:26 EDT', 'uchi'), ('jdt-ui-inbox', '2006-09-28 05:49:03 EDT', 'jerome_lanneluc'), ('UI', '2006-09-28 05:49:03 EDT', 'jerome_lanneluc'), ('RESOLVED', '2006-10-05 04:09:20 EDT', 'martinae'), ('FIXED', '2006-10-05 04:09:20 EDT', 'martinae'), ('3.3 M3', '2006-10-05 04:09:20 EDT', 'martinae'), ('martin_aeschlimann', '2006-10-31 08:35:18 EST', 'daniel_megert'), ('VERIFIED', '2006-10-31 08:47:24 EST', 'daniel_megert'), ('vanbroek', '2007-07-30 06:13:31 EDT', 'benno.baumgartner'), ('[dnd] AssertionFailedException: assertion failed: while doing the drag and drop opration.', '2007-07-31 05:43:24 EDT', 'martinae')]</t>
  </si>
  <si>
    <t>2006-12-06 11:26:37 EST</t>
  </si>
  <si>
    <t>2006-09-29 08:10 EDT</t>
  </si>
  <si>
    <t>2006-09-29 09:21:30 EDT</t>
  </si>
  <si>
    <t>2006-12-06 14:38:07 EST</t>
  </si>
  <si>
    <t>sergey.yevtushenko</t>
  </si>
  <si>
    <t>[('CREATED', '2006-09-29 08:10 EDT'), ('jdt-ui-inbox', '2006-09-29 09:21:30 EDT', 'Olivier_Thomann'), ('UI', '2006-09-29 09:21:30 EDT', 'Olivier_Thomann'), ('Core', '2006-09-29 09:52:52 EDT', 'frederic_fusier'), ('[search] renaming method renames wrong method', '2006-09-29 09:52:52 EDT', 'frederic_fusier'), ('frederic_fusier', '2006-09-29 09:52:52 EDT', 'frederic_fusier'), ('frederic_fusier', '2006-09-29 10:59:33 EDT', 'frederic_fusier'), ('jdt-ui-inbox', '2006-09-29 10:59:33 EDT', 'frederic_fusier'), ('UI', '2006-09-29 10:59:33 EDT', 'frederic_fusier'), ('markus_keller', '2006-10-05 04:53:19 EDT', 'martinae'), ('[render] renaming method renames wrong method', '2006-10-05 04:53:19 EDT', 'martinae'), ('3.3', '2006-10-05 04:53:19 EDT', 'martinae'), ('RESOLVED', '2006-12-06 11:26:37 EST', 'markus.kell.r'), ('INVALID', '2006-12-06 11:26:37 EST', 'markus.kell.r'), ('[rename method] renames wrong method', '2006-12-06 11:26:37 EST', 'markus.kell.r'), ('---', '2006-12-06 11:26:37 EST', 'markus.kell.r'), ('CLOSED', '2006-12-06 14:38:07 EST', 'sergey.yevtushenko')]</t>
  </si>
  <si>
    <t>2006-10-02 06:09 EDT</t>
  </si>
  <si>
    <t>2006-10-05 09:22:58 EDT</t>
  </si>
  <si>
    <t>[('CREATED', '2006-10-02 06:09 EDT'), ('ASSIGNED', '2006-10-05 09:22:58 EDT', 'martinae'), ('[extract method] Remove limitation of "extract method" refactoring to current file', '2006-10-05 09:22:58 EDT', 'martinae')]</t>
  </si>
  <si>
    <t>2006-10-10 09:50:54 EDT</t>
  </si>
  <si>
    <t>2006-10-10 04:33:38 EDT</t>
  </si>
  <si>
    <t>2006-10-02 09:33 EDT</t>
  </si>
  <si>
    <t>2006-10-05 09:23:55 EDT</t>
  </si>
  <si>
    <t>[('CREATED', '2006-10-02 09:33 EDT'), ('benno_baumgartner', '2006-10-05 09:23:55 EDT', 'martinae'), ('[clean up] Clean Up Wizards throws exception (converting for loops)', '2006-10-05 09:23:55 EDT', 'martinae'), ('ASSIGNED', '2006-10-09 05:14:40 EDT', 'benno.baumgartner'), ('RESOLVED', '2006-10-09 11:15:35 EDT', 'benno.baumgartner'), ('REMIND', '2006-10-09 11:15:35 EDT', 'benno.baumgartner'), ('REOPENED', '2006-10-10 04:33:38 EDT', 'benno.baumgartner'), ('---', '2006-10-10 04:33:38 EDT', 'benno.baumgartner'), ('3.3 M3', '2006-10-10 09:50:54 EDT', 'benno.baumgartner'), ('RESOLVED', '2006-10-10 09:50:54 EDT', 'benno.baumgartner'), ('FIXED', '2006-10-10 09:50:54 EDT', 'benno.baumgartner')]</t>
  </si>
  <si>
    <t>2020-01-17 05:24:41 EST</t>
  </si>
  <si>
    <t>2006-10-03 04:34 EDT</t>
  </si>
  <si>
    <t>2006-10-05 11:39:01 EDT</t>
  </si>
  <si>
    <t>[('CREATED', '2006-10-03 04:34 EDT'), ('tobias_widmer', '2006-10-05 11:39:01 EDT', 'martinae'), ('[move static members] failure case for "move" refactoring, concerns moving static members', '2006-10-05 11:39:01 EDT', 'martinae'), ('jdt-ui-inbox', '2007-06-14 10:45:28 EDT', 'martinae'), ('WONTFIX', '2020-01-17 05:24:41 EST', 'genie'), ('stalebug', '2020-01-17 05:24:41 EST', 'genie'), ('CLOSED', '2020-01-17 05:24:41 EST', 'genie')]</t>
  </si>
  <si>
    <t>2006-10-05 12:39:51 EDT</t>
  </si>
  <si>
    <t>2006-10-04 11:20 EDT</t>
  </si>
  <si>
    <t>[('CREATED', '2006-10-04 11:20 EDT'), ('martin_aeschlimann', '2006-10-05 12:39:51 EDT', 'martinae'), ('RESOLVED', '2006-10-05 12:39:51 EDT', 'martinae'), ('WORKSFORME', '2006-10-05 12:39:51 EDT', 'martinae')]</t>
  </si>
  <si>
    <t>2013-08-16 01:46:50 EDT</t>
  </si>
  <si>
    <t>2006-10-05 14:04 EDT</t>
  </si>
  <si>
    <t>2006-10-06 12:27:32 EDT</t>
  </si>
  <si>
    <t>[('CREATED', '2006-10-05 14:04 EDT'), ('tobias_widmer', '2006-10-06 12:27:32 EDT', 'martinae'), ('[convert anonymous] Convert Anonymous to nested generates wrong code', '2006-10-06 12:27:32 EDT', 'martinae'), ('jdt-ui-inbox', '2007-06-14 10:42:07 EDT', 'martinae'), ('daniel_megert', '2013-08-06 06:12:56 EDT', 'daniel_megert'), ('review?(noopur_gupta)', '2013-08-06 06:12:56 EDT', 'daniel_megert'), ('ASSIGNED', '2013-08-06 08:01:21 EDT', 'daniel_megert'), ('nikolaymetchev', '2013-08-14 05:08:14 EDT', 'nikolaymetchev'), ('1', '2013-08-14 09:00:47 EDT', 'noopur_gupta'), ('nikolaymetchev', '2013-08-14 09:01:41 EDT', 'noopur_gupta'), ('All', '2013-08-14 09:01:41 EDT', 'noopur_gupta'), ('markus_keller, noopur_gupta', '2013-08-14 09:01:41 EDT', 'noopur_gupta'), ('All', '2013-08-14 09:01:41 EDT', 'noopur_gupta'), ('RESOLVED', '2013-08-16 01:46:50 EDT', 'noopur_gupta'), ('FIXED', '2013-08-16 01:46:50 EDT', 'noopur_gupta'), ('4.4 M2', '2013-08-16 01:46:50 EDT', 'noopur_gupta'), ('review+', '2013-08-16 01:46:50 EDT', 'noopur_gupta')]</t>
  </si>
  <si>
    <t>2006-10-06 11:23:34 EDT</t>
  </si>
  <si>
    <t>2006-10-06 09:44 EDT</t>
  </si>
  <si>
    <t>[('CREATED', '2006-10-06 09:44 EDT'), ('RESOLVED', '2006-10-06 11:23:34 EDT', 'martinae'), ('FIXED', '2006-10-06 11:23:34 EDT', 'martinae'), ('3.3 M3', '2006-10-06 11:23:34 EDT', 'martinae')]</t>
  </si>
  <si>
    <t>327423 328203 333923 356163 532441 (view as bug list)</t>
  </si>
  <si>
    <t>2006-10-09 09:15 EDT</t>
  </si>
  <si>
    <t>2006-10-10 05:35:02 EDT</t>
  </si>
  <si>
    <t>2020-06-04 11:17:15 EDT</t>
  </si>
  <si>
    <t>[('CREATED', '2006-10-09 09:15 EDT'), ('martin_aeschlimann', '2006-10-10 05:35:02 EDT', 'martinae'), ('[quick fix] Invoke refactoring on parameter add/remove', '2006-10-10 05:35:02 EDT', 'martinae'), ('eclipse.daniel.aborg', '2007-03-08 17:07:56 EST', 'eclipse.daniel.aborg'), ('jdt-ui-inbox', '2009-01-23 11:17:36 EST', 'daniel_megert'), ('ASSIGNED', '2009-01-23 11:35:24 EST', 'daniel_megert'), ('daniel_megert', '2010-12-06 06:50:05 EST', 'daniel_megert'), ('All', '2010-12-06 06:50:05 EST', 'daniel_megert'), ('All', '2010-12-06 06:50:05 EST', 'daniel_megert'), ('junk', '2010-12-06 06:50:14 EST', 'daniel_megert'), ('chris.leon', '2011-01-11 08:24:22 EST', 'markus.kell.r'), ('markus_keller', '2011-01-11 08:25:23 EST', 'markus.kell.r'), ('[quick fix][change method signature] Invoke refactoring on parameter add/remove', '2011-01-11 08:25:23 EST', 'markus.kell.r'), ('fix candidate', '2011-01-11 08:25:23 EST', 'markus.kell.r'), ('deepak.azad', '2011-07-05 12:48:58 EDT', 'deepakazad'), ('digulla', '2011-09-01 08:41:10 EDT', 'markus.kell.r'), ('register.eclipse', '2017-07-04 09:21:33 EDT', 'register.eclipse'), ('amj87.iitr', '2018-05-07 12:05:50 EDT', 'daniel_megert'), ('sigmund.brotbeck', '2018-05-07 12:06:05 EDT', 'daniel_megert'), (nan, '2020-06-04 11:17:15 EDT', 'register.eclipse')]</t>
  </si>
  <si>
    <t>2006-10-09 11:31:14 EDT</t>
  </si>
  <si>
    <t>2006-10-09 10:49 EDT</t>
  </si>
  <si>
    <t>[('CREATED', '2006-10-09 10:49 EDT'), ('RESOLVED', '2006-10-09 11:31:14 EDT', 'benno.baumgartner'), ('FIXED', '2006-10-09 11:31:14 EDT', 'benno.baumgartner'), ('3.3 M3', '2006-10-09 11:31:14 EDT', 'benno.baumgartner')]</t>
  </si>
  <si>
    <t>2006-10-11 05:17 EDT</t>
  </si>
  <si>
    <t>2006-10-16 06:03:39 EDT</t>
  </si>
  <si>
    <t>2019-12-03 19:48:26 EST</t>
  </si>
  <si>
    <t>[('CREATED', '2006-10-11 05:17 EDT'), ('markus_keller', '2006-10-16 06:03:39 EDT', 'martinae'), ('[introduce parameter] Wrong Location of Content Assist Tip for the newly Introduced Param', '2006-10-16 06:03:39 EDT', 'martinae'), ('stalebug', '2019-12-03 19:48:26 EST', 'genie')]</t>
  </si>
  <si>
    <t>2007-03-26 09:00:00 EDT</t>
  </si>
  <si>
    <t>2007-05-02 11:11:31 EDT</t>
  </si>
  <si>
    <t>2006-10-11 16:32 EDT</t>
  </si>
  <si>
    <t>2006-10-11 16:39:33 EDT</t>
  </si>
  <si>
    <t>[('CREATED', '2006-10-11 16:32 EDT'), ('jdt-ui-inbox', '2006-10-11 16:39:33 EDT', 'Olivier_Thomann'), ('UI', '2006-10-11 16:39:33 EDT', 'Olivier_Thomann'), ('daniel_megert', '2006-10-12 02:50:48 EDT', 'daniel_megert'), ('tobias_widmer', '2006-10-12 07:52:46 EDT', 'martinae'), ('P2', '2006-10-12 07:52:46 EDT', 'martinae'), ('[extract interface] StackOverflowError on extract interface', '2006-10-12 07:52:46 EDT', 'martinae'), ('3.3', '2006-10-12 07:52:46 EDT', 'martinae'), ('hk_eclipse', '2007-02-28 10:57:20 EST', 'hk_eclipse'), ('RESOLVED', '2007-03-26 09:00:00 EDT', 'tobias_widmer'), ('FIXED', '2007-03-26 09:00:00 EDT', 'tobias_widmer'), ('3.3 M7', '2007-03-26 09:00:00 EDT', 'tobias_widmer'), ('VERIFIED', '2007-05-02 11:11:31 EDT', 'benno.baumgartner')]</t>
  </si>
  <si>
    <t>206523 (view as bug list)</t>
  </si>
  <si>
    <t>2010-05-18 09:51:52 EDT</t>
  </si>
  <si>
    <t>2006-10-11 22:11 EDT</t>
  </si>
  <si>
    <t>2006-10-12 03:39:01 EDT</t>
  </si>
  <si>
    <t>[('CREATED', '2006-10-11 22:11 EDT'), ('normal', '2006-10-12 03:39:01 EDT', 'benno.baumgartner'), ('[rename] Overlapping text edits on JavaRenameProcessor.checkFinalConditions', '2006-10-12 03:39:01 EDT', 'benno.baumgartner'), ('dsegall', '2010-05-18 09:50:02 EDT', 'daniel_megert'), ('daniel_megert', '2010-05-18 09:51:30 EDT', 'daniel_megert'), ('RESOLVED', '2010-05-18 09:51:52 EDT', 'daniel_megert'), ('WORKSFORME', '2010-05-18 09:51:52 EDT', 'daniel_megert')]</t>
  </si>
  <si>
    <t>214992 (view as bug list)</t>
  </si>
  <si>
    <t>216884</t>
  </si>
  <si>
    <t>2019-12-22 08:57:20 EST</t>
  </si>
  <si>
    <t>2008-03-11 12:06:42 EDT</t>
  </si>
  <si>
    <t>2006-10-12 14:37 EDT</t>
  </si>
  <si>
    <t>2006-10-12 14:38:57 EDT</t>
  </si>
  <si>
    <t>[('CREATED', '2006-10-12 14:37 EDT'), ('john_arthorne', '2006-10-12 14:38:57 EDT', 'susan'), ('susan_franklin', '2006-10-12 14:38:57 EDT', 'susan'), ('3.3 M3', '2006-10-12 14:39:38 EDT', 'susan'), ('3.3', '2006-10-12 14:42:18 EDT', 'susan'), ('kim_horne', '2006-11-09 14:16:52 EST', 'susan'), ('eclipse', '2007-02-13 10:17:16 EST', 'eclipse'), ('RESOLVED', '2007-04-09 20:08:36 EDT', 'susan'), ('WONTFIX', '2007-04-09 20:08:36 EDT', 'susan'), ('francisu', '2008-01-14 10:00:57 EST', 'susan'), ('REOPENED', '2008-01-14 11:43:43 EST', 'susan'), ('---', '2008-01-14 11:43:43 EST', 'susan'), ('215299', '2008-01-15 17:30:21 EST', 'susan'), ('pwebster', '2008-01-16 10:07:59 EST', 'susan'), ('216884', '2008-01-29 11:34:50 EST', 'susan'), ('martin_aeschlimann', '2008-01-29 12:58:24 EST', 'susan'), ('jdt-ui-inbox', '2008-01-29 12:58:24 EST', 'susan'), ('NEW', '2008-01-29 12:58:24 EST', 'susan'), ('UI', '2008-01-29 12:58:24 EST', 'susan'), ('JDT', '2008-01-29 12:58:24 EST', 'susan'), ('[Undo] [ltk] - Undoing a resource delete does not restore session and persistent properties', '2008-01-29 12:58:24 EST', 'susan'), ('---', '2008-01-29 12:58:24 EST', 'susan'), ('[ltk] - Undoing a resource delete does not restore session and persistent properties', '2008-03-11 11:48:26 EDT', 'martinae'), ('RESOLVED', '2008-03-11 12:03:38 EDT', 'martinae'), ('WONTFIX', '2008-03-11 12:03:38 EDT', 'martinae'), ('REOPENED', '2008-03-11 12:06:42 EDT', 'martinae'), ('---', '2008-03-11 12:06:42 EDT', 'martinae'), ('daniel_megert', '2009-02-04 08:24:59 EST', 'daniel_megert'), ('ASSIGNED', '2009-02-04 08:24:59 EST', 'daniel_megert'), ('All', '2009-02-04 08:24:59 EST', 'daniel_megert'), ('P5', '2009-02-04 08:24:59 EST', 'daniel_megert'), ('All', '2009-02-04 08:24:59 EST', 'daniel_megert'), ('1', '2009-02-04 08:25:01 EST', 'daniel_megert'), ('stalebug', '2019-12-21 19:36:06 EST', 'genie'), ('RESOLVED', '2019-12-22 08:57:20 EST', 'daniel_megert'), (nan, '2019-12-22 08:57:20 EST', 'daniel_megert'), ('WONTFIX', '2019-12-22 08:57:20 EST', 'daniel_megert')]</t>
  </si>
  <si>
    <t>2009-07-13 12:05:56 EDT</t>
  </si>
  <si>
    <t>2009-08-04 06:41:49 EDT</t>
  </si>
  <si>
    <t>2006-10-13 09:04 EDT</t>
  </si>
  <si>
    <t>2006-10-16 09:33:12 EDT</t>
  </si>
  <si>
    <t>2009-08-04 08:41:16 EDT</t>
  </si>
  <si>
    <t>[('CREATED', '2006-10-13 09:04 EDT'), ('ASSIGNED', '2006-10-16 09:33:12 EDT', 'martinae'), ('[extract method] Does not replace similar code in parent class of anonymous class', '2006-10-16 09:33:12 EDT', 'martinae'), ('BrianMiller', '2008-04-08 17:09:43 EDT', 'Brian.Miller'), ('bmuskalla', '2009-06-18 18:57:19 EDT', 'b.muskalla'), ('NEW', '2009-06-18 18:57:19 EDT', 'b.muskalla'), ('markus_keller', '2009-06-18 18:57:19 EDT', 'b.muskalla'), ('RESOLVED', '2009-07-13 12:05:56 EDT', 'markus.kell.r'), ('FIXED', '2009-07-13 12:05:56 EDT', 'markus.kell.r'), ('3.6 M1', '2009-07-13 12:05:56 EDT', 'markus.kell.r'), ('iplog+', '2009-07-13 12:07:25 EDT', 'markus.kell.r'), ('raksha.vasisht', '2009-08-04 04:49:52 EDT', 'raksha.vasisht'), ('VERIFIED', '2009-08-04 06:41:49 EDT', 'markus.kell.r'), ('daniel_megert', '2009-08-04 08:41:16 EDT', 'daniel_megert')]</t>
  </si>
  <si>
    <t>RESOLVED  DUPLICATE  of bug 62593</t>
  </si>
  <si>
    <t>2006-10-20 14:06:59 EDT</t>
  </si>
  <si>
    <t>2006-10-19 04:12 EDT</t>
  </si>
  <si>
    <t>2006-10-19 13:01:55 EDT</t>
  </si>
  <si>
    <t>[('CREATED', '2006-10-19 04:12 EDT'), ('jdt-ui-inbox', '2006-10-19 13:01:55 EDT', 'eclipse'), ('UI', '2006-10-19 13:01:55 EDT', 'eclipse'), ('JDT', '2006-10-19 13:01:55 EDT', 'eclipse'), ('daniel_megert', '2006-10-20 02:44:25 EDT', 'daniel_megert'), ('RESOLVED', '2006-10-20 14:06:59 EDT', 'martinae'), ('DUPLICATE', '2006-10-20 14:06:59 EDT', 'martinae')]</t>
  </si>
  <si>
    <t>2006-10-20 08:19:40 EDT</t>
  </si>
  <si>
    <t>2006-10-20 08:17 EDT</t>
  </si>
  <si>
    <t>[('CREATED', '2006-10-20 08:17 EDT'), ('RESOLVED', '2006-10-20 08:19:40 EDT', 'benno.baumgartner'), ('FIXED', '2006-10-20 08:19:40 EDT', 'benno.baumgartner'), ('3.3 M3', '2006-10-20 08:19:40 EDT', 'benno.baumgartner')]</t>
  </si>
  <si>
    <t>162045</t>
  </si>
  <si>
    <t>2006-10-26 12:09:57 EDT</t>
  </si>
  <si>
    <t>2006-10-23 06:51 EDT</t>
  </si>
  <si>
    <t>2006-10-23 07:13:39 EDT</t>
  </si>
  <si>
    <t>[('CREATED', '2006-10-23 06:51 EDT'), ('1', '2006-10-23 07:13:39 EDT', 'benno.baumgartner'), ('daniel_megert', '2006-10-23 08:05:35 EDT', 'daniel_megert'), ('1', '2006-10-23 13:41:29 EDT', 'benno.baumgartner'), ('1', '2006-10-23 13:41:29 EDT', 'benno.baumgartner'), ('1', '2006-10-23 13:41:29 EDT', 'benno.baumgartner'), ('1', '2006-10-23 13:43:42 EDT', 'benno.baumgartner'), ('162045', '2006-10-24 05:00:22 EDT', 'daniel_megert'), ('bpasero', '2006-10-25 10:05:35 EDT', 'bpasero'), ('[clean up] Clean Up on save', '2006-10-25 11:58:18 EDT', 'benno.baumgartner'), ('1', '2006-10-25 12:13:32 EDT', 'benno.baumgartner'), ('1', '2006-10-26 08:29:48 EDT', 'daniel_megert'), ('1', '2006-10-26 10:57:26 EDT', 'benno.baumgartner'), ('1', '2006-10-26 11:33:42 EDT', 'benno.baumgartner'), ('1', '2006-10-26 11:47:57 EDT', 'benno.baumgartner'), ('1', '2006-10-26 11:47:57 EDT', 'benno.baumgartner'), ('3.3 M3', '2006-10-26 12:09:57 EDT', 'benno.baumgartner'), ('RESOLVED', '2006-10-26 12:09:57 EDT', 'benno.baumgartner'), ('FIXED', '2006-10-26 12:09:57 EDT', 'benno.baumgartner')]</t>
  </si>
  <si>
    <t>RESOLVED  DUPLICATE  of bug 90488</t>
  </si>
  <si>
    <t>2006-10-24 05:26:00 EDT</t>
  </si>
  <si>
    <t>2006-10-23 10:51 EDT</t>
  </si>
  <si>
    <t>2006-10-23 16:24:36 EDT</t>
  </si>
  <si>
    <t>[('CREATED', '2006-10-23 10:51 EDT'), ('jdt-ui-inbox', '2006-10-23 16:24:36 EDT', 'Olivier_Thomann'), ('UI', '2006-10-23 16:24:36 EDT', 'Olivier_Thomann'), ('frederic_fusier', '2006-10-24 04:52:03 EDT', 'frederic_fusier'), ('RESOLVED', '2006-10-24 05:26:00 EDT', 'markus.kell.r'), ('DUPLICATE', '2006-10-24 05:26:00 EDT', 'markus.kell.r')]</t>
  </si>
  <si>
    <t>RESOLVED  DUPLICATE  of bug 83234</t>
  </si>
  <si>
    <t>2006-10-25 09:11:56 EDT</t>
  </si>
  <si>
    <t>2006-10-25 08:35 EDT</t>
  </si>
  <si>
    <t>[('CREATED', '2006-10-25 08:35 EDT'), ('RESOLVED', '2006-10-25 09:11:56 EDT', 'markus.kell.r'), ('DUPLICATE', '2006-10-25 09:11:56 EDT', 'markus.kell.r')]</t>
  </si>
  <si>
    <t>RESOLVED  DUPLICATE  of bug 102020</t>
  </si>
  <si>
    <t>2006-10-26 06:43:33 EDT</t>
  </si>
  <si>
    <t>2006-10-25 22:18 EDT</t>
  </si>
  <si>
    <t>[('CREATED', '2006-10-25 22:18 EDT'), ('RESOLVED', '2006-10-26 06:43:33 EDT', 'markus.kell.r'), ('DUPLICATE', '2006-10-26 06:43:33 EDT', 'markus.kell.r'), ('[convert local] compilation error after covert member type to top level refactoring', '2006-10-26 06:43:33 EDT', 'markus.kell.r')]</t>
  </si>
  <si>
    <t>2006-10-27 11:10:03 EDT</t>
  </si>
  <si>
    <t>2006-10-26 12:07 EDT</t>
  </si>
  <si>
    <t>2006-10-26 12:59:30 EDT</t>
  </si>
  <si>
    <t>2006-10-27 12:40:32 EDT</t>
  </si>
  <si>
    <t>stejsks</t>
  </si>
  <si>
    <t>[('CREATED', '2006-10-26 12:07 EDT'), ('jdt-ui-inbox', '2006-10-26 12:59:30 EDT', 'wassim.melhem'), ('UI', '2006-10-26 12:59:30 EDT', 'wassim.melhem'), ('JDT', '2006-10-26 12:59:30 EDT', 'wassim.melhem'), ('RESOLVED', '2006-10-27 11:10:03 EDT', 'markus.kell.r'), ('WORKSFORME', '2006-10-27 11:10:03 EDT', 'markus.kell.r'), ('CLOSED', '2006-10-27 12:40:32 EDT', 'stejsks')]</t>
  </si>
  <si>
    <t>2006-11-06 11:16:06 EST</t>
  </si>
  <si>
    <t>2006-10-31 09:59 EST</t>
  </si>
  <si>
    <t>2006-10-31 10:46:57 EST</t>
  </si>
  <si>
    <t>[('CREATED', '2006-10-31 09:59 EST'), ('markus_keller', '2006-10-31 10:46:57 EST', 'markus.kell.r'), ('[refactoring] Refactoring preview: should not mark CU children as derived', '2006-10-31 10:46:57 EST', 'markus.kell.r'), ('3.3 M4', '2006-10-31 10:46:57 EST', 'markus.kell.r'), ('RESOLVED', '2006-11-06 11:16:06 EST', 'markus.kell.r'), ('FIXED', '2006-11-06 11:16:06 EST', 'markus.kell.r')]</t>
  </si>
  <si>
    <t>2006-11-06 10:23:14 EST</t>
  </si>
  <si>
    <t>2006-10-31 10:16 EST</t>
  </si>
  <si>
    <t>2006-10-31 10:47:43 EST</t>
  </si>
  <si>
    <t>[('CREATED', '2006-10-31 10:16 EST'), ('markus_keller', '2006-10-31 10:47:43 EST', 'markus.kell.r'), ('[refactoring] Refactoring filter: radio group items should not be separated', '2006-10-31 10:47:43 EST', 'markus.kell.r'), ('3.3 M4', '2006-10-31 10:47:43 EST', 'markus.kell.r'), ('FIXED', '2006-11-06 10:23:14 EST', 'markus.kell.r'), ('RESOLVED', '2006-11-06 10:23:14 EST', 'markus.kell.r')]</t>
  </si>
  <si>
    <t>2006-10-31 10:18 EST</t>
  </si>
  <si>
    <t>2006-10-31 10:50:05 EST</t>
  </si>
  <si>
    <t>2019-08-29 06:10:39 EDT</t>
  </si>
  <si>
    <t>[('CREATED', '2006-10-31 10:18 EST'), ('[rename] refactoring in non-java files misses *.java files which are not on the build path', '2006-10-31 10:50:05 EST', 'markus.kell.r'), ('markus_keller', '2006-10-31 10:50:05 EST', 'markus.kell.r'), ('markus_keller', '2006-10-31 10:50:05 EST', 'markus.kell.r'), ('stalebug', '2019-08-28 16:45:27 EDT', 'genie'), ('jdt-ui-inbox', '2019-08-29 06:10:39 EDT', 'daniel_megert'), (nan, '2019-08-29 06:10:39 EDT', 'daniel_megert')]</t>
  </si>
  <si>
    <t>2006-11-06 12:24:32 EST</t>
  </si>
  <si>
    <t>2006-10-31 10:21 EST</t>
  </si>
  <si>
    <t>2006-10-31 10:50:29 EST</t>
  </si>
  <si>
    <t>[('CREATED', '2006-10-31 10:21 EST'), ('markus_keller', '2006-10-31 10:50:29 EST', 'markus.kell.r'), ('[refactoring] Rename preview: should see if derived things are filtered', '2006-10-31 10:50:29 EST', 'markus.kell.r'), ('3.3 M4', '2006-10-31 10:50:29 EST', 'markus.kell.r'), ('RESOLVED', '2006-11-06 12:24:32 EST', 'markus.kell.r'), ('FIXED', '2006-11-06 12:24:32 EST', 'markus.kell.r')]</t>
  </si>
  <si>
    <t>2006-11-29 10:22:16 EST</t>
  </si>
  <si>
    <t>2006-11-01 09:49 EST</t>
  </si>
  <si>
    <t>2006-11-02 13:49:36 EST</t>
  </si>
  <si>
    <t>[('CREATED', '2006-11-01 09:49 EST'), ('martin_aeschlimann', '2006-11-02 13:49:36 EST', 'markus.kell.r'), ('3.3 M4', '2006-11-02 13:49:36 EST', 'markus.kell.r'), ('RESOLVED', '2006-11-29 10:22:16 EST', 'martinae'), ('FIXED', '2006-11-29 10:22:16 EST', 'martinae')]</t>
  </si>
  <si>
    <t>2019-12-27 09:07:20 EST</t>
  </si>
  <si>
    <t>2006-11-02 12:16 EST</t>
  </si>
  <si>
    <t>2006-11-02 14:00:55 EST</t>
  </si>
  <si>
    <t>[('CREATED', '2006-11-02 12:16 EST'), ('markus_keller', '2006-11-02 14:00:55 EST', 'markus.kell.r'), ('platform-team-inbox', '2006-11-02 14:00:55 EST', 'markus.kell.r'), ('Team', '2006-11-02 14:00:55 EST', 'markus.kell.r'), ('Platform', '2006-11-02 14:00:55 EST', 'markus.kell.r'), ('UI', '2006-11-20 10:44:18 EST', 'valentam'), ('JDT', '2006-11-20 10:44:18 EST', 'valentam'), ('Michael_Valenta', '2006-11-20 10:44:18 EST', 'valentam'), ('jdt-ui-inbox', '2006-11-20 10:44:18 EST', 'valentam'), ('daniel_megert', '2006-11-21 02:45:14 EST', 'daniel_megert'), ('ASSIGNED', '2006-11-21 05:55:40 EST', 'martinae'), ('[actions] Organize Imports action is disabled when java file selected in synchornize view', '2006-11-21 05:55:40 EST', 'martinae'), ('[actions] Organize Imports action is disabled when java file selected in synchronize view', '2006-11-22 08:08:06 EST', 'markus.kell.r'), ('stalebug', '2019-12-22 18:53:38 EST', 'genie'), ('WONTFIX', '2019-12-27 09:07:20 EST', 'daniel_megert'), (nan, '2019-12-27 09:07:20 EST', 'daniel_megert'), ('RESOLVED', '2019-12-27 09:07:20 EST', 'daniel_megert')]</t>
  </si>
  <si>
    <t>2006-11-03 13:48:49 EST</t>
  </si>
  <si>
    <t>2006-11-03 12:20 EST</t>
  </si>
  <si>
    <t>[('CREATED', '2006-11-03 12:20 EST'), ('RESOLVED', '2006-11-03 13:48:49 EST', 'markus.kell.r'), ('DUPLICATE', '2006-11-03 13:48:49 EST', 'markus.kell.r'), ('[clean up] Assertion failure on preview page in clean up wizard', '2006-11-03 13:48:49 EST', 'markus.kell.r')]</t>
  </si>
  <si>
    <t>2007-06-01 08:44:15 EDT</t>
  </si>
  <si>
    <t>2006-11-07 04:34 EST</t>
  </si>
  <si>
    <t>2006-11-07 04:44:15 EST</t>
  </si>
  <si>
    <t>[('CREATED', '2006-11-07 04:34 EST'), ('daniel_megert', '2006-11-07 04:44:15 EST', 'daniel_megert'), ('jdt-ui-inbox', '2006-11-07 04:44:15 EST', 'daniel_megert'), ('UI', '2006-11-07 04:44:15 EST', 'daniel_megert'), ('JDT', '2006-11-07 04:44:15 EST', 'daniel_megert'), ('martin_aeschlimann', '2006-11-10 04:13:00 EST', 'martinae'), ('[quick assist] AssertionFailedException on TextEdit.internalSetLength', '2006-11-10 04:13:00 EST', 'martinae'), ('david.green', '2007-05-31 16:29:15 EDT', 'greensopinion'), ('benno_baumgartner', '2007-06-01 06:57:26 EDT', 'martinae'), ('martin_aeschlimann', '2007-06-01 06:57:26 EDT', 'martinae'), ('RESOLVED', '2007-06-01 08:44:15 EDT', 'benno.baumgartner'), ('WORKSFORME', '2007-06-01 08:44:15 EDT', 'benno.baumgartner')]</t>
  </si>
  <si>
    <t>RESOLVED  DUPLICATE  of bug 153055</t>
  </si>
  <si>
    <t>2007-02-14 07:03:52 EST</t>
  </si>
  <si>
    <t>2006-11-08 04:04 EST</t>
  </si>
  <si>
    <t>2006-11-10 05:23:55 EST</t>
  </si>
  <si>
    <t>[('CREATED', '2006-11-08 04:04 EST'), ('markus_keller', '2006-11-10 05:23:55 EST', 'martinae'), ('DUPLICATE', '2007-02-14 07:03:52 EST', 'markus.kell.r'), ('RESOLVED', '2007-02-14 07:03:52 EST', 'markus.kell.r')]</t>
  </si>
  <si>
    <t>2006-11-10 06:12:46 EST</t>
  </si>
  <si>
    <t>2006-11-09 10:13 EST</t>
  </si>
  <si>
    <t>[('CREATED', '2006-11-09 10:13 EST'), ('RESOLVED', '2006-11-10 06:12:46 EST', 'martinae'), ('DUPLICATE', '2006-11-10 06:12:46 EST', 'martinae')]</t>
  </si>
  <si>
    <t>2006-11-14 06:04:28 EST</t>
  </si>
  <si>
    <t>2006-11-10 08:40 EST</t>
  </si>
  <si>
    <t>2006-11-13 04:18:10 EST</t>
  </si>
  <si>
    <t>[('CREATED', '2006-11-10 08:40 EST'), ('markus_keller', '2006-11-13 04:18:10 EST', 'martinae'), ('[extract method] NPE when extracting method out of unresolved anonymous type', '2006-11-13 04:18:10 EST', 'martinae'), ('3.3', '2006-11-13 04:18:10 EST', 'martinae'), ('3.3 M4', '2006-11-14 06:04:28 EST', 'markus.kell.r'), ('RESOLVED', '2006-11-14 06:04:28 EST', 'markus.kell.r'), ('FIXED', '2006-11-14 06:04:28 EST', 'markus.kell.r')]</t>
  </si>
  <si>
    <t>RESOLVED  DUPLICATE  of bug 157479</t>
  </si>
  <si>
    <t>167945 168085 (view as bug list)</t>
  </si>
  <si>
    <t>2007-01-10 09:54:27 EST</t>
  </si>
  <si>
    <t>2006-11-10 13:49 EST</t>
  </si>
  <si>
    <t>2006-11-14 12:06:58 EST</t>
  </si>
  <si>
    <t>[('CREATED', '2006-11-10 13:49 EST'), ('[refactoring scripts] Copy/Paste a dtd file from a Java project inside a simple project causes an internal error', '2006-11-14 12:06:58 EST', 'martinae'), ('3.3', '2006-11-14 12:06:58 EST', 'martinae'), ('tobias_widmer', '2006-11-14 12:06:58 EST', 'martinae'), ('Karice_McIntyre', '2006-12-14 12:20:57 EST', 'Olivier_Thomann'), ('dj_houghton', '2006-12-19 08:29:14 EST', 'martinae'), ('RESOLVED', '2007-01-10 09:54:27 EST', 'Olivier_Thomann'), ('DUPLICATE', '2007-01-10 09:54:27 EST', 'Olivier_Thomann')]</t>
  </si>
  <si>
    <t>2006-11-17 07:40 EST</t>
  </si>
  <si>
    <t>2006-11-17 07:41:52 EST</t>
  </si>
  <si>
    <t>2007-06-14 10:45:22 EDT</t>
  </si>
  <si>
    <t>[('CREATED', '2006-11-17 07:40 EST'), ('[move static members] enhance validation process', '2006-11-17 07:41:52 EST', 'Bartosz.Kowalewski'), ('tobias_widmer', '2006-11-17 10:48:34 EST', 'martinae'), ('Additional validation', '2006-11-20 06:29:59 EST', 'Bartosz.Kowalewski'), ('jdt-ui-inbox', '2007-06-14 10:45:22 EDT', 'martinae')]</t>
  </si>
  <si>
    <t>2010-01-08 03:09:56 EST</t>
  </si>
  <si>
    <t>2006-11-17 10:07 EST</t>
  </si>
  <si>
    <t>2006-11-21 09:14:19 EST</t>
  </si>
  <si>
    <t>[('CREATED', '2006-11-17 10:07 EST'), ('JDT', '2006-11-21 09:14:19 EST', 'Tod_Creasey'), ('jdt-ui-inbox', '2006-11-21 09:14:19 EST', 'Tod_Creasey'), ('UI', '2006-11-21 09:14:19 EST', 'Tod_Creasey'), ('martin_aeschlimann', '2006-11-22 05:26:32 EST', 'martinae'), ('[extract method] Suggestion for Improve refactoring tools', '2006-11-22 05:26:32 EST', 'martinae'), ('carm', '2009-11-19 03:17:11 EST', 'carm'), ('RESOLVED', '2010-01-08 03:09:56 EST', 'daniel_megert'), ('daniel_megert', '2010-01-08 03:09:56 EST', 'daniel_megert'), ('INVALID', '2010-01-08 03:09:56 EST', 'daniel_megert')]</t>
  </si>
  <si>
    <t>165064 (view as bug list)</t>
  </si>
  <si>
    <t>2007-11-29 07:19:31 EST</t>
  </si>
  <si>
    <t>2006-11-17 20:24 EST</t>
  </si>
  <si>
    <t>2006-11-21 13:16:54 EST</t>
  </si>
  <si>
    <t>[('CREATED', '2006-11-17 20:24 EST'), ('platform-runtime-inbox', '2006-11-21 13:16:54 EST', 'Tod_Creasey'), ('Runtime', '2006-11-21 13:16:54 EST', 'Tod_Creasey'), ('Michael_Valenta', '2006-11-22 12:34:51 EST', 'john.arthorne'), ('platform-resources-inbox', '2006-11-22 12:34:51 EST', 'john.arthorne'), ('Resources', '2006-11-22 12:34:51 EST', 'john.arthorne'), ('Szymon.Brandys', '2007-11-26 11:07:52 EST', 'Szymon.Brandys'), ('Szymon.Brandys', '2007-11-26 11:07:52 EST', 'Szymon.Brandys'), ('UI', '2007-11-27 04:43:35 EST', 'Szymon.Brandys'), ('JDT', '2007-11-27 04:43:35 EST', 'Szymon.Brandys'), ('3.4', '2007-11-27 04:43:35 EST', 'Szymon.Brandys'), ('martin_aeschlimann', '2007-11-27 04:45:26 EST', 'Szymon.Brandys'), ('RESOLVED', '2007-11-29 07:19:31 EST', 'martinae'), ('FIXED', '2007-11-29 07:19:31 EST', 'martinae'), ('[reorg] Two confirmation dialogs displayed when using model provider in Eclipse', '2007-11-29 07:19:31 EST', 'martinae'), ('3.4 M4', '2007-11-29 07:19:31 EST', 'martinae')]</t>
  </si>
  <si>
    <t>2006-11-21 03:37:36 EST</t>
  </si>
  <si>
    <t>2006-11-18 08:25 EST</t>
  </si>
  <si>
    <t>2006-11-20 11:36:24 EST</t>
  </si>
  <si>
    <t>2007-07-29 09:21:10 EDT</t>
  </si>
  <si>
    <t>[('CREATED', '2006-11-18 08:25 EST'), ('martin_aeschlimann', '2006-11-20 11:36:24 EST', 'martinae'), ('WORKSFORME', '2006-11-21 03:37:36 EST', 'martinae'), ('RESOLVED', '2006-11-21 03:37:36 EST', 'martinae'), ('Mac OS X', '2007-07-29 09:21:10 EDT', 'webmaster')]</t>
  </si>
  <si>
    <t>2006-11-22 05:44:18 EST</t>
  </si>
  <si>
    <t>2006-11-20 12:12 EST</t>
  </si>
  <si>
    <t>2006-11-20 12:13:09 EST</t>
  </si>
  <si>
    <t>[('CREATED', '2006-11-20 12:12 EST'), ('3.2.1', '2006-11-20 12:13:09 EST', 'koshin.mariano'), ('JDT', '2006-11-21 14:00:02 EST', 'Tod_Creasey'), ('jdt-ui-inbox', '2006-11-21 14:00:02 EST', 'Tod_Creasey'), ('UI', '2006-11-21 14:00:02 EST', 'Tod_Creasey'), ('RESOLVED', '2006-11-22 05:44:18 EST', 'martinae'), ('DUPLICATE', '2006-11-22 05:44:18 EST', 'martinae'), ('[refactoring scripts] Refactoring History property page appears in list of property pages for the first time.', '2006-11-22 05:44:18 EST', 'martinae')]</t>
  </si>
  <si>
    <t>2006-11-21 07:04:52 EST</t>
  </si>
  <si>
    <t>2009-08-30 02:13:45 EDT</t>
  </si>
  <si>
    <t>2006-11-21 05:12 EST</t>
  </si>
  <si>
    <t>2006-11-21 05:25:03 EST</t>
  </si>
  <si>
    <t>[('CREATED', '2006-11-21 05:12 EST'), ('Refactoring: allow to inline constant interface', '2006-11-21 05:25:03 EST', 'daniel_megert'), ('RESOLVED', '2006-11-21 07:04:52 EST', 'martinae'), ('LATER', '2006-11-21 07:04:52 EST', 'martinae'), ('[refactoring] [dcr] allow to inline constant interface', '2006-11-21 07:05:32 EST', 'martinae'), ('WONTFIX', '2009-08-30 02:13:45 EDT', 'denis.roy')]</t>
  </si>
  <si>
    <t>166963</t>
  </si>
  <si>
    <t>2007-04-02 10:01:53 EDT</t>
  </si>
  <si>
    <t>2006-11-24 03:55 EST</t>
  </si>
  <si>
    <t>2006-11-24 08:27:59 EST</t>
  </si>
  <si>
    <t>[('CREATED', '2006-11-24 03:55 EST'), ('markus_keller', '2006-11-24 08:27:59 EST', 'martinae'), ('[inline] Inline local in constructor with compile error does remove code', '2006-11-24 08:27:59 EST', 'martinae'), ('166963', '2006-12-06 10:06:18 EST', 'markus.kell.r'), ('martin_aeschlimann', '2006-12-06 10:21:39 EST', 'markus.kell.r'), ('RESOLVED', '2007-04-02 10:01:53 EDT', 'markus.kell.r'), ('FIXED', '2007-04-02 10:01:53 EDT', 'markus.kell.r'), ('3.3 M7', '2007-04-02 10:01:53 EDT', 'markus.kell.r')]</t>
  </si>
  <si>
    <t>165801 (view as bug list)</t>
  </si>
  <si>
    <t>2006-11-28 10:16:14 EST</t>
  </si>
  <si>
    <t>2006-11-24 12:52:58 EST</t>
  </si>
  <si>
    <t>2006-11-24 13:12:05 EST</t>
  </si>
  <si>
    <t>2006-11-24 09:59 EST</t>
  </si>
  <si>
    <t>2006-11-24 10:01:27 EST</t>
  </si>
  <si>
    <t>[('CREATED', '2006-11-24 09:59 EST'), ('jdt-ui-inbox', '2006-11-24 10:01:27 EST', 'Olivier_Thomann'), ('UI', '2006-11-24 10:01:27 EST', 'Olivier_Thomann'), ('RESOLVED', '2006-11-24 12:52:58 EST', 'frederic_fusier'), ('INVALID', '2006-11-24 12:52:58 EST', 'frederic_fusier'), ('frederic_fusier', '2006-11-24 12:52:58 EST', 'frederic_fusier'), ('REOPENED', '2006-11-24 13:12:05 EST', 'peblpebl'), ('---', '2006-11-24 13:12:05 EST', 'peblpebl'), ('markus_keller', '2006-11-28 10:16:14 EST', 'markus.kell.r'), ('RESOLVED', '2006-11-28 10:16:14 EST', 'markus.kell.r'), ('WORKSFORME', '2006-11-28 10:16:14 EST', 'markus.kell.r'), ('[rename] Renaming (Refactoring) a field variable may change unrelated wrong javadoc @param', '2006-11-28 10:16:14 EST', 'markus.kell.r')]</t>
  </si>
  <si>
    <t>2007-07-03 06:51:21 EDT</t>
  </si>
  <si>
    <t>2006-11-27 16:24 EST</t>
  </si>
  <si>
    <t>2007-06-21 10:46:07 EDT</t>
  </si>
  <si>
    <t>[('CREATED', '2006-11-27 16:24 EST'), ('jdt-ui-inbox', '2007-06-21 10:46:07 EDT', 'Tod_Creasey'), ('UI', '2007-06-21 10:46:07 EDT', 'Tod_Creasey'), ('JDT', '2007-06-21 10:46:07 EDT', 'Tod_Creasey'), ('RESOLVED', '2007-07-03 06:51:21 EDT', 'martinae'), ('INVALID', '2007-07-03 06:51:21 EDT', 'martinae')]</t>
  </si>
  <si>
    <t>2007-04-19 05:59:49 EDT</t>
  </si>
  <si>
    <t>2006-11-28 09:00 EST</t>
  </si>
  <si>
    <t>2006-11-28 09:11:19 EST</t>
  </si>
  <si>
    <t>[('CREATED', '2006-11-28 09:00 EST'), ('markus_keller', '2006-11-28 09:11:19 EST', 'markus.kell.r'), ('tobias_widmer', '2006-11-28 09:11:19 EST', 'markus.kell.r'), ('[pull up] NPE in PullUpRefactoringProcessor.checkAccesses', '2006-11-28 09:11:19 EST', 'markus.kell.r'), ('3.3 M5', '2006-11-28 09:11:19 EST', 'markus.kell.r'), ('3.3 M6', '2007-02-07 05:06:30 EST', 'markus.kell.r'), ('3.3', '2007-02-16 04:05:10 EST', 'martinae'), ('P1', '2007-02-16 04:06:20 EST', 'martinae'), ('RESOLVED', '2007-04-19 05:59:49 EDT', 'tobias_widmer'), ('WORKSFORME', '2007-04-19 05:59:49 EDT', 'tobias_widmer'), ('3.3 M7', '2007-04-19 05:59:49 EDT', 'tobias_widmer')]</t>
  </si>
  <si>
    <t>255058 (view as bug list)</t>
  </si>
  <si>
    <t>2020-03-27 08:48:08 EDT</t>
  </si>
  <si>
    <t>2006-11-29 04:42 EST</t>
  </si>
  <si>
    <t>2006-11-29 06:36:39 EST</t>
  </si>
  <si>
    <t>[('CREATED', '2006-11-29 04:42 EST'), ('markus_keller', '2006-11-29 06:36:39 EST', 'martinae'), ('[infer type arguments] Does nothing for array type declaration', '2006-11-29 06:36:39 EST', 'martinae'), ('[infer type arguments] Is broken for arrays', '2007-12-12 09:37:04 EST', 'benno.baumgartner'), ('212750', '2007-12-12 09:41:15 EST', 'benno.baumgartner'), ('private', '2008-11-13 03:32:51 EST', 'daniel_megert'), ('CLOSED', '2020-03-27 08:48:08 EDT', 'genie'), ('WONTFIX', '2020-03-27 08:48:08 EDT', 'genie'), ('stalebug', '2020-03-27 08:48:08 EDT', 'genie')]</t>
  </si>
  <si>
    <t>2006-11-29 07:17:55 EST</t>
  </si>
  <si>
    <t>2006-11-29 07:14 EST</t>
  </si>
  <si>
    <t>[('CREATED', '2006-11-29 07:14 EST'), ('RESOLVED', '2006-11-29 07:17:55 EST', 'markus.kell.r'), ('FIXED', '2006-11-29 07:17:55 EST', 'markus.kell.r'), ('3.3 M4', '2006-11-29 07:17:55 EST', 'markus.kell.r')]</t>
  </si>
  <si>
    <t>2006-11-29 13:12:59 EST</t>
  </si>
  <si>
    <t>2006-11-30 05:13:09 EST</t>
  </si>
  <si>
    <t>2006-11-29 12:22 EST</t>
  </si>
  <si>
    <t>2006-11-29 12:37:44 EST</t>
  </si>
  <si>
    <t>[('CREATED', '2006-11-29 12:22 EST'), ('markus_keller', '2006-11-29 12:37:44 EST', 'markus.kell.r'), ('3.3 M4', '2006-11-29 12:37:44 EST', 'markus.kell.r'), ('RESOLVED', '2006-11-29 13:12:59 EST', 'markus.kell.r'), ('FIXED', '2006-11-29 13:12:59 EST', 'markus.kell.r'), ('daniel_megert', '2006-11-30 02:44:36 EST', 'daniel_megert'), ('VERIFIED', '2006-11-30 05:13:09 EST', 'markus.kell.r')]</t>
  </si>
  <si>
    <t>139672 (view as bug list)</t>
  </si>
  <si>
    <t>2006-12-05 03:19:24 EST</t>
  </si>
  <si>
    <t>2006-12-01 04:01 EST</t>
  </si>
  <si>
    <t>2006-12-01 08:34:29 EST</t>
  </si>
  <si>
    <t>[('CREATED', '2006-12-01 04:01 EST'), ('jdt-ui-inbox', '2006-12-01 08:34:29 EST', 'Olivier_Thomann'), ('UI', '2006-12-01 08:34:29 EST', 'Olivier_Thomann'), ("[refactoring] source excludes are not updated during 'rename package'", '2006-12-01 08:34:29 EST', 'Olivier_Thomann'), ('martin_aeschlimann', '2006-12-05 03:19:24 EST', 'martinae'), ('RESOLVED', '2006-12-05 03:19:24 EST', 'martinae'), ('WONTFIX', '2006-12-05 03:19:24 EST', 'martinae'), ('eclipse', '2009-07-28 12:47:36 EDT', 'markus.kell.r')]</t>
  </si>
  <si>
    <t>2006-12-04 21:50 EST</t>
  </si>
  <si>
    <t>2006-12-05 02:55:08 EST</t>
  </si>
  <si>
    <t>2019-10-02 19:39:30 EDT</t>
  </si>
  <si>
    <t>[('CREATED', '2006-12-04 21:50 EST'), ('UI', '2006-12-05 02:55:08 EST', 'frederic_fusier'), ('jdt-ui-inbox', '2006-12-05 02:55:08 EST', 'frederic_fusier'), ("[refactoring scripts] Refactoring script can't be applied to dependent projects", '2006-12-11 11:43:22 EST', 'martinae'), ('tobias_widmer', '2006-12-11 12:29:42 EST', 'martinae'), ('normal', '2006-12-11 12:29:42 EST', 'martinae'), ('jdt-ui-inbox', '2007-06-14 10:46:51 EDT', 'martinae'), ('stalebug', '2019-10-02 19:39:30 EDT', 'genie')]</t>
  </si>
  <si>
    <t>2006-12-14 09:06:47 EST</t>
  </si>
  <si>
    <t>2006-12-08 14:17 EST</t>
  </si>
  <si>
    <t>2006-12-14 09:06:23 EST</t>
  </si>
  <si>
    <t>[('CREATED', '2006-12-08 14:17 EST'), ('martin_aeschlimann', '2006-12-14 09:06:23 EST', 'martinae'), ('[quick fix] add @Deprecated annotation to deprecated methods', '2006-12-14 09:06:23 EST', 'martinae'), ('3.3 M5', '2006-12-14 09:06:47 EST', 'martinae'), ('RESOLVED', '2006-12-14 09:06:47 EST', 'martinae'), ('FIXED', '2006-12-14 09:06:47 EST', 'martinae')]</t>
  </si>
  <si>
    <t>2020-02-19 10:29:12 EST</t>
  </si>
  <si>
    <t>2006-12-11 16:23 EST</t>
  </si>
  <si>
    <t>2006-12-13 09:20:56 EST</t>
  </si>
  <si>
    <t>[('CREATED', '2006-12-11 16:23 EST'), ('martin_aeschlimann', '2006-12-13 09:20:56 EST', 'martinae'), ('[quick fix] Rename renames too much for duplicate local types', '2006-12-13 09:20:56 EST', 'martinae'), ('jdt-ui-inbox', '2009-01-23 11:12:30 EST', 'daniel_megert'), ('ASSIGNED', '2009-01-23 11:27:07 EST', 'daniel_megert'), ('milos.gligoric', '2012-11-28 23:26:18 EST', 'milos.gligoric'), ('eclipse', '2014-03-13 16:02:57 EDT', 'eclipse'), ('stalebug', '2020-02-19 10:29:12 EST', 'genie'), ('WONTFIX', '2020-02-19 10:29:12 EST', 'genie'), ('CLOSED', '2020-02-19 10:29:12 EST', 'genie')]</t>
  </si>
  <si>
    <t>2010-07-13 04:02:30 EDT</t>
  </si>
  <si>
    <t>2010-06-18 03:06:47 EDT</t>
  </si>
  <si>
    <t>2006-12-12 06:33 EST</t>
  </si>
  <si>
    <t>2006-12-13 09:45:09 EST</t>
  </si>
  <si>
    <t>[('CREATED', '2006-12-12 06:33 EST'), ('tobias_widmer', '2006-12-13 09:45:09 EST', 'martinae'), ('[convert anonymous] does not store settings', '2006-12-13 09:45:09 EST', 'martinae'), ('jdt-ui-inbox', '2007-06-14 10:42:09 EDT', 'martinae'), ('ASSIGNED', '2010-06-10 10:23:12 EDT', 'daniel_megert'), ('All', '2010-06-10 10:23:12 EDT', 'daniel_megert'), ('All', '2010-06-10 10:23:12 EDT', 'daniel_megert'), ('minor', '2010-06-10 10:23:12 EDT', 'daniel_megert'), ('markus_keller', '2010-06-14 07:11:36 EDT', 'markus.kell.r'), ('raksha.vasisht', '2010-06-14 07:11:36 EDT', 'markus.kell.r'), ('RESOLVED', '2010-06-17 14:34:43 EDT', 'raksha.vasisht'), ('FIXED', '2010-06-17 14:34:43 EDT', 'raksha.vasisht'), ('3.7 M1', '2010-06-17 14:34:43 EDT', 'raksha.vasisht'), ('REOPENED', '2010-06-18 03:06:47 EDT', 'daniel_megert'), ('---', '2010-06-18 03:06:47 EDT', 'daniel_megert'), ('ASSIGNED', '2010-06-22 08:07:04 EDT', 'markus.kell.r'), ('RESOLVED', '2010-07-13 04:02:30 EDT', 'raksha.vasisht'), ('FIXED', '2010-07-13 04:02:30 EDT', 'raksha.vasisht')]</t>
  </si>
  <si>
    <t>2006-12-12 06:36 EST</t>
  </si>
  <si>
    <t>2006-12-13 10:08:15 EST</t>
  </si>
  <si>
    <t>2020-01-03 07:48:44 EST</t>
  </si>
  <si>
    <t>[('CREATED', '2006-12-12 06:36 EST'), ('martin_aeschlimann', '2006-12-13 10:08:15 EST', 'martinae'), ("[quick assist] 'Convert anonymous to nested class': make static if possinble", '2006-12-13 10:08:15 EST', 'martinae'), ('jdt-ui-inbox', '2009-01-23 11:12:32 EST', 'daniel_megert'), ('ASSIGNED', '2009-01-23 11:27:09 EST', 'daniel_megert'), ('stalebug', '2020-01-02 16:45:24 EST', 'genie'), (nan, '2020-01-03 07:41:39 EST', 'daniel_megert'), ("[quick assist] 'Convert anonymous to nested class': make static if possible", '2020-01-03 07:48:44 EST', 'daniel_megert')]</t>
  </si>
  <si>
    <t>2006-12-15 15:47:14 EST</t>
  </si>
  <si>
    <t>2006-12-12 14:23 EST</t>
  </si>
  <si>
    <t>2006-12-15 15:46:56 EST</t>
  </si>
  <si>
    <t>[('CREATED', '2006-12-12 14:23 EST'), ('martin_aeschlimann', '2006-12-15 15:46:56 EST', 'martinae'), ('3.3 M5', '2006-12-15 15:46:56 EST', 'martinae'), ('FIXED', '2006-12-15 15:47:14 EST', 'martinae'), ('RESOLVED', '2006-12-15 15:47:14 EST', 'martinae')]</t>
  </si>
  <si>
    <t>2007-01-03 08:23:05 EST</t>
  </si>
  <si>
    <t>2006-12-13 06:20 EST</t>
  </si>
  <si>
    <t>2006-12-15 16:51:23 EST</t>
  </si>
  <si>
    <t>2007-01-03 13:17:23 EST</t>
  </si>
  <si>
    <t>[('CREATED', '2006-12-13 06:20 EST'), ('markus_keller', '2006-12-15 16:51:23 EST', 'martinae'), ('[rename] Refactoring no longer allows refactoring to an existing name', '2006-12-15 16:51:23 EST', 'martinae'), ('RESOLVED', '2007-01-03 08:23:05 EST', 'markus.kell.r'), ('FIXED', '2007-01-03 08:23:05 EST', 'markus.kell.r'), ('3.3 M5', '2007-01-03 08:23:05 EST', 'markus.kell.r'), ('[rename] Rename field does not allow refactoring to an existing name', '2007-01-03 13:17:23 EST', 'markus.kell.r')]</t>
  </si>
  <si>
    <t>RESOLVED  DUPLICATE  of bug 164156</t>
  </si>
  <si>
    <t>2006-12-19 08:29:14 EST</t>
  </si>
  <si>
    <t>2006-12-13 15:13 EST</t>
  </si>
  <si>
    <t>[('CREATED', '2006-12-13 15:13 EST'), ('RESOLVED', '2006-12-19 08:29:14 EST', 'martinae'), ('DUPLICATE', '2006-12-19 08:29:14 EST', 'martinae')]</t>
  </si>
  <si>
    <t>2006-12-21 08:30 EST</t>
  </si>
  <si>
    <t>2006-12-22 05:58:41 EST</t>
  </si>
  <si>
    <t>2019-11-24 04:46:05 EST</t>
  </si>
  <si>
    <t>[('CREATED', '2006-12-21 08:30 EST'), ('markus_keller', '2006-12-22 05:58:41 EST', 'martinae'), ('[refactoring] strange delete behavior when resource has been deleted or modidied outside', '2006-12-22 05:58:41 EST', 'martinae'), ('stalebug', '2019-11-24 04:46:05 EST', 'genie')]</t>
  </si>
  <si>
    <t>171076 (view as bug list)</t>
  </si>
  <si>
    <t>2007-01-24 03:51:17 EST</t>
  </si>
  <si>
    <t>2007-02-10 17:54:32 EST</t>
  </si>
  <si>
    <t>2006-12-22 17:13 EST</t>
  </si>
  <si>
    <t>2007-01-02 21:11:50 EST</t>
  </si>
  <si>
    <t>2007-07-02 18:44:16 EDT</t>
  </si>
  <si>
    <t>[('CREATED', '2006-12-22 17:13 EST'), ('1', '2007-01-02 21:11:50 EST', 'alex.blewitt'), ('1', '2007-01-02 21:11:50 EST', 'alex.blewitt'), ('1', '2007-01-02 21:13:10 EST', 'alex.blewitt'), ('Provide CleanUp for Sort Members (patch included)', '2007-01-02 21:13:28 EST', 'alex.blewitt'), ('benno_baumgartner', '2007-01-03 12:42:48 EST', 'martinae'), ('[clean up] Provide Sort Members', '2007-01-04 05:17:23 EST', 'benno.baumgartner'), ('1', '2007-01-04 20:19:39 EST', 'alex.blewitt'), ('1', '2007-01-17 16:27:50 EST', 'alex.blewitt'), ('171066', '2007-01-19 11:18:42 EST', 'benno.baumgartner'), (nan, '2007-01-19 11:26:30 EST', 'benno.baumgartner'), ('sarcher', '2007-01-19 12:11:23 EST', 'benno.baumgartner'), ('1', '2007-01-24 03:50:01 EST', 'benno.baumgartner'), ('1', '2007-01-24 03:50:01 EST', 'benno.baumgartner'), ('1', '2007-01-24 03:50:01 EST', 'benno.baumgartner'), ('RESOLVED', '2007-01-24 03:51:17 EST', 'benno.baumgartner'), ('FIXED', '2007-01-24 03:51:17 EST', 'benno.baumgartner'), ('3.3 M5', '2007-01-24 03:51:17 EST', 'benno.baumgartner'), ('contributed', '2007-01-24 03:51:59 EST', 'benno.baumgartner'), ('markus_keller', '2007-01-29 12:34:51 EST', 'markus.kell.r'), ('VERIFIED', '2007-02-10 17:54:32 EST', 'alex.blewitt'), ('CLOSED', '2007-07-02 18:44:16 EDT', 'alex.blewitt')]</t>
  </si>
  <si>
    <t>2007-07-03 11:41:36 EDT</t>
  </si>
  <si>
    <t>2006-12-27 07:51 EST</t>
  </si>
  <si>
    <t>2007-06-21 09:01:11 EDT</t>
  </si>
  <si>
    <t>[('CREATED', '2006-12-27 07:51 EST'), ('JDT', '2007-06-21 09:01:11 EDT', 'Tod_Creasey'), ('jdt-text-inbox', '2007-06-21 09:01:11 EDT', 'Tod_Creasey'), ('Text', '2007-06-21 09:01:11 EDT', 'Tod_Creasey'), ('daniel_megert', '2007-06-21 09:06:13 EDT', 'daniel_megert'), ('UI', '2007-06-21 09:06:13 EDT', 'daniel_megert'), ('jdt-ui-inbox', '2007-06-21 09:06:37 EDT', 'daniel_megert'), ('RESOLVED', '2007-07-03 11:41:36 EDT', 'martinae'), ('performance', '2007-07-03 11:41:36 EDT', 'martinae'), ('INVALID', '2007-07-03 11:41:36 EDT', 'martinae'), ('[refactoring] cpu get &gt;50 when I did refactor to a method', '2007-07-03 11:41:36 EDT', 'martinae')]</t>
  </si>
  <si>
    <t>2007-01-05 04:27:28 EST</t>
  </si>
  <si>
    <t>2007-01-02 08:58 EST</t>
  </si>
  <si>
    <t>2007-01-03 12:31:08 EST</t>
  </si>
  <si>
    <t>[('CREATED', '2007-01-02 08:58 EST'), ('markus_keller', '2007-01-03 12:31:08 EST', 'martinae'), ('FIXED', '2007-01-05 04:27:28 EST', 'markus.kell.r'), ('3.3 M5', '2007-01-05 04:27:28 EST', 'markus.kell.r'), ('RESOLVED', '2007-01-05 04:27:28 EST', 'markus.kell.r')]</t>
  </si>
  <si>
    <t>2007-01-03 10:36 EST</t>
  </si>
  <si>
    <t>[('CREATED', '2007-01-03 10:36 EST'), ('RESOLVED', '2007-01-04 04:14:21 EST', 'martinae'), ('DUPLICATE', '2007-01-04 04:14:21 EST', 'martinae')]</t>
  </si>
  <si>
    <t>2007-01-04 09:06:40 EST</t>
  </si>
  <si>
    <t>2007-01-03 11:35 EST</t>
  </si>
  <si>
    <t>2007-01-03 13:12:44 EST</t>
  </si>
  <si>
    <t>[('CREATED', '2007-01-03 11:35 EST'), ('jdt-ui-inbox', '2007-01-03 13:12:44 EST', 'john.arthorne'), ('UI', '2007-01-03 13:12:44 EST', 'john.arthorne'), ('JDT', '2007-01-03 13:12:44 EST', 'john.arthorne'), ('RESOLVED', '2007-01-04 09:06:40 EST', 'martinae'), ('DUPLICATE', '2007-01-04 09:06:40 EST', 'martinae')]</t>
  </si>
  <si>
    <t>RESOLVED  DUPLICATE  of bug 153755</t>
  </si>
  <si>
    <t>2007-01-09 09:25:17 EST</t>
  </si>
  <si>
    <t>2007-01-04 17:24 EST</t>
  </si>
  <si>
    <t>2007-01-05 03:51:10 EST</t>
  </si>
  <si>
    <t>2008-07-16 08:15:15 EDT</t>
  </si>
  <si>
    <t>[('CREATED', '2007-01-04 17:24 EST'), ('153755', '2007-01-05 03:51:10 EST', 'benno.baumgartner'), ('[clean up] Move ICleanup and IFix out of UI', '2007-01-05 03:51:10 EST', 'benno.baumgartner'), ('RESOLVED', '2007-01-09 09:25:17 EST', 'martinae'), ('DUPLICATE', '2007-01-09 09:25:17 EST', 'martinae'), (nan, '2008-07-16 08:15:15 EDT', 'benno.baumgartner')]</t>
  </si>
  <si>
    <t>2007-01-09 13:46:39 EST</t>
  </si>
  <si>
    <t>2007-01-15 06:05:39 EST</t>
  </si>
  <si>
    <t>2007-01-04 18:28 EST</t>
  </si>
  <si>
    <t>2007-01-04 22:06:50 EST</t>
  </si>
  <si>
    <t>[('CREATED', '2007-01-04 18:28 EST'), ('jdt-ui-inbox', '2007-01-04 22:06:50 EST', 'Olivier_Thomann'), ('UI', '2007-01-04 22:06:50 EST', 'Olivier_Thomann'), ('markus_keller', '2007-01-09 06:37:10 EST', 'martinae'), ('RESOLVED', '2007-01-09 13:46:39 EST', 'markus.kell.r'), ('FIXED', '2007-01-09 13:46:39 EST', 'markus.kell.r'), ('3.2.2', '2007-01-09 13:46:39 EST', 'markus.kell.r'), ('martin_aeschlimann', '2007-01-09 13:46:51 EST', 'markus.kell.r'), ('VERIFIED', '2007-01-15 06:05:39 EST', 'daniel_megert')]</t>
  </si>
  <si>
    <t>2007-01-10 10:02:33 EST</t>
  </si>
  <si>
    <t>2007-01-09 02:19 EST</t>
  </si>
  <si>
    <t>2007-01-09 09:21:47 EST</t>
  </si>
  <si>
    <t>[('CREATED', '2007-01-09 02:19 EST'), ('markus_keller', '2007-01-09 09:21:47 EST', 'martinae'), ('[generalize type] InvocationTargetException on array declaration', '2007-01-09 09:21:47 EST', 'martinae'), ('RESOLVED', '2007-01-10 10:02:33 EST', 'markus.kell.r'), ('FIXED', '2007-01-10 10:02:33 EST', 'markus.kell.r'), ('3.3 M5', '2007-01-10 10:02:33 EST', 'markus.kell.r')]</t>
  </si>
  <si>
    <t>2020-02-01 16:11:11 EST</t>
  </si>
  <si>
    <t>2007-01-09 06:24 EST</t>
  </si>
  <si>
    <t>2007-01-09 09:22:28 EST</t>
  </si>
  <si>
    <t>[('CREATED', '2007-01-09 06:24 EST'), ('markus_keller', '2007-01-09 09:22:28 EST', 'martinae'), ('[call hierarchy] Call Hierarchy view shows error dialog on refactoring method', '2007-01-09 09:22:28 EST', 'martinae'), ('CLOSED', '2020-02-01 16:11:11 EST', 'genie'), ('WONTFIX', '2020-02-01 16:11:11 EST', 'genie'), ('stalebug', '2020-02-01 16:11:11 EST', 'genie')]</t>
  </si>
  <si>
    <t>2007-01-09 16:43 EST</t>
  </si>
  <si>
    <t>2007-05-09 03:54:31 EDT</t>
  </si>
  <si>
    <t>2009-01-23 11:35:45 EST</t>
  </si>
  <si>
    <t>[('CREATED', '2007-01-09 16:43 EST'), ('martin_aeschlimann', '2007-05-09 03:54:31 EDT', 'martinae'), ('[quick fix] surround with try/catch is not keybindable', '2007-05-09 03:54:31 EDT', 'martinae'), ('jdt-ui-inbox', '2009-01-23 11:17:48 EST', 'daniel_megert'), ('ASSIGNED', '2009-01-23 11:35:45 EST', 'daniel_megert')]</t>
  </si>
  <si>
    <t>2007-01-10 05:47:21 EST</t>
  </si>
  <si>
    <t>2007-01-10 05:32 EST</t>
  </si>
  <si>
    <t>[('CREATED', '2007-01-10 05:32 EST'), ('RESOLVED', '2007-01-10 05:47:21 EST', 'benno.baumgartner'), ('DUPLICATE', '2007-01-10 05:47:21 EST', 'benno.baumgartner')]</t>
  </si>
  <si>
    <t>2007-01-12 10:09:14 EST</t>
  </si>
  <si>
    <t>2007-01-10 14:47 EST</t>
  </si>
  <si>
    <t>[('CREATED', '2007-01-10 14:47 EST'), ('RESOLVED', '2007-01-12 10:09:14 EST', 'martinae'), ('FIXED', '2007-01-12 10:09:14 EST', 'martinae'), ('3.3 M5', '2007-01-12 10:09:14 EST', 'martinae')]</t>
  </si>
  <si>
    <t>2007-03-05 09:05:24 EST</t>
  </si>
  <si>
    <t>2007-01-11 12:02 EST</t>
  </si>
  <si>
    <t>2007-02-16 04:46:31 EST</t>
  </si>
  <si>
    <t>[('CREATED', '2007-01-11 12:02 EST'), ('3.3', '2007-02-16 04:46:31 EST', 'martinae'), ('RESOLVED', '2007-03-05 09:05:24 EST', 'tobias_widmer'), ('FIXED', '2007-03-05 09:05:24 EST', 'tobias_widmer'), ('3.3 M6', '2007-03-05 09:05:24 EST', 'tobias_widmer')]</t>
  </si>
  <si>
    <t>2007-04-25 09:51:17 EDT</t>
  </si>
  <si>
    <t>2007-05-02 11:08:48 EDT</t>
  </si>
  <si>
    <t>2007-01-11 12:47 EST</t>
  </si>
  <si>
    <t>2007-01-11 12:48:16 EST</t>
  </si>
  <si>
    <t>[('CREATED', '2007-01-11 12:47 EST'), ('kentho_98', '2007-01-11 12:48:16 EST', 'kentho_98'), ('martin_aeschlimann', '2007-01-11 12:52:45 EST', 'Olivier_Thomann'), ('jdt-ui-inbox', '2007-01-12 03:09:53 EST', 'frederic_fusier'), ('UI', '2007-01-12 03:09:53 EST', 'frederic_fusier'), ('tobias_widmer', '2007-01-12 04:43:42 EST', 'martinae'), ('[extract superclass] IllegalArgumentException during Extract Superclass refactor', '2007-01-12 04:43:42 EST', 'martinae'), ('3.3', '2007-01-12 04:43:42 EST', 'martinae'), ('P2', '2007-02-16 04:07:47 EST', 'martinae'), ('RESOLVED', '2007-04-25 09:51:17 EDT', 'tobias_widmer'), ('FIXED', '2007-04-25 09:51:17 EDT', 'tobias_widmer'), ('3.3 M7', '2007-04-25 09:51:17 EDT', 'tobias_widmer'), ('VERIFIED', '2007-05-02 11:08:48 EDT', 'benno.baumgartner')]</t>
  </si>
  <si>
    <t>2007-01-17 06:50 EST</t>
  </si>
  <si>
    <t>2007-01-17 10:42:28 EST</t>
  </si>
  <si>
    <t>2019-08-07 12:45:57 EDT</t>
  </si>
  <si>
    <t>[('CREATED', '2007-01-17 06:50 EST'), ('steve_northover', '2007-01-17 10:42:28 EST', 'snorthov'), ('philippe_mulet', '2007-02-22 08:01:19 EST', 'philippe_mulet'), ('performance', '2007-02-22 08:01:19 EST', 'philippe_mulet'), ('stalebug', '2019-08-07 12:45:57 EDT', 'genie')]</t>
  </si>
  <si>
    <t>2008-02-22 12:45:09 EST</t>
  </si>
  <si>
    <t>2007-01-18 11:43 EST</t>
  </si>
  <si>
    <t>2007-05-09 05:18:03 EDT</t>
  </si>
  <si>
    <t>[('CREATED', '2007-01-18 11:43 EST'), ('martin_aeschlimann', '2007-05-09 05:18:03 EDT', 'martinae'), ('benno_baumgartner', '2008-02-22 12:42:02 EST', 'benno.baumgartner'), ('benno_baumgartner', '2008-02-22 12:42:02 EST', 'benno.baumgartner'), ('3.4 M6', '2008-02-22 12:42:02 EST', 'benno.baumgartner'), ('martin_aeschlimann', '2008-02-22 12:42:26 EST', 'benno.baumgartner'), ('RESOLVED', '2008-02-22 12:45:09 EST', 'benno.baumgartner'), ('FIXED', '2008-02-22 12:45:09 EST', 'benno.baumgartner')]</t>
  </si>
  <si>
    <t>2007-01-19 05:16 EST</t>
  </si>
  <si>
    <t>2007-02-13 05:44:49 EST</t>
  </si>
  <si>
    <t>[('CREATED', '2007-01-19 05:16 EST'), ('[source generation] generate default implementation of iface/abstract class refactoring', '2007-02-13 05:44:49 EST', 'martinae'), ('ASSIGNED', '2007-02-13 05:44:49 EST', 'martinae')]</t>
  </si>
  <si>
    <t>2007-01-23 06:03:41 EST</t>
  </si>
  <si>
    <t>2007-01-23 02:53 EST</t>
  </si>
  <si>
    <t>[('CREATED', '2007-01-23 02:53 EST'), ('RESOLVED', '2007-01-23 06:03:41 EST', 'markus.kell.r'), ('DUPLICATE', '2007-01-23 06:03:41 EST', 'markus.kell.r')]</t>
  </si>
  <si>
    <t>2007-04-25 09:49:54 EDT</t>
  </si>
  <si>
    <t>2007-05-02 11:05:28 EDT</t>
  </si>
  <si>
    <t>2007-01-26 05:04 EST</t>
  </si>
  <si>
    <t>2007-01-26 08:28:31 EST</t>
  </si>
  <si>
    <t>[('CREATED', '2007-01-26 05:04 EST'), ('tobias_widmer', '2007-01-26 08:28:31 EST', 'markus.kell.r'), ('[pull up] Pulling Up Methods to an interface ignores other implementations of that interface', '2007-01-26 08:28:31 EST', 'markus.kell.r'), ('3.3', '2007-01-26 08:28:31 EST', 'markus.kell.r'), ('P2', '2007-02-16 04:07:04 EST', 'martinae'), ('RESOLVED', '2007-04-25 09:49:54 EDT', 'tobias_widmer'), ('FIXED', '2007-04-25 09:49:54 EDT', 'tobias_widmer'), ('3.3 M7', '2007-04-25 09:49:54 EDT', 'tobias_widmer'), ('VERIFIED', '2007-05-02 11:05:28 EDT', 'benno.baumgartner')]</t>
  </si>
  <si>
    <t>2007-02-14 06:56:31 EST</t>
  </si>
  <si>
    <t>2007-01-29 09:53 EST</t>
  </si>
  <si>
    <t>2007-02-13 08:10:19 EST</t>
  </si>
  <si>
    <t>[('CREATED', '2007-01-29 09:53 EST'), ('markus_keller', '2007-02-13 08:10:19 EST', 'martinae'), ('[rename] BadLocationException thrown after series of editing operations', '2007-02-13 08:10:19 EST', 'martinae'), ('RESOLVED', '2007-02-14 06:56:31 EST', 'markus.kell.r'), ('WORKSFORME', '2007-02-14 06:56:31 EST', 'markus.kell.r')]</t>
  </si>
  <si>
    <t>480620 (view as bug list)</t>
  </si>
  <si>
    <t>2007-02-13 08:44:39 EST</t>
  </si>
  <si>
    <t>2009-08-30 02:16:21 EDT</t>
  </si>
  <si>
    <t>2015-10-26 07:15:31 EDT</t>
  </si>
  <si>
    <t>2007-02-01 21:06 EST</t>
  </si>
  <si>
    <t>2018-10-20 13:59:57 EDT</t>
  </si>
  <si>
    <t>malaperle</t>
  </si>
  <si>
    <t>[('CREATED', '2007-02-01 21:06 EST'), ('RESOLVED', '2007-02-13 08:44:39 EST', 'martinae'), ('helpwanted', '2007-02-13 08:44:39 EST', 'martinae'), ('LATER', '2007-02-13 08:44:39 EST', 'martinae'), ('mn', '2008-11-28 13:35:57 EST', 'mn'), ('WONTFIX', '2009-08-30 02:16:21 EDT', 'denis.roy'), ('lars.vogel', '2015-10-26 07:07:00 EDT', 'daniel_megert'), ('REOPENED', '2015-10-26 07:15:31 EDT', 'Lars.Vogel'), ('---', '2015-10-26 07:15:31 EDT', 'Lars.Vogel'), ('daniel_megert', '2015-10-26 07:31:16 EDT', 'daniel_megert'), ('[search] Feature proposal: Identify all unused classes, methods etc within project/package', '2015-10-26 10:25:13 EDT', 'daniel_megert'), ('ASSIGNED', '2015-10-26 10:25:13 EDT', 'daniel_megert'), ('stephan.herrmann', '2015-10-26 17:31:17 EDT', 'stephan.herrmann'), ('gautier.desaintmartinlacaze', '2015-10-30 09:02:59 EDT', 'gautier.desaintmartinlacaze'), ('malaperle', '2018-10-20 13:59:57 EDT', 'malaperle')]</t>
  </si>
  <si>
    <t>173015 (view as bug list)</t>
  </si>
  <si>
    <t>2007-02-07 04:47:16 EST</t>
  </si>
  <si>
    <t>2007-02-07 12:09:52 EST</t>
  </si>
  <si>
    <t>2007-02-06 05:21 EST</t>
  </si>
  <si>
    <t>2007-02-06 05:25:37 EST</t>
  </si>
  <si>
    <t>[('CREATED', '2007-02-06 05:21 EST'), ('philippe_mulet', '2007-02-06 05:25:37 EST', 'frederic_fusier'), ('benno_baumgartner', '2007-02-06 05:38:48 EST', 'benno.baumgartner'), ('3.3 M5', '2007-02-06 10:10:52 EST', 'benno.baumgartner'), ('[clean up] NPE on remove unused local types', '2007-02-07 04:43:28 EST', 'benno.baumgartner'), ('RESOLVED', '2007-02-07 04:47:16 EST', 'benno.baumgartner'), ('FIXED', '2007-02-07 04:47:16 EST', 'benno.baumgartner'), ('VERIFIED', '2007-02-07 12:09:52 EST', 'daniel_megert')]</t>
  </si>
  <si>
    <t>2007-02-13 14:13:10 EST</t>
  </si>
  <si>
    <t>2007-02-06 05:58 EST</t>
  </si>
  <si>
    <t>2007-02-07 06:15:50 EST</t>
  </si>
  <si>
    <t>[('CREATED', '2007-02-06 05:58 EST'), ('markus_keller', '2007-02-07 06:15:50 EST', 'markus.kell.r'), ('[rename] Minimize Refactor popup should set focus back to editor', '2007-02-07 06:15:50 EST', 'markus.kell.r'), ('3.3 M6', '2007-02-07 06:15:50 EST', 'markus.kell.r'), ('RESOLVED', '2007-02-13 14:13:10 EST', 'markus.kell.r'), ('FIXED', '2007-02-13 14:13:10 EST', 'markus.kell.r')]</t>
  </si>
  <si>
    <t>2007-02-07 06:24:45 EST</t>
  </si>
  <si>
    <t>2007-02-07 11:42:43 EST</t>
  </si>
  <si>
    <t>2007-02-06 06:00 EST</t>
  </si>
  <si>
    <t>2007-02-07 06:01:08 EST</t>
  </si>
  <si>
    <t>[('CREATED', '2007-02-06 06:00 EST'), ('markus_keller', '2007-02-07 06:01:08 EST', 'markus.kell.r'), ('[rename] Weird behavior upon right mouse click in Refactor popup', '2007-02-07 06:01:08 EST', 'markus.kell.r'), ('3.3 M5', '2007-02-07 06:01:08 EST', 'markus.kell.r'), ('RESOLVED', '2007-02-07 06:24:45 EST', 'markus.kell.r'), ('FIXED', '2007-02-07 06:24:45 EST', 'markus.kell.r'), ('VERIFIED', '2007-02-07 11:42:43 EST', 'daniel_megert')]</t>
  </si>
  <si>
    <t>173056 (view as bug list)</t>
  </si>
  <si>
    <t>2007-02-06 06:01 EST</t>
  </si>
  <si>
    <t>2007-02-06 16:19:58 EST</t>
  </si>
  <si>
    <t>2007-03-15 07:47:44 EDT</t>
  </si>
  <si>
    <t>[('CREATED', '2007-02-06 06:01 EST'), ('benno_baumgartner', '2007-02-06 16:19:58 EST', 'daniel_megert'), ('3.3 M6', '2007-02-07 06:02:45 EST', 'markus.kell.r'), ('markus_keller', '2007-02-07 06:02:45 EST', 'markus.kell.r'), ('[rename] Refactor popup: should indicate move targets', '2007-02-07 06:02:45 EST', 'markus.kell.r'), ('ASSIGNED', '2007-03-15 07:47:44 EDT', 'markus.kell.r'), ('---', '2007-03-15 07:47:44 EDT', 'markus.kell.r')]</t>
  </si>
  <si>
    <t>2007-02-13 09:40:32 EST</t>
  </si>
  <si>
    <t>2007-02-06 06:03 EST</t>
  </si>
  <si>
    <t>2007-02-07 07:01:23 EST</t>
  </si>
  <si>
    <t>[('CREATED', '2007-02-06 06:03 EST'), ('markus_keller', '2007-02-07 07:01:23 EST', 'markus.kell.r'), ('[rename] Refactor popup should allow to set placement via context menu', '2007-02-07 07:01:23 EST', 'markus.kell.r'), ('3.3 M6', '2007-02-07 07:01:23 EST', 'markus.kell.r'), ('RESOLVED', '2007-02-13 09:40:32 EST', 'markus.kell.r'), ('FIXED', '2007-02-13 09:40:32 EST', 'markus.kell.r')]</t>
  </si>
  <si>
    <t>2007-02-07 06:12:22 EST</t>
  </si>
  <si>
    <t>2007-02-07 10:51:08 EST</t>
  </si>
  <si>
    <t>2007-02-06 06:13 EST</t>
  </si>
  <si>
    <t>[('CREATED', '2007-02-06 06:13 EST'), ('3.3 M5', '2007-02-07 06:12:22 EST', 'markus.kell.r'), ('RESOLVED', '2007-02-07 06:12:22 EST', 'markus.kell.r'), ('FIXED', '2007-02-07 06:12:22 EST', 'markus.kell.r'), ('VERIFIED', '2007-02-07 10:51:08 EST', 'daniel_megert')]</t>
  </si>
  <si>
    <t>2007-02-14 05:40:51 EST</t>
  </si>
  <si>
    <t>2007-02-06 06:40 EST</t>
  </si>
  <si>
    <t>2007-02-13 10:05:38 EST</t>
  </si>
  <si>
    <t>[('CREATED', '2007-02-06 06:40 EST'), ('markus_keller', '2007-02-13 10:05:38 EST', 'martinae'), ('[rename] Refactorin popup: unavailable actions should be disabled', '2007-02-13 10:05:38 EST', 'martinae'), ('ASSIGNED', '2007-02-13 18:04:56 EST', 'markus.kell.r'), ('[rename] Refactoring popup: unavailable actions should be disabled', '2007-02-13 18:04:56 EST', 'markus.kell.r'), ('3.3 M6', '2007-02-13 18:04:56 EST', 'markus.kell.r'), ('FIXED', '2007-02-14 05:40:51 EST', 'markus.kell.r'), ('RESOLVED', '2007-02-14 05:40:51 EST', 'markus.kell.r')]</t>
  </si>
  <si>
    <t>2007-02-13 17:58:11 EST</t>
  </si>
  <si>
    <t>2007-02-06 09:12 EST</t>
  </si>
  <si>
    <t>2007-02-07 08:43:00 EST</t>
  </si>
  <si>
    <t>[('CREATED', '2007-02-06 09:12 EST'), ('markus_keller', '2007-02-07 08:43:00 EST', 'markus.kell.r'), ('[rename] Rename popup: Ctrl+Z does not update the enablement state', '2007-02-07 08:43:00 EST', 'markus.kell.r'), ('3.3 M6', '2007-02-07 08:43:00 EST', 'markus.kell.r'), ('FIXED', '2007-02-13 17:58:11 EST', 'markus.kell.r'), ('[rename] Rename popup: Actions should be disabled initially', '2007-02-13 17:58:11 EST', 'markus.kell.r'), ('RESOLVED', '2007-02-13 17:58:11 EST', 'markus.kell.r')]</t>
  </si>
  <si>
    <t>RESOLVED  DUPLICATE  of bug 173022</t>
  </si>
  <si>
    <t>2007-02-06 09:25 EST</t>
  </si>
  <si>
    <t>[('CREATED', '2007-02-06 09:25 EST'), ('RESOLVED', '2007-02-06 16:19:58 EST', 'daniel_megert'), ('DUPLICATE', '2007-02-06 16:19:58 EST', 'daniel_megert')]</t>
  </si>
  <si>
    <t>2007-03-20 17:47:31 EDT</t>
  </si>
  <si>
    <t>2007-02-06 16:44 EST</t>
  </si>
  <si>
    <t>2007-02-06 17:21:26 EST</t>
  </si>
  <si>
    <t>[('CREATED', '2007-02-06 16:44 EST'), ('daniel_megert', '2007-02-06 17:21:26 EST', 'daniel_megert'), ('3.3 M5', '2007-02-06 17:21:26 EST', 'daniel_megert'), ('major', '2007-02-06 17:24:36 EST', 'markus.kell.r'), ('markus_keller', '2007-02-07 08:28:57 EST', 'markus.kell.r'), ('normal', '2007-02-07 08:28:57 EST', 'markus.kell.r'), ('3.3 M6', '2007-02-07 08:28:57 EST', 'markus.kell.r'), ('ASSIGNED', '2007-03-15 07:58:40 EDT', 'markus.kell.r'), ('3.3', '2007-03-15 07:58:40 EDT', 'markus.kell.r'), ('RESOLVED', '2007-03-20 17:47:31 EDT', 'daniel_megert'), ('WORKSFORME', '2007-03-20 17:47:31 EDT', 'daniel_megert')]</t>
  </si>
  <si>
    <t>2007-03-06 09:56:39 EST</t>
  </si>
  <si>
    <t>2007-02-15 22:24 EST</t>
  </si>
  <si>
    <t>2007-02-16 02:57:20 EST</t>
  </si>
  <si>
    <t>[('CREATED', '2007-02-15 22:24 EST'), ('daniel_megert', '2007-02-16 02:57:20 EST', 'daniel_megert'), ('markus_keller', '2007-02-16 05:56:19 EST', 'martinae'), ('[rename] Refactoring dialog blanks out editor', '2007-02-16 05:56:19 EST', 'martinae'), ('All', '2007-03-06 09:56:39 EST', 'markus.kell.r'), ('FIXED', '2007-03-06 09:56:39 EST', 'markus.kell.r'), ('3.3 M6', '2007-03-06 09:56:39 EST', 'markus.kell.r'), ('RESOLVED', '2007-03-06 09:56:39 EST', 'markus.kell.r'), ('All', '2007-03-06 09:56:39 EST', 'markus.kell.r')]</t>
  </si>
  <si>
    <t>133277</t>
  </si>
  <si>
    <t>2007-02-27 12:23:39 EST</t>
  </si>
  <si>
    <t>2007-02-19 05:35 EST</t>
  </si>
  <si>
    <t>2007-02-19 05:37:16 EST</t>
  </si>
  <si>
    <t>[('CREATED', '2007-02-19 05:35 EST'), ('133277', '2007-02-19 05:37:16 EST', 'benno.baumgartner'), ('alex_blewitt', '2007-02-19 07:09:12 EST', 'alex.blewitt'), ('FIXED', '2007-02-27 12:23:39 EST', 'benno.baumgartner'), ('3.3 M6', '2007-02-27 12:23:39 EST', 'benno.baumgartner'), ('RESOLVED', '2007-02-27 12:23:39 EST', 'benno.baumgartner')]</t>
  </si>
  <si>
    <t>2007-02-20 06:04:10 EST</t>
  </si>
  <si>
    <t>2007-02-20 04:47 EST</t>
  </si>
  <si>
    <t>2007-02-20 05:07:34 EST</t>
  </si>
  <si>
    <t>[('CREATED', '2007-02-20 04:47 EST'), ('UI', '2007-02-20 05:07:34 EST', 'frederic_fusier'), ('jdt-ui-inbox', '2007-02-20 05:07:34 EST', 'frederic_fusier'), ('frederic_fusier', '2007-02-20 05:08:10 EST', 'frederic_fusier'), ('RESOLVED', '2007-02-20 06:04:10 EST', 'markus.kell.r'), ('INVALID', '2007-02-20 06:04:10 EST', 'markus.kell.r')]</t>
  </si>
  <si>
    <t>2007-05-23 05:21:30 EDT</t>
  </si>
  <si>
    <t>2007-02-20 09:56 EST</t>
  </si>
  <si>
    <t>2007-02-20 09:59:53 EST</t>
  </si>
  <si>
    <t>2007-06-21 05:43:43 EDT</t>
  </si>
  <si>
    <t>[('CREATED', '2007-02-20 09:56 EST'), ('3.3 M6', '2007-02-20 09:59:53 EST', 'daniel_megert'), ('P2', '2007-02-20 09:59:53 EST', 'daniel_megert'), ('3.3 M7', '2007-03-19 04:31:03 EDT', 'martinae'), ('[pull up] Pull Up Refactoring badly broken', '2007-03-28 09:19:07 EDT', 'martinae'), ('mlists', '2007-04-19 21:33:16 EDT', 'mlists'), ('3.4', '2007-04-30 06:48:44 EDT', 'tobias_widmer'), ('RESOLVED', '2007-05-23 05:21:30 EDT', 'benno.baumgartner'), ('FIXED', '2007-05-23 05:21:30 EDT', 'benno.baumgartner'), ('3.3 M7', '2007-06-21 05:43:43 EDT', 'markus.kell.r')]</t>
  </si>
  <si>
    <t>199844 274698 (view as bug list)</t>
  </si>
  <si>
    <t>2007-02-20 13:41 EST</t>
  </si>
  <si>
    <t>2007-02-26 09:39:03 EST</t>
  </si>
  <si>
    <t>2019-12-17 04:44:38 EST</t>
  </si>
  <si>
    <t>[('CREATED', '2007-02-20 13:41 EST'), ('ASSIGNED', '2007-02-26 09:39:03 EST', 'martinae'), ("[extract method] Can't extract parts of string concatenations", '2007-02-26 09:39:03 EST', 'martinae'), ('markus_keller', '2009-05-04 06:06:32 EDT', 'markus.kell.r'), ("[extract method] Can't extract parts of extended infix expressions (e.g. string concatenations)", '2009-05-04 06:06:32 EDT', 'markus.kell.r'), ('benno_baumgartner', '2009-05-04 06:06:47 EDT', 'markus.kell.r'), ('gubespam', '2009-05-04 06:14:04 EDT', 'markus.kell.r'), ('reprogrammer', '2011-11-30 13:44:39 EST', 'reprogrammer'), ('stalebug', '2019-12-16 14:58:43 EST', 'genie'), (nan, '2019-12-17 04:44:38 EST', 'daniel_megert'), ('daniel_megert', '2019-12-17 04:44:38 EST', 'daniel_megert')]</t>
  </si>
  <si>
    <t>2007-02-26 10:41:16 EST</t>
  </si>
  <si>
    <t>2007-02-22 06:21 EST</t>
  </si>
  <si>
    <t>2007-02-22 11:51:07 EST</t>
  </si>
  <si>
    <t>[('CREATED', '2007-02-22 06:21 EST'), ('jdt-ui-inbox', '2007-02-22 11:51:07 EST', 'Olivier_Thomann'), ('UI', '2007-02-22 11:51:07 EST', 'Olivier_Thomann'), ('RESOLVED', '2007-02-26 10:41:16 EST', 'martinae'), ('WONTFIX', '2007-02-26 10:41:16 EST', 'martinae'), ('[extract local] Extract Local Variable bug when "new" are involved...', '2007-02-26 10:41:16 EST', 'martinae')]</t>
  </si>
  <si>
    <t>RESOLVED  DUPLICATE  of bug 78363</t>
  </si>
  <si>
    <t>2007-02-23 05:14:35 EST</t>
  </si>
  <si>
    <t>2007-02-23 04:13 EST</t>
  </si>
  <si>
    <t>[('CREATED', '2007-02-23 04:13 EST'), ('markus_keller', '2007-02-23 05:14:35 EST', 'markus.kell.r'), ('RESOLVED', '2007-02-23 05:14:35 EST', 'markus.kell.r'), ('DUPLICATE', '2007-02-23 05:14:35 EST', 'markus.kell.r'), ('[rename] Light-weight rename refactoring should select the SimpleName to be renamed', '2007-02-23 05:14:35 EST', 'markus.kell.r')]</t>
  </si>
  <si>
    <t>2007-03-01 05:33:10 EST</t>
  </si>
  <si>
    <t>2007-08-24 07:07:21 EDT</t>
  </si>
  <si>
    <t>2007-02-26 03:53 EST</t>
  </si>
  <si>
    <t>2007-02-26 04:06:54 EST</t>
  </si>
  <si>
    <t>[('CREATED', '2007-02-26 03:53 EST'), ('daniel_megert', '2007-02-26 04:06:54 EST', 'daniel_megert'), ('alex_blewitt', '2007-02-26 05:51:07 EST', 'alex.blewitt'), ('3.3 M6', '2007-03-01 05:25:34 EST', 'markus.kell.r'), ('martin_aeschlimann', '2007-03-01 05:25:34 EST', 'markus.kell.r'), ('markus_keller', '2007-03-01 05:25:34 EST', 'markus.kell.r'), ('[refactoring] Do not ask to save unrelated editor when refactoring', '2007-03-01 05:25:34 EST', 'markus.kell.r'), ('RESOLVED', '2007-03-01 05:33:10 EST', 'markus.kell.r'), ('FIXED', '2007-03-01 05:33:10 EST', 'markus.kell.r'), ('VERIFIED', '2007-08-24 07:07:21 EDT', 'markus.kell.r')]</t>
  </si>
  <si>
    <t>2007-02-27 05:28:36 EST</t>
  </si>
  <si>
    <t>2007-02-26 13:41 EST</t>
  </si>
  <si>
    <t>[('CREATED', '2007-02-26 13:41 EST'), ('RESOLVED', '2007-02-27 05:28:36 EST', 'martinae'), ('FIXED', '2007-02-27 05:28:36 EST', 'martinae'), ('[refactoring] Refactoring history property page leaks four images', '2007-02-27 05:28:36 EST', 'martinae'), ('3.3 M6', '2007-02-27 05:28:36 EST', 'martinae')]</t>
  </si>
  <si>
    <t>2007-02-28 06:13:47 EST</t>
  </si>
  <si>
    <t>2007-02-27 10:34 EST</t>
  </si>
  <si>
    <t>2007-02-27 10:43:13 EST</t>
  </si>
  <si>
    <t>2007-03-07 13:09:23 EST</t>
  </si>
  <si>
    <t>[('CREATED', '2007-02-27 10:34 EST'), ('jdt-ui-inbox', '2007-02-27 10:43:13 EST', 'Olivier_Thomann'), ('UI', '2007-02-27 10:43:13 EST', 'Olivier_Thomann'), ('[refactoring scripts] NL Questions needinf clarification', '2007-02-28 06:13:47 EST', 'martinae'), ('3.3 M6', '2007-02-28 06:13:47 EST', 'martinae'), ('martin_aeschlimann', '2007-02-28 06:13:47 EST', 'martinae'), ('RESOLVED', '2007-02-28 06:13:47 EST', 'martinae'), ('FIXED', '2007-02-28 06:13:47 EST', 'martinae'), ('CLOSED', '2007-03-07 13:09:23 EST', 'camle')]</t>
  </si>
  <si>
    <t>150144 187351 (view as bug list)</t>
  </si>
  <si>
    <t>2008-12-01 13:13:18 EST</t>
  </si>
  <si>
    <t>2008-12-09 09:30:46 EST</t>
  </si>
  <si>
    <t>2007-02-27 14:20 EST</t>
  </si>
  <si>
    <t>2007-02-28 02:52:16 EST</t>
  </si>
  <si>
    <t>[('CREATED', '2007-02-27 14:20 EST'), ('daniel_megert', '2007-02-28 02:52:16 EST', 'daniel_megert'), ('martin_aeschlimann', '2007-02-28 04:11:14 EST', 'martinae'), ('markus_keller', '2007-02-28 04:11:14 EST', 'martinae'), ('[refactoring] Deleting package from the package explorer happens in the UI thread', '2007-02-28 04:11:14 EST', 'martinae'), ('dirk_baeumer', '2007-03-01 13:28:25 EST', 'markus.kell.r'), ('ASSIGNED', '2007-03-01 13:28:25 EST', 'markus.kell.r'), ('3.4', '2007-07-10 04:28:49 EDT', 'markus.kell.r'), ('195834', '2007-07-10 04:32:33 EDT', 'markus.kell.r'), ('benno_baumgartner', '2007-07-10 04:38:55 EDT', 'benno.baumgartner'), ('dj_houghton', '2007-07-10 09:19:12 EDT', 'dj.houghton'), ('196179', '2007-07-11 11:45:00 EDT', 'benno.baumgartner'), ('remy.suen', '2007-12-10 13:06:13 EST', 'remy.suen'), ('pwebster', '2007-12-10 13:27:28 EST', 'pwebster'), ('[refactoring] change execution should not happen in the UI thread', '2008-01-07 06:26:38 EST', 'daniel_megert'), ('mauromol', '2008-01-29 07:39:23 EST', 'mauromol'), ('3.4 M6', '2008-02-04 05:46:55 EST', 'markus.kell.r'), ('3.4 M7', '2008-03-26 10:01:52 EDT', 'markus.kell.r'), ('---', '2008-04-28 06:56:41 EDT', 'benno.baumgartner'), ('3.5', '2008-05-06 08:30:02 EDT', 'markus.kell.r'), ('3.5 M4', '2008-10-30 10:18:55 EDT', 'daniel_megert'), ('1', '2008-12-01 13:12:24 EST', 'markus.kell.r'), ('FIXED', '2008-12-01 13:13:18 EST', 'markus.kell.r'), ('RESOLVED', '2008-12-01 13:13:18 EST', 'markus.kell.r'), (nan, '2008-12-05 12:19:53 EST', 'markus.kell.r'), ('VERIFIED', '2008-12-09 09:30:46 EST', 'daniel_megert')]</t>
  </si>
  <si>
    <t>2007-02-28 12:32:29 EST</t>
  </si>
  <si>
    <t>2007-02-28 08:34 EST</t>
  </si>
  <si>
    <t>2007-02-28 11:35:14 EST</t>
  </si>
  <si>
    <t>[('CREATED', '2007-02-28 08:34 EST'), ('benno_baumgartner', '2007-02-28 11:35:14 EST', 'benno.baumgartner'), ('[clean up] ASTRewriteAnalyzer produces MalformedTreeException on convert loop clean up', '2007-02-28 11:35:14 EST', 'benno.baumgartner'), ('3.3 M6', '2007-02-28 11:35:14 EST', 'benno.baumgartner'), ('RESOLVED', '2007-02-28 12:32:29 EST', 'benno.baumgartner'), ('FIXED', '2007-02-28 12:32:29 EST', 'benno.baumgartner')]</t>
  </si>
  <si>
    <t>76036 127450 150008 164111 173649 175878 175882</t>
  </si>
  <si>
    <t>2010-03-24 10:16:32 EDT</t>
  </si>
  <si>
    <t>2010-04-26 03:48:32 EDT</t>
  </si>
  <si>
    <t>2010-03-24 07:52:20 EDT</t>
  </si>
  <si>
    <t>2007-02-28 11:43 EST</t>
  </si>
  <si>
    <t>2007-02-28 11:44:28 EST</t>
  </si>
  <si>
    <t>[('CREATED', '2007-02-28 11:43 EST'), ('76036', '2007-02-28 11:44:28 EST', 'Tod_Creasey'), ('contributed', '2007-02-28 11:54:37 EST', 'Tod_Creasey'), ('martin_aeschlimann', '2007-03-02 13:15:41 EST', 'martinae'), ('164111', '2007-03-06 09:59:09 EST', 'Tod_Creasey'), ('markus_keller', '2007-03-23 11:18:26 EDT', 'markus.kell.r'), ('175878, 175882', '2007-03-23 11:18:26 EDT', 'markus.kell.r'), ('Mike_Wilson', '2007-05-09 04:49:11 EDT', 'martinae'), ('[actions] Show In should reference the project explorer', '2007-05-09 04:49:11 EDT', 'martinae'), ('150008, 173649', '2007-05-10 04:30:45 EDT', 'markus.kell.r'), (nan, '2007-06-07 16:25:05 EDT', 'Mike_Wilson'), ('daniel_megert', '2010-03-18 06:59:21 EDT', 'markus.kell.r'), ('3.6 M7', '2010-03-18 06:59:21 EDT', 'markus.kell.r'), ('RESOLVED', '2010-03-18 11:02:37 EDT', 'daniel_megert'), ('All', '2010-03-18 11:02:37 EDT', 'daniel_megert'), ('FIXED', '2010-03-18 11:02:37 EDT', 'daniel_megert'), ('[common navigator][actions] Show In should reference the project explorer', '2010-03-18 11:02:37 EDT', 'daniel_megert'), ('All', '2010-03-18 11:02:37 EDT', 'daniel_megert'), ('enhancement', '2010-03-18 11:02:37 EDT', 'daniel_megert'), ('1', '2010-03-18 11:03:22 EDT', 'daniel_megert'), ('REOPENED', '2010-03-24 07:52:20 EDT', 'markus.kell.r'), ('---', '2010-03-24 07:52:20 EDT', 'markus.kell.r'), ('RESOLVED', '2010-03-24 10:16:32 EDT', 'daniel_megert'), ('127450', '2010-03-24 10:16:32 EDT', 'daniel_megert'), ('FIXED', '2010-03-24 10:16:32 EDT', 'daniel_megert'), ('VERIFIED', '2010-04-26 03:48:32 EDT', 'raksha.vasisht'), ('raksha.vasisht', '2010-04-26 03:48:32 EDT', 'raksha.vasisht')]</t>
  </si>
  <si>
    <t>RESOLVED  DUPLICATE  of bug 181830</t>
  </si>
  <si>
    <t>2007-04-18 03:36:20 EDT</t>
  </si>
  <si>
    <t>2007-03-01 02:09:33 EST</t>
  </si>
  <si>
    <t>2007-04-18 03:35:32 EDT</t>
  </si>
  <si>
    <t>2007-02-28 18:49 EST</t>
  </si>
  <si>
    <t>2007-02-28 18:50:03 EST</t>
  </si>
  <si>
    <t>[('CREATED', '2007-02-28 18:49 EST'), ('Karice_McIntyre', '2007-02-28 18:50:03 EST', 'sxenos'), ('RESOLVED', '2007-03-01 02:09:33 EST', 'daniel_megert'), ('INVALID', '2007-03-01 02:09:33 EST', 'daniel_megert'), ('Kevin_McGuire', '2007-04-17 13:28:30 EDT', 'sxenos'), ('Mike_Wilson', '2007-04-17 13:32:05 EDT', 'sxenos'), ('REOPENED', '2007-04-18 03:35:32 EDT', 'daniel_megert'), ('---', '2007-04-18 03:35:32 EDT', 'daniel_megert'), ('jdt-ui-inbox', '2007-04-18 03:35:49 EDT', 'daniel_megert'), ('NEW', '2007-04-18 03:35:49 EDT', 'daniel_megert'), ('UI', '2007-04-18 03:35:49 EDT', 'daniel_megert'), ('JDT', '2007-04-18 03:35:49 EDT', 'daniel_megert'), ('RESOLVED', '2007-04-18 03:36:20 EDT', 'daniel_megert'), ('DUPLICATE', '2007-04-18 03:36:20 EDT', 'daniel_megert')]</t>
  </si>
  <si>
    <t>2020-04-01 02:48:26 EDT</t>
  </si>
  <si>
    <t>2007-03-02 16:36 EST</t>
  </si>
  <si>
    <t>2007-03-05 15:00:12 EST</t>
  </si>
  <si>
    <t>[('CREATED', '2007-03-02 16:36 EST'), ('tobias_widmer', '2007-03-05 15:00:12 EST', 'martinae'), ('[pull up] Pull up refactoring does not consider interface methods when checking accessibility', '2007-03-05 15:00:12 EST', 'martinae'), ('3.3', '2007-03-05 15:00:27 EST', 'martinae'), ('3.4', '2007-06-01 12:13:06 EDT', 'martinae'), ('jdt-ui-inbox', '2007-06-14 10:46:21 EDT', 'martinae'), ('martin_aeschlimann', '2008-05-18 05:06:28 EDT', 'martinae'), ('---', '2008-05-18 05:06:28 EDT', 'martinae'), ('daniel_megert', '2008-07-16 03:20:04 EDT', 'daniel_megert'), ('ASSIGNED', '2008-07-16 03:20:04 EDT', 'daniel_megert'), ('mn', '2008-11-29 17:47:19 EST', 'mn'), ('WONTFIX', '2020-04-01 02:48:26 EDT', 'genie'), ('stalebug', '2020-04-01 02:48:26 EDT', 'genie'), ('CLOSED', '2020-04-01 02:48:26 EDT', 'genie')]</t>
  </si>
  <si>
    <t>RESOLVED  DUPLICATE  of bug 103102</t>
  </si>
  <si>
    <t>2007-03-12 02:40:50 EDT</t>
  </si>
  <si>
    <t>2007-03-03 05:01 EST</t>
  </si>
  <si>
    <t>2007-03-03 05:11:34 EST</t>
  </si>
  <si>
    <t>friedli_m12</t>
  </si>
  <si>
    <t>[('CREATED', '2007-03-03 05:01 EST'), ('stepper', '2007-03-03 05:11:34 EST', 'stepper'), ('[decorators] New method decorator for overridden', '2007-03-05 15:01:47 EST', 'martinae'), ('daniel_megert', '2007-03-11 13:30:14 EDT', 'daniel_megert'), ('DUPLICATE', '2007-03-12 02:40:50 EDT', 'friedli_m12'), ('RESOLVED', '2007-03-12 02:40:50 EDT', 'friedli_m12')]</t>
  </si>
  <si>
    <t>2007-07-05 12:06:11 EDT</t>
  </si>
  <si>
    <t>2007-03-03 13:39 EST</t>
  </si>
  <si>
    <t>2007-03-05 15:03:05 EST</t>
  </si>
  <si>
    <t>2007-07-09 06:21:58 EDT</t>
  </si>
  <si>
    <t>[('CREATED', '2007-03-03 13:39 EST'), ('tobias_widmer', '2007-03-05 15:03:05 EST', 'martinae'), ('[hashcode/equals] Generate Equals/HashCode for a non-static inner class ignores outer class', '2007-03-05 15:03:05 EST', 'martinae'), ('jdt-ui-inbox', '2007-06-14 10:43:41 EDT', 'martinae'), ('RESOLVED', '2007-07-05 12:06:11 EDT', 'martinae'), ('FIXED', '2007-07-05 12:06:11 EDT', 'martinae'), ('3.4 M1', '2007-07-09 06:21:58 EDT', 'martinae')]</t>
  </si>
  <si>
    <t>2007-03-04 03:55 EST</t>
  </si>
  <si>
    <t>2007-03-04 04:27:09 EST</t>
  </si>
  <si>
    <t>2019-04-20 13:03:43 EDT</t>
  </si>
  <si>
    <t>[('CREATED', '2007-03-04 03:55 EST'), ('jdt-ui-inbox', '2007-03-04 04:27:09 EST', 'frederic_fusier'), ('UI', '2007-03-04 04:27:09 EST', 'frederic_fusier'), ('markus_keller', '2007-03-05 15:04:04 EST', 'martinae'), ('ASSIGNED', '2007-05-31 12:27:21 EDT', 'markus.kell.r'), ('[infer type arguments] NPEs in "Infer Generic Type Arguments"', '2007-05-31 12:27:21 EDT', 'markus.kell.r'), ('stalebug', '2019-04-20 13:03:43 EDT', 'genie')]</t>
  </si>
  <si>
    <t>2007-04-18 08:20:19 EDT</t>
  </si>
  <si>
    <t>2007-03-06 10:51 EST</t>
  </si>
  <si>
    <t>2007-03-06 11:24:31 EST</t>
  </si>
  <si>
    <t>[('CREATED', '2007-03-06 10:51 EST'), ('jdt-ui-inbox', '2007-03-06 11:24:31 EST', 'Olivier_Thomann'), ('UI', '2007-03-06 11:24:31 EST', 'Olivier_Thomann'), ('benno_baumgartner', '2007-03-06 11:54:25 EST', 'benno.baumgartner'), ('[cleanup] convert for loop removes imports which are in use', '2007-03-06 11:54:57 EST', 'benno.baumgartner'), ('3.3 M7', '2007-04-03 11:49:48 EDT', 'benno.baumgartner'), ('[quick assist] convert iterable for loop removes imports which are in use', '2007-04-18 08:12:30 EDT', 'benno.baumgartner'), ('RESOLVED', '2007-04-18 08:20:19 EDT', 'benno.baumgartner'), ('FIXED', '2007-04-18 08:20:19 EDT', 'benno.baumgartner')]</t>
  </si>
  <si>
    <t>2007-03-08 13:10:05 EST</t>
  </si>
  <si>
    <t>2007-03-07 13:35 EST</t>
  </si>
  <si>
    <t>2007-03-07 13:40:30 EST</t>
  </si>
  <si>
    <t>[('CREATED', '2007-03-07 13:35 EST'), ('jdt-ui-inbox', '2007-03-07 13:40:30 EST', 'Olivier_Thomann'), ('UI', '2007-03-07 13:40:30 EST', 'Olivier_Thomann'), ('markus_keller', '2007-03-07 14:04:31 EST', 'martinae'), ('[extract local] does not always work correcty with statements/blocks that receive parameters.', '2007-03-07 14:04:31 EST', 'martinae'), ('RESOLVED', '2007-03-08 13:10:05 EST', 'markus.kell.r'), ('DUPLICATE', '2007-03-08 13:10:05 EST', 'markus.kell.r')]</t>
  </si>
  <si>
    <t>2007-03-27 08:58:28 EDT</t>
  </si>
  <si>
    <t>2007-05-02 11:00:15 EDT</t>
  </si>
  <si>
    <t>2007-03-27 06:48:00 EDT</t>
  </si>
  <si>
    <t>2007-03-07 15:50 EST</t>
  </si>
  <si>
    <t>2007-03-08 13:30:25 EST</t>
  </si>
  <si>
    <t>[('CREATED', '2007-03-07 15:50 EST'), ('markus_keller', '2007-03-08 13:30:25 EST', 'martinae'), ('tobias_widmer', '2007-03-08 13:30:25 EST', 'martinae'), ('P2', '2007-03-08 13:30:25 EST', 'martinae'), ('3.3', '2007-03-08 13:30:25 EST', 'martinae'), ('3.3 M7', '2007-03-26 06:21:10 EDT', 'tobias_widmer'), ('RESOLVED', '2007-03-26 06:21:10 EDT', 'tobias_widmer'), ('FIXED', '2007-03-26 06:21:10 EDT', 'tobias_widmer'), ('martin_aeschlimann', '2007-03-27 06:48:00 EDT', 'markus.kell.r'), ('REOPENED', '2007-03-27 06:48:00 EDT', 'markus.kell.r'), ('---', '2007-03-27 06:48:00 EDT', 'markus.kell.r'), ('daniel_megert', '2007-03-27 07:28:49 EDT', 'markus.kell.r'), ('RESOLVED', '2007-03-27 08:58:28 EDT', 'tobias_widmer'), ('FIXED', '2007-03-27 08:58:28 EDT', 'tobias_widmer'), ('VERIFIED', '2007-05-02 11:00:15 EDT', 'benno.baumgartner')]</t>
  </si>
  <si>
    <t>2007-03-09 13:32:55 EST</t>
  </si>
  <si>
    <t>2007-03-08 13:56 EST</t>
  </si>
  <si>
    <t>2007-03-08 17:42:27 EST</t>
  </si>
  <si>
    <t>[('CREATED', '2007-03-08 13:56 EST'), ('markus_keller', '2007-03-08 17:42:27 EST', 'martinae'), ('ASSIGNED', '2007-03-09 10:53:55 EST', 'markus.kell.r'), (nan, '2007-03-09 11:07:00 EST', 'markus.kell.r'), ('markus_keller', '2007-03-09 11:07:00 EST', 'markus.kell.r'), ('NEW', '2007-03-09 11:07:00 EST', 'markus.kell.r'), ('[infer type arguments] NPE in TypeEnvironment.cacheSubType for ParameterizedType', '2007-03-09 11:07:00 EST', 'markus.kell.r'), ('RESOLVED', '2007-03-09 13:32:55 EST', 'markus.kell.r'), ('FIXED', '2007-03-09 13:32:55 EST', 'markus.kell.r'), ('3.3 M6', '2007-03-09 13:32:55 EST', 'markus.kell.r')]</t>
  </si>
  <si>
    <t>CLOSED  DUPLICATE  of bug 177095</t>
  </si>
  <si>
    <t>2013-04-11 07:35:06 EDT</t>
  </si>
  <si>
    <t>2007-03-12 23:10 EDT</t>
  </si>
  <si>
    <t>2007-03-13 05:40:22 EDT</t>
  </si>
  <si>
    <t>[('CREATED', '2007-03-12 23:10 EDT'), ('ASSIGNED', '2007-03-13 05:40:22 EDT', 'martinae'), ('CLOSED', '2013-04-11 07:35:06 EDT', 'daniel_megert'), ('daniel_megert', '2013-04-11 07:35:06 EDT', 'daniel_megert'), ('DUPLICATE', '2013-04-11 07:35:06 EDT', 'daniel_megert')]</t>
  </si>
  <si>
    <t>177093 (view as bug list)</t>
  </si>
  <si>
    <t>2013-10-03 05:34:01 EDT</t>
  </si>
  <si>
    <t>2013-10-03 07:03:51 EDT</t>
  </si>
  <si>
    <t>2007-03-12 23:28 EDT</t>
  </si>
  <si>
    <t>2007-03-13 05:40:39 EDT</t>
  </si>
  <si>
    <t>[('CREATED', '2007-03-12 23:28 EDT'), ('ASSIGNED', '2007-03-13 05:40:39 EDT', 'martinae'), ('nikolaymetchev', '2013-09-23 12:27:34 EDT', 'nikolaymetchev'), ('daniel_megert, noopur_gupta', '2013-10-02 04:57:15 EDT', 'daniel_megert'), ('review?(noopur_gupta)', '2013-10-02 04:57:15 EDT', 'daniel_megert'), ('RESOLVED', '2013-10-03 05:34:01 EDT', 'noopur_gupta'), ('FIXED', '2013-10-03 05:34:01 EDT', 'noopur_gupta'), ('4.4 M3', '2013-10-03 05:34:01 EDT', 'noopur_gupta'), ('review+', '2013-10-03 05:34:01 EDT', 'noopur_gupta'), ('VERIFIED', '2013-10-03 07:03:51 EDT', 'markus.kell.r'), ('markus_keller', '2013-10-03 07:03:51 EDT', 'markus.kell.r'), ('All', '2013-10-03 07:03:51 EDT', 'markus.kell.r'), ('nikolaymetchev', '2013-10-03 07:03:51 EDT', 'markus.kell.r'), ('All', '2013-10-03 07:03:51 EDT', 'markus.kell.r')]</t>
  </si>
  <si>
    <t>2007-03-12 23:45 EDT</t>
  </si>
  <si>
    <t>2007-03-13 05:41:02 EDT</t>
  </si>
  <si>
    <t>2019-09-25 18:22:05 EDT</t>
  </si>
  <si>
    <t>[('CREATED', '2007-03-12 23:45 EDT'), ('ASSIGNED', '2007-03-13 05:41:02 EDT', 'martinae'), ('stalebug', '2019-09-25 18:22:05 EDT', 'genie')]</t>
  </si>
  <si>
    <t>2020-02-02 19:47:00 EST</t>
  </si>
  <si>
    <t>2007-03-13 13:40 EDT</t>
  </si>
  <si>
    <t>2007-07-02 13:45:44 EDT</t>
  </si>
  <si>
    <t>[('CREATED', '2007-03-13 13:40 EDT'), ('ASSIGNED', '2007-07-02 13:45:44 EDT', 'markus.kell.r'), ('stalebug', '2020-02-02 19:47:00 EST', 'genie'), ('CLOSED', '2020-02-02 19:47:00 EST', 'genie'), ('WONTFIX', '2020-02-02 19:47:00 EST', 'genie')]</t>
  </si>
  <si>
    <t>2019-02-27 01:24:29 EST</t>
  </si>
  <si>
    <t>2007-03-13 15:36 EDT</t>
  </si>
  <si>
    <t>2007-07-02 13:46:58 EDT</t>
  </si>
  <si>
    <t>[('CREATED', '2007-03-13 15:36 EDT'), ('ASSIGNED', '2007-07-02 13:46:58 EDT', 'markus.kell.r'), ('stalebug', '2018-10-19 16:38:19 EDT', 'genie'), ('https://git.eclipse.org/r/135812', '2019-01-27 07:19:18 EST', 'genie'), ('https://git.eclipse.org/r/135586', '2019-01-27 07:23:32 EST', 'genie'), (nan, '2019-01-27 10:24:49 EST', 'daniel_megert'), ('daniel_megert, kalyan_prasad', '2019-01-27 10:24:49 EST', 'daniel_megert'), ('review?(kalyan_prasad)', '2019-01-27 10:24:49 EST', 'daniel_megert'), ('kenneth.styrberg', '2019-01-27 10:24:49 EST', 'daniel_megert'), ('4.11 M3', '2019-01-27 10:25:12 EST', 'daniel_megert'), ('https://git.eclipse.org/c/jdt/eclipse.jdt.ui.git/commit/?id=dc8a4ad8db460540b609a80ddfa9f0068bf57268', '2019-02-13 01:47:29 EST', 'genie'), (nan, '2019-02-13 01:50:30 EST', 'kalyan_prasad'), ('review+', '2019-02-13 01:50:37 EST', 'kalyan_prasad'), ('4.11', '2019-02-18 00:40:07 EST', 'kalyan_prasad'), ('4.11 RC1', '2019-02-21 00:03:59 EST', 'noopur_gupta'), ('kenneth', '2019-02-21 02:04:56 EST', 'kenneth.styrberg'), ('noopur_gupta', '2019-02-26 08:02:20 EST', 'noopur_gupta'), ('RESOLVED', '2019-02-27 01:24:29 EST', 'kalyan_prasad'), ('FIXED', '2019-02-27 01:24:29 EST', 'kalyan_prasad')]</t>
  </si>
  <si>
    <t>2007-03-17 17:02:32 EDT</t>
  </si>
  <si>
    <t>2007-03-15 10:18 EDT</t>
  </si>
  <si>
    <t>2007-03-17 17:02:49 EDT</t>
  </si>
  <si>
    <t>[('CREATED', '2007-03-15 10:18 EDT'), ('markus_keller', '2007-03-17 17:02:32 EDT', 'martinae'), ('RESOLVED', '2007-03-17 17:02:32 EDT', 'martinae'), ('WORKSFORME', '2007-03-17 17:02:32 EDT', 'martinae'), ('martin_aeschlimann', '2007-03-17 17:02:49 EDT', 'martinae'), ('[rename] UI for renaming variables broken', '2007-03-17 17:02:49 EDT', 'martinae')]</t>
  </si>
  <si>
    <t>235120 319929 434862 (view as bug list)</t>
  </si>
  <si>
    <t>2007-03-15 15:44 EDT</t>
  </si>
  <si>
    <t>2007-03-15 16:59:33 EDT</t>
  </si>
  <si>
    <t>2019-08-28 05:22:32 EDT</t>
  </si>
  <si>
    <t>[('CREATED', '2007-03-15 15:44 EDT'), ('jdt-ui-inbox', '2007-03-15 16:59:33 EDT', 'emoffatt'), ('UI', '2007-03-15 16:59:33 EDT', 'emoffatt'), ('JDT', '2007-03-15 16:59:33 EDT', 'emoffatt'), ('ASSIGNED', '2007-07-02 13:48:49 EDT', 'markus.kell.r'), ('steimann', '2010-06-15 16:21:42 EDT', 'deepakazad'), ('gsoares', '2010-07-18 05:16:35 EDT', 'deepakazad'), ('melmongiovi', '2014-05-14 11:32:51 EDT', 'daniel_megert'), ('stalebug', '2019-08-27 18:14:53 EDT', 'genie'), ('daniel_megert', '2019-08-28 05:22:32 EDT', 'daniel_megert'), (nan, '2019-08-28 05:22:32 EDT', 'daniel_megert')]</t>
  </si>
  <si>
    <t>177392</t>
  </si>
  <si>
    <t>2020-04-01 02:48:15 EDT</t>
  </si>
  <si>
    <t>2007-03-15 16:10 EDT</t>
  </si>
  <si>
    <t>2007-03-15 16:13:19 EDT</t>
  </si>
  <si>
    <t>[('CREATED', '2007-03-15 16:10 EDT'), ('martin_aeschlimann, philippe_mulet', '2007-03-15 16:13:19 EDT', 'n.a.edgar'), ('jerome_lanneluc', '2007-03-16 05:20:15 EDT', 'philippe_mulet'), ('Many garbage resources created from Java model elements when showing and decorating items', '2007-03-19 10:18:44 EDT', 'n.a.edgar'), ('177392', '2007-03-21 16:01:45 EDT', 'n.a.edgar'), ('3.3 M7', '2007-03-22 05:29:39 EDT', 'philippe_mulet'), ('john_arthorne', '2007-03-27 08:02:25 EDT', 'philippe_mulet'), ('Tod_Creasey', '2007-03-29 09:23:15 EDT', 'n.a.edgar'), ('---', '2007-05-04 07:32:56 EDT', 'jerome_lanneluc'), ('Platform-UI-Inbox', '2007-06-21 04:38:25 EDT', 'jerome_lanneluc'), ('UI', '2007-06-21 04:38:25 EDT', 'jerome_lanneluc'), ('Platform', '2007-06-21 04:38:25 EDT', 'jerome_lanneluc'), ('Tod_Creasey', '2007-06-21 08:49:51 EDT', 'Tod_Creasey'), ('jdt-ui-inbox', '2009-07-15 15:04:42 EDT', 'susan'), ('UI', '2009-07-15 15:04:42 EDT', 'susan'), ('JDT', '2009-07-15 15:04:42 EDT', 'susan'), ('markus_keller', '2009-07-16 09:50:03 EDT', 'markus.kell.r'), ('ASSIGNED', '2009-07-16 09:50:03 EDT', 'markus.kell.r'), ('P5', '2009-07-16 09:50:03 EDT', 'markus.kell.r'), ('CLOSED', '2020-04-01 02:48:15 EDT', 'genie'), ('stalebug', '2020-04-01 02:48:15 EDT', 'genie'), ('WONTFIX', '2020-04-01 02:48:15 EDT', 'genie')]</t>
  </si>
  <si>
    <t>2007-04-05 13:35:11 EDT</t>
  </si>
  <si>
    <t>2007-03-16 04:17 EDT</t>
  </si>
  <si>
    <t>2007-03-17 16:39:07 EDT</t>
  </si>
  <si>
    <t>[('CREATED', '2007-03-16 04:17 EDT'), ('martin_aeschlimann', '2007-03-17 16:39:07 EDT', 'martinae'), ('markus_keller', '2007-03-17 16:39:07 EDT', 'martinae'), ('[rename] Inplace Rename refactoring not consistent with dialog refactoring', '2007-03-17 16:39:07 EDT', 'martinae'), ('3.3 M7', '2007-03-19 07:21:16 EDT', 'markus.kell.r'), ('ASSIGNED', '2007-03-19 07:21:16 EDT', 'markus.kell.r'), ('RESOLVED', '2007-04-05 13:35:11 EDT', 'markus.kell.r'), ('FIXED', '2007-04-05 13:35:11 EDT', 'markus.kell.r')]</t>
  </si>
  <si>
    <t>2012-12-04 03:07:24 EST</t>
  </si>
  <si>
    <t>2007-03-18 12:57 EDT</t>
  </si>
  <si>
    <t>2007-03-21 06:51:48 EDT</t>
  </si>
  <si>
    <t>[('CREATED', '2007-03-18 12:57 EDT'), ('tobias_widmer', '2007-03-21 06:51:48 EDT', 'martinae'), ('jdt-ui-inbox', '2007-06-14 10:44:55 EDT', 'martinae'), ('ASSIGNED', '2007-07-02 13:49:45 EDT', 'markus.kell.r'), ('BrianMiller', '2009-02-12 09:56:53 EST', 'Brian.Miller'), ('milos.gligoric', '2012-12-02 16:59:21 EST', 'milos.gligoric'), ('RESOLVED', '2012-12-04 03:07:24 EST', 'daniel_megert'), ('daniel_megert', '2012-12-04 03:07:24 EST', 'daniel_megert'), ('FIXED', '2012-12-04 03:07:24 EST', 'daniel_megert')]</t>
  </si>
  <si>
    <t>2007-04-02 09:08:16 EDT</t>
  </si>
  <si>
    <t>2009-08-30 02:35:15 EDT</t>
  </si>
  <si>
    <t>2007-03-18 21:03 EDT</t>
  </si>
  <si>
    <t>2007-03-19 05:20:53 EDT</t>
  </si>
  <si>
    <t>[('CREATED', '2007-03-18 21:03 EDT'), ('benno_baumgartner', '2007-03-19 05:20:53 EDT', 'martinae'), ('alex_blewitt', '2007-03-20 07:27:15 EDT', 'alex.blewitt'), ('RESOLVED', '2007-04-02 09:08:16 EDT', 'benno.baumgartner'), ('LATER', '2007-04-02 09:08:16 EDT', 'benno.baumgartner'), ('WONTFIX', '2009-08-30 02:35:15 EDT', 'webmaster'), ('jdt-ui-inbox', '2009-08-30 02:35:15 EDT', 'webmaster')]</t>
  </si>
  <si>
    <t>2007-05-11 05:25:57 EDT</t>
  </si>
  <si>
    <t>2007-05-16 08:33:25 EDT</t>
  </si>
  <si>
    <t>2007-03-19 05:06 EDT</t>
  </si>
  <si>
    <t>2007-03-19 06:39:14 EDT</t>
  </si>
  <si>
    <t>[('CREATED', '2007-03-19 05:06 EDT'), ('markus_keller', '2007-03-19 06:39:14 EDT', 'markus.kell.r'), ('martin_aeschlimann', '2007-05-09 06:02:37 EDT', 'martinae'), ('review?(markus_keller)', '2007-05-09 06:02:37 EDT', 'martinae'), ('FIXED', '2007-05-11 05:25:57 EDT', 'markus.kell.r'), ('3.3 RC1', '2007-05-11 05:25:57 EDT', 'markus.kell.r'), ('review+', '2007-05-11 05:25:57 EDT', 'markus.kell.r'), ('RESOLVED', '2007-05-11 05:25:57 EDT', 'markus.kell.r'), ('VERIFIED', '2007-05-16 08:33:25 EDT', 'benno.baumgartner')]</t>
  </si>
  <si>
    <t>2007-03-19 12:21 EDT</t>
  </si>
  <si>
    <t>2007-03-21 06:53:13 EDT</t>
  </si>
  <si>
    <t>2020-08-11 10:51:35 EDT</t>
  </si>
  <si>
    <t>[('CREATED', '2007-03-19 12:21 EDT'), ('tobias_widmer', '2007-03-21 06:53:13 EDT', 'martinae'), ('jdt-ui-inbox', '2007-06-14 10:46:46 EDT', 'martinae'), ('ASSIGNED', '2007-07-02 13:53:28 EDT', 'markus.kell.r'), ('stalebug', '2020-08-11 10:51:35 EDT', 'genie')]</t>
  </si>
  <si>
    <t>2007-03-20 17:56 EDT</t>
  </si>
  <si>
    <t>2007-03-20 19:48:40 EDT</t>
  </si>
  <si>
    <t>2019-09-06 16:53:11 EDT</t>
  </si>
  <si>
    <t>[('CREATED', '2007-03-20 17:56 EDT'), ('jdt-ui-inbox', '2007-03-20 19:48:40 EDT', 'Olivier_Thomann'), ('UI', '2007-03-20 19:48:40 EDT', 'Olivier_Thomann'), ('markus_keller', '2007-03-21 07:55:47 EDT', 'martinae'), ('markus_keller', '2007-03-21 07:55:47 EDT', 'martinae'), ('[change method signature] Refactoring fails with InvocationTargetException', '2007-03-21 07:55:47 EDT', 'martinae'), ('martin_aeschlimann', '2007-03-21 07:56:00 EDT', 'martinae'), ('ASSIGNED', '2007-03-21 11:19:44 EDT', 'markus.kell.r'), ('[change method signature] NPE in ConstructorReferenceFinder', '2007-03-21 11:19:44 EDT', 'markus.kell.r'), ('stalebug', '2019-09-06 16:53:11 EDT', 'genie')]</t>
  </si>
  <si>
    <t>2020-03-10 12:37:29 EDT</t>
  </si>
  <si>
    <t>2007-03-22 06:30 EDT</t>
  </si>
  <si>
    <t>2007-03-22 08:03:27 EDT</t>
  </si>
  <si>
    <t>[('CREATED', '2007-03-22 06:30 EDT'), ('jdt-ui-inbox', '2007-03-22 08:03:27 EDT', 'philippe_mulet'), ('UI', '2007-03-22 08:03:27 EDT', 'philippe_mulet'), ('markus_keller', '2007-03-22 08:05:26 EDT', 'martinae'), ('[infer type arguments] NPE in infer type arguments when Code contains error', '2007-03-22 08:05:26 EDT', 'martinae'), ('milos.gligoric', '2012-11-27 19:03:08 EST', 'milos.gligoric'), ('CLOSED', '2020-03-10 12:37:29 EDT', 'genie'), ('stalebug', '2020-03-10 12:37:29 EDT', 'genie'), ('WONTFIX', '2020-03-10 12:37:29 EDT', 'genie')]</t>
  </si>
  <si>
    <t>2007-07-19 10:00:33 EDT</t>
  </si>
  <si>
    <t>2007-03-22 13:30 EDT</t>
  </si>
  <si>
    <t>2007-03-23 04:17:42 EDT</t>
  </si>
  <si>
    <t>[('CREATED', '2007-03-22 13:30 EDT'), ('ASSIGNED', '2007-03-23 04:17:42 EDT', 'martinae'), ('[dnd] Drag and drop more than one class to dest package', '2007-03-23 04:17:42 EDT', 'martinae'), ('WORKSFORME', '2007-07-19 10:00:33 EDT', 'benno.baumgartner'), ('RESOLVED', '2007-07-19 10:00:33 EDT', 'benno.baumgartner')]</t>
  </si>
  <si>
    <t>2007-03-24 14:55 EDT</t>
  </si>
  <si>
    <t>2007-03-25 10:45:37 EDT</t>
  </si>
  <si>
    <t>2010-11-04 06:46:57 EDT</t>
  </si>
  <si>
    <t>[('CREATED', '2007-03-24 14:55 EDT'), ('jdt-ui-inbox', '2007-03-25 10:45:37 EDT', 'Olivier_Thomann'), ('UI', '2007-03-25 10:45:37 EDT', 'Olivier_Thomann'), ('ASSIGNED', '2007-03-26 09:49:40 EDT', 'martinae'), ('[refactoring] [dcr] Refactoring: merge interfaces', '2007-03-26 09:49:40 EDT', 'martinae'), ('helpwanted', '2007-03-27 03:45:51 EDT', 'martinae'), ('mn', '2008-11-29 17:19:27 EST', 'mn'), ('daniel_megert', '2010-11-04 06:46:57 EDT', 'daniel_megert'), ('[refactoring] Refactoring: merge interfaces', '2010-11-04 06:46:57 EDT', 'daniel_megert')]</t>
  </si>
  <si>
    <t>40358 298294 (view as bug list)</t>
  </si>
  <si>
    <t>2007-03-26 07:55 EDT</t>
  </si>
  <si>
    <t>2007-03-27 03:45:23 EDT</t>
  </si>
  <si>
    <t>2019-09-15 04:14:08 EDT</t>
  </si>
  <si>
    <t>[('CREATED', '2007-03-26 07:55 EDT'), ("[extract method] from constructor doesn't handle final members of class", '2007-03-27 03:45:23 EDT', 'martinae'), ('ASSIGNED', '2007-04-02 12:38:19 EDT', 'martinae'), ('markus_keller', '2009-08-02 08:53:05 EDT', 'b.muskalla'), ('bmuskalla', '2009-08-02 08:53:05 EDT', 'b.muskalla'), ('NEW', '2009-08-02 08:53:05 EDT', 'b.muskalla'), ('zvikico', '2010-01-25 10:00:22 EST', 'markus.kell.r'), ('akiezun', '2010-01-25 10:00:31 EST', 'markus.kell.r'), ('stalebug', '2019-09-15 04:14:08 EDT', 'genie')]</t>
  </si>
  <si>
    <t>2009-09-18 13:36:19 EDT</t>
  </si>
  <si>
    <t>2009-08-30 02:06:07 EDT</t>
  </si>
  <si>
    <t>2009-09-18 10:39:02 EDT</t>
  </si>
  <si>
    <t>2007-03-27 06:06 EDT</t>
  </si>
  <si>
    <t>2007-03-28 07:06:45 EDT</t>
  </si>
  <si>
    <t>[('CREATED', '2007-03-27 06:06 EDT'), ('RESOLVED', '2007-03-28 07:06:45 EDT', 'martinae'), ('REMIND', '2007-03-28 07:06:45 EDT', 'martinae'), ('needinfo', '2009-08-30 02:06:07 EDT', 'denis.roy'), ('INVALID', '2009-08-30 02:06:07 EDT', 'denis.roy'), (nan, '2009-09-18 10:39:02 EDT', 'markus.kell.r'), ('REOPENED', '2009-09-18 10:39:02 EDT', 'markus.kell.r'), ('---', '2009-09-18 10:39:02 EDT', 'markus.kell.r'), ('ASSIGNED', '2009-09-18 10:39:12 EDT', 'markus.kell.r'), ('RESOLVED', '2009-09-18 13:36:19 EDT', 'markus.kell.r'), ('FIXED', '2009-09-18 13:36:19 EDT', 'markus.kell.r'), ('markus_keller', '2009-09-18 13:36:19 EDT', 'markus.kell.r'), ('3.6 M3', '2009-09-18 13:36:19 EDT', 'markus.kell.r')]</t>
  </si>
  <si>
    <t>2007-03-28 06:57:48 EDT</t>
  </si>
  <si>
    <t>2009-08-30 02:06:53 EDT</t>
  </si>
  <si>
    <t>2020-02-03 13:06:48 EST</t>
  </si>
  <si>
    <t>2010-05-09 12:20:11 EDT</t>
  </si>
  <si>
    <t>2007-03-28 04:45 EDT</t>
  </si>
  <si>
    <t>[('CREATED', '2007-03-28 04:45 EDT'), ('RESOLVED', '2007-03-28 06:57:48 EDT', 'martinae'), ('REMIND', '2007-03-28 06:57:48 EDT', 'martinae'), ('[quick fix] AssertionFailedException logged while editing Java source', '2007-03-28 06:57:48 EDT', 'martinae'), ('needinfo', '2009-08-30 02:06:53 EDT', 'denis.roy'), ('INVALID', '2009-08-30 02:06:53 EDT', 'denis.roy'), ('REOPENED', '2010-05-09 12:20:11 EDT', 'markus.kell.r'), ('markus_keller', '2010-05-09 12:20:11 EDT', 'markus.kell.r'), ('---', '2010-05-09 12:20:11 EDT', 'markus.kell.r'), ('fix candidate', '2010-05-09 12:20:11 EDT', 'markus.kell.r'), (nan, '2010-05-09 12:20:11 EDT', 'markus.kell.r'), ('ASSIGNED', '2010-05-09 12:20:22 EDT', 'markus.kell.r'), ('WONTFIX', '2020-02-03 13:06:48 EST', 'genie'), ('stalebug', '2020-02-03 13:06:48 EST', 'genie'), ('CLOSED', '2020-02-03 13:06:48 EST', 'genie')]</t>
  </si>
  <si>
    <t>2007-04-13 11:33:00 EDT</t>
  </si>
  <si>
    <t>2007-03-29 07:04 EDT</t>
  </si>
  <si>
    <t>2007-03-29 07:04:52 EDT</t>
  </si>
  <si>
    <t>[('CREATED', '2007-03-29 07:04 EDT'), ('nekronomika', '2007-03-29 07:04:52 EDT', 'nekronomika'), ('jdt-ui-inbox', '2007-03-29 07:10:34 EDT', 'frederic_fusier'), ('UI', '2007-03-29 07:10:34 EDT', 'frederic_fusier'), ('martin_aeschlimann', '2007-04-13 11:33:00 EDT', 'martinae'), ('RESOLVED', '2007-04-13 11:33:00 EDT', 'martinae'), ('INVALID', '2007-04-13 11:33:00 EDT', 'martinae')]</t>
  </si>
  <si>
    <t>2007-04-13 11:32:27 EDT</t>
  </si>
  <si>
    <t>2007-03-30 12:06 EDT</t>
  </si>
  <si>
    <t>2007-03-30 12:09:27 EDT</t>
  </si>
  <si>
    <t>[('CREATED', '2007-03-30 12:06 EDT'), ('jdt-ui-inbox', '2007-03-30 12:09:27 EDT', 'Olivier_Thomann'), ('UI', '2007-03-30 12:09:27 EDT', 'Olivier_Thomann'), ('[convert anonymous] Crash when anonymmous inherit from binary inner class.', '2007-04-04 11:03:33 EDT', 'martinae'), ('3.3', '2007-04-04 11:03:33 EDT', 'martinae'), ('RESOLVED', '2007-04-13 11:32:27 EDT', 'martinae'), ('FIXED', '2007-04-13 11:32:27 EDT', 'martinae')]</t>
  </si>
  <si>
    <t>2007-03-31 05:55 EDT</t>
  </si>
  <si>
    <t>2007-04-02 13:09:01 EDT</t>
  </si>
  <si>
    <t>2018-11-09 05:23:47 EST</t>
  </si>
  <si>
    <t>[('CREATED', '2007-03-31 05:55 EDT'), ('ASSIGNED', '2007-04-02 13:09:01 EDT', 'martinae'), ('[jar exporter] refactor-&gt;rename project does not update jardesc references', '2007-04-02 13:09:01 EDT', 'martinae'), ('shepherd.travis', '2008-11-10 11:11:51 EST', 'shepherd.travis'), ('daniel_megert', '2008-11-11 09:02:58 EST', 'daniel_megert'), ('markus_keller', '2008-11-19 10:07:11 EST', 'daniel_megert'), ('[jar exporter][rename] refactor-&gt;rename project does not update jardesc references', '2008-11-21 02:43:38 EST', 'daniel_megert'), ('stalebug', '2018-11-09 05:23:47 EST', 'genie')]</t>
  </si>
  <si>
    <t>156357 157314 179179</t>
  </si>
  <si>
    <t>2007-04-02 10:50:53 EDT</t>
  </si>
  <si>
    <t>2007-04-01 21:45 EDT</t>
  </si>
  <si>
    <t>2007-04-01 21:47:41 EDT</t>
  </si>
  <si>
    <t>[('CREATED', '2007-04-01 21:45 EDT'), ('markus_keller, Mike_Wilson', '2007-04-01 21:47:41 EDT', 'mdelder'), ('156357, 157314, 179179', '2007-04-01 21:51:45 EDT', 'mdelder'), ('[Common Navigator] Patch for bugs 179179, 157314, 156357', '2007-04-01 21:51:45 EDT', 'mdelder'), ('awaitingfeedback', '2007-04-01 21:51:45 EDT', 'mdelder'), ('martin_aeschlimann', '2007-04-02 06:50:23 EDT', 'martinae'), ('ASSIGNED', '2007-04-02 08:51:37 EDT', 'mdelder'), ('1', '2007-04-02 10:37:41 EDT', 'mdelder'), ('179719', '2007-04-02 10:43:53 EDT', 'mdelder'), ('[Common Navigator] Patch for bugs 179719, 157314, 156357', '2007-04-02 10:44:19 EDT', 'mdelder'), ('179179', '2007-04-02 10:50:53 EDT', 'martinae'), ('RESOLVED', '2007-04-02 10:50:53 EDT', 'martinae'), ('FIXED', '2007-04-02 10:50:53 EDT', 'martinae'), ('[Common Navigator] Patch for bugs 179179, 157314, 156357', '2007-04-02 10:50:53 EDT', 'martinae'), ('3.3 M7', '2007-04-02 10:50:53 EDT', 'martinae')]</t>
  </si>
  <si>
    <t>270371 (view as bug list)</t>
  </si>
  <si>
    <t>2007-04-04 03:46 EDT</t>
  </si>
  <si>
    <t>2007-04-04 08:46:26 EDT</t>
  </si>
  <si>
    <t>2009-03-30 04:52:06 EDT</t>
  </si>
  <si>
    <t>[('CREATED', '2007-04-04 03:46 EDT'), ('remy.suen', '2007-04-04 08:46:26 EDT', 'remy.suen'), ('pombredanne', '2007-04-08 01:55:53 EDT', 'pombredanne'), ('martin_aeschlimann', '2007-04-10 13:14:30 EDT', 'martinae'), ('nitind', '2007-04-11 16:02:09 EDT', 'thatnitind'), ('andrey', '2007-08-28 01:04:21 EDT', 'andrey'), ('enhancement', '2007-08-29 03:38:05 EDT', 'martinae'), ('P5', '2007-08-29 03:38:05 EDT', 'martinae'), ('eclipse.rc', '2007-09-28 20:13:47 EDT', 'eclipse'), ('himself', '2007-10-10 17:39:41 EDT', 'himself'), ('d_a_carver', '2007-12-01 16:32:46 EST', 'd_a_carver'), ('KetanPadegaonkar', '2008-05-20 15:04:50 EDT', 'KetanPadegaonkar'), ('gerhard', '2008-08-19 16:48:50 EDT', 'gerhard'), (nan, '2008-08-19 18:03:07 EDT', 'himself'), ('zx', '2008-08-19 18:39:12 EDT', 'caniszczyk'), ('daniel_megert, markus_keller', '2008-08-20 03:33:02 EDT', 'daniel_megert'), ('ASSIGNED', '2008-08-20 03:33:02 EDT', 'daniel_megert'), ('[JUnit] Generalize JUnit testing framework', '2008-08-20 03:33:02 EDT', 'daniel_megert'), ('erik.putrycz', '2009-03-30 04:52:06 EDT', 'daniel_megert')]</t>
  </si>
  <si>
    <t>2007-04-23 06:41:54 EDT</t>
  </si>
  <si>
    <t>2007-04-04 08:26 EDT</t>
  </si>
  <si>
    <t>2007-04-04 09:30:24 EDT</t>
  </si>
  <si>
    <t>[('CREATED', '2007-04-04 08:26 EDT'), ('minor', '2007-04-04 09:30:24 EDT', 'benno.baumgartner'), ('ASSIGNED', '2007-04-04 09:30:24 EDT', 'benno.baumgartner'), ('[clean up] sort fields should warn for semantic change', '2007-04-04 09:30:24 EDT', 'benno.baumgartner'), ('3.3 M7', '2007-04-04 09:30:24 EDT', 'benno.baumgartner'), ('benno_baumgartner', '2007-04-04 09:30:53 EDT', 'benno.baumgartner'), ('NEW', '2007-04-04 09:30:53 EDT', 'benno.baumgartner'), ('RESOLVED', '2007-04-23 06:41:54 EDT', 'benno.baumgartner'), ('FIXED', '2007-04-23 06:41:54 EDT', 'benno.baumgartner')]</t>
  </si>
  <si>
    <t>2007-04-10 13:15:45 EDT</t>
  </si>
  <si>
    <t>2007-04-04 11:10 EDT</t>
  </si>
  <si>
    <t>[('CREATED', '2007-04-04 11:10 EDT'), ('WONTFIX', '2007-04-10 13:15:45 EDT', 'martinae'), ('[rename] Undo rename type with Unicode literals garbles source', '2007-04-10 13:15:45 EDT', 'martinae'), ('RESOLVED', '2007-04-10 13:15:45 EDT', 'martinae')]</t>
  </si>
  <si>
    <t>2007-04-04 15:24 EDT</t>
  </si>
  <si>
    <t>2007-04-10 13:16:46 EDT</t>
  </si>
  <si>
    <t>2019-04-18 11:20:22 EDT</t>
  </si>
  <si>
    <t>[('CREATED', '2007-04-04 15:24 EDT'), ('tobias_widmer', '2007-04-10 13:16:46 EDT', 'martinae'), ('[move static members] Moving field gives illegal result.', '2007-04-10 13:16:46 EDT', 'martinae'), ('jdt-ui-inbox', '2007-06-14 10:45:36 EDT', 'martinae'), ('stalebug', '2019-04-18 10:40:23 EDT', 'genie'), ('daniel_megert', '2019-04-18 11:20:22 EDT', 'daniel_megert'), (nan, '2019-04-18 11:20:22 EDT', 'daniel_megert'), ('ASSIGNED', '2019-04-18 11:20:22 EDT', 'daniel_megert')]</t>
  </si>
  <si>
    <t>2007-04-13 12:40:09 EDT</t>
  </si>
  <si>
    <t>2007-04-04 16:17 EDT</t>
  </si>
  <si>
    <t>2007-04-10 13:18:02 EDT</t>
  </si>
  <si>
    <t>[('CREATED', '2007-04-04 16:17 EDT'), ('[convert anonymous] Class not compilable after refactoring', '2007-04-10 13:18:02 EDT', 'martinae'), ('RESOLVED', '2007-04-13 12:40:09 EDT', 'martinae'), ('FIXED', '2007-04-13 12:40:09 EDT', 'martinae'), ('3.3 M7', '2007-04-13 12:40:09 EDT', 'martinae')]</t>
  </si>
  <si>
    <t>RESOLVED  DUPLICATE  of bug 181058</t>
  </si>
  <si>
    <t>2007-04-06 00:34:43 EDT</t>
  </si>
  <si>
    <t>2007-04-04 16:41 EDT</t>
  </si>
  <si>
    <t>2007-04-04 16:42:20 EDT</t>
  </si>
  <si>
    <t>wassim.melhem</t>
  </si>
  <si>
    <t>[('CREATED', '2007-04-04 16:41 EDT'), ('sarcher', '2007-04-04 16:42:20 EDT', 'branigan'), ('RESOLVED', '2007-04-06 00:34:43 EDT', 'wassim.melhem'), ('DUPLICATE', '2007-04-06 00:34:43 EDT', 'wassim.melhem')]</t>
  </si>
  <si>
    <t>2007-04-04 17:51 EDT</t>
  </si>
  <si>
    <t>2007-04-10 13:18:33 EDT</t>
  </si>
  <si>
    <t>2019-02-12 00:23:00 EST</t>
  </si>
  <si>
    <t>[('CREATED', '2007-04-04 17:51 EDT'), ('markus_keller', '2007-04-10 13:18:33 EDT', 'martinae'), ('[inline] CTRL+S during new inline refactoring does not perform the refactor', '2007-04-10 13:18:33 EDT', 'martinae'), ('[rename] CTRL+S during new inline refactoring does not perform the refactor', '2007-04-24 10:06:50 EDT', 'markus.kell.r'), ('stalebug', '2019-02-12 00:23:00 EST', 'genie')]</t>
  </si>
  <si>
    <t>CLOSED  DUPLICATE  of bug 27740</t>
  </si>
  <si>
    <t>2010-08-18 02:55:46 EDT</t>
  </si>
  <si>
    <t>2007-04-05 02:42 EDT</t>
  </si>
  <si>
    <t>2007-04-23 14:49:39 EDT</t>
  </si>
  <si>
    <t>[('CREATED', '2007-04-05 02:42 EDT'), ('jdt-text-inbox', '2007-04-23 14:49:39 EDT', 'Tod_Creasey'), ('Text', '2007-04-23 14:49:39 EDT', 'Tod_Creasey'), ('JDT', '2007-04-23 14:49:39 EDT', 'Tod_Creasey'), ('UI', '2007-04-23 15:37:27 EDT', 'daniel_megert'), ('jdt-ui-inbox', '2007-04-23 15:37:27 EDT', 'daniel_megert'), ('ASSIGNED', '2007-04-24 07:15:37 EDT', 'martinae'), ('[extract local] should warn on side-effects', '2007-04-24 07:15:37 EDT', 'martinae'), ('CLOSED', '2010-08-18 02:55:46 EDT', 'daniel_megert'), ('daniel_megert', '2010-08-18 02:55:46 EDT', 'daniel_megert'), ('DUPLICATE', '2010-08-18 02:55:46 EDT', 'daniel_megert')]</t>
  </si>
  <si>
    <t>2007-04-11 13:25:03 EDT</t>
  </si>
  <si>
    <t>2007-04-10 13:22 EDT</t>
  </si>
  <si>
    <t>2007-04-11 13:24:43 EDT</t>
  </si>
  <si>
    <t>[('CREATED', '2007-04-10 13:22 EDT'), ('markus_keller', '2007-04-11 13:24:43 EDT', 'markus.kell.r'), ('3.3 M7', '2007-04-11 13:24:43 EDT', 'markus.kell.r'), ('FIXED', '2007-04-11 13:25:03 EDT', 'markus.kell.r'), ('RESOLVED', '2007-04-11 13:25:03 EDT', 'markus.kell.r')]</t>
  </si>
  <si>
    <t>175957 (view as bug list)</t>
  </si>
  <si>
    <t>184594 184597</t>
  </si>
  <si>
    <t>2007-04-30 06:01:42 EDT</t>
  </si>
  <si>
    <t>2007-04-13 12:59:51 EDT</t>
  </si>
  <si>
    <t>2007-04-10 15:30 EDT</t>
  </si>
  <si>
    <t>2007-05-03 16:32:26 EDT</t>
  </si>
  <si>
    <t>bpasero</t>
  </si>
  <si>
    <t>[('CREATED', '2007-04-10 15:30 EDT'), ('RESOLVED', '2007-04-13 12:59:51 EDT', 'martinae'), ('WORKSFORME', '2007-04-13 12:59:51 EDT', 'martinae'), ('martin_aeschlimann', '2007-04-15 15:34:21 EDT', 'martinae'), ('sxenos', '2007-04-17 19:19:42 EDT', 'sxenos'), ('daniel_megert', '2007-04-18 03:36:32 EDT', 'daniel_megert'), ('markus_keller', '2007-04-18 03:38:01 EDT', 'daniel_megert'), ('erich_gamma', '2007-04-18 06:14:52 EDT', 'martinae'), ('susan_franklin', '2007-04-23 18:11:50 EDT', 'susan'), ('1', '2007-04-24 11:54:37 EDT', 'Kevin_McGuire'), ('markus_keller', '2007-04-27 12:02:07 EDT', 'markus.kell.r'), ('ASSIGNED', '2007-04-27 12:02:07 EDT', 'markus.kell.r'), ('---', '2007-04-27 12:02:07 EDT', 'markus.kell.r'), ('184594', '2007-04-28 08:21:00 EDT', 'markus.kell.r'), ('184597', '2007-04-28 08:30:26 EDT', 'markus.kell.r'), ('RESOLVED', '2007-04-30 06:01:42 EDT', 'markus.kell.r'), ('FIXED', '2007-04-30 06:01:42 EDT', 'markus.kell.r'), ('3.3 M7', '2007-04-30 06:01:42 EDT', 'markus.kell.r'), ('bpasero', '2007-05-03 16:32:26 EDT', 'bpasero')]</t>
  </si>
  <si>
    <t>2007-04-10 19:15 EDT</t>
  </si>
  <si>
    <t>2007-04-13 13:00:48 EDT</t>
  </si>
  <si>
    <t>2020-08-27 12:30:27 EDT</t>
  </si>
  <si>
    <t>[('CREATED', '2007-04-10 19:15 EDT'), ('[generalize type] ChangeTypeAction does not work when an assignment uses the conditional expression format', '2007-04-13 13:00:48 EDT', 'martinae'), ('stalebug', '2020-08-27 12:30:27 EDT', 'genie')]</t>
  </si>
  <si>
    <t>2007-04-19 05:18:03 EDT</t>
  </si>
  <si>
    <t>2007-04-11 04:43 EDT</t>
  </si>
  <si>
    <t>2007-04-15 09:55:53 EDT</t>
  </si>
  <si>
    <t>[('CREATED', '2007-04-11 04:43 EDT'), ('tobias_widmer', '2007-04-15 09:55:53 EDT', 'martinae'), ('Quick Fix Refactorings not in Refactoring History', '2007-04-15 09:55:53 EDT', 'martinae'), ('martin_aeschlimann', '2007-04-19 05:17:47 EDT', 'martinae'), ('[quick fix] Quick Fix Refactorings not in Refactoring History', '2007-04-19 05:17:47 EDT', 'martinae'), ('RESOLVED', '2007-04-19 05:18:03 EDT', 'martinae'), ('WONTFIX', '2007-04-19 05:18:03 EDT', 'martinae')]</t>
  </si>
  <si>
    <t>2007-04-11 08:12:02 EDT</t>
  </si>
  <si>
    <t>2007-05-02 13:15:49 EDT</t>
  </si>
  <si>
    <t>2007-04-11 06:49 EDT</t>
  </si>
  <si>
    <t>2007-04-11 06:50:08 EDT</t>
  </si>
  <si>
    <t>[('CREATED', '2007-04-11 06:49 EDT'), ('markus_keller', '2007-04-11 06:50:08 EDT', 'markus.kell.r'), ('3.3 M7', '2007-04-11 06:50:08 EDT', 'markus.kell.r'), ('martin_aeschlimann', '2007-04-11 08:12:02 EDT', 'markus.kell.r'), ('RESOLVED', '2007-04-11 08:12:02 EDT', 'markus.kell.r'), ('FIXED', '2007-04-11 08:12:02 EDT', 'markus.kell.r'), ('VERIFIED', '2007-05-02 13:15:49 EDT', 'daniel_megert')]</t>
  </si>
  <si>
    <t>2007-04-11 10:48 EDT</t>
  </si>
  <si>
    <t>2019-11-26 15:14:10 EST</t>
  </si>
  <si>
    <t>[('CREATED', '2007-04-11 10:48 EDT'), ('stalebug', '2019-11-26 15:14:10 EST', 'genie')]</t>
  </si>
  <si>
    <t>240486 (view as bug list)</t>
  </si>
  <si>
    <t>2020-03-27 18:48:13 EDT</t>
  </si>
  <si>
    <t>2007-04-11 23:18 EDT</t>
  </si>
  <si>
    <t>2007-05-09 04:43:27 EDT</t>
  </si>
  <si>
    <t>[('CREATED', '2007-04-11 23:18 EDT'), ('ASSIGNED', '2007-05-09 04:43:27 EDT', 'martinae'), ('[refactoring scripts] Should be possible to "Migrate JAR File" in User Libraries', '2007-05-09 04:43:27 EDT', 'martinae'), ('daniel_megert', '2008-07-14 06:33:37 EDT', 'daniel_megert'), ('maxxyme', '2008-07-14 06:33:47 EDT', 'daniel_megert'), ("[refactoring scripts] Add 'Migrate JAR File...' to 'Build Path' context menu for all available JARs", '2008-07-14 06:35:28 EDT', 'daniel_megert'), ('normal', '2008-07-15 03:59:45 EDT', 'daniel_megert'), ('[refactoring scripts] Migrate JARs not available for JARs inside libraries', '2008-07-15 03:59:45 EDT', 'daniel_megert'), ('3.5', '2008-07-15 03:59:45 EDT', 'daniel_megert'), ('---', '2009-04-30 08:47:55 EDT', 'daniel_megert'), ('stalebug', '2020-03-27 18:48:13 EDT', 'genie'), ('WONTFIX', '2020-03-27 18:48:13 EDT', 'genie'), ('CLOSED', '2020-03-27 18:48:13 EDT', 'genie')]</t>
  </si>
  <si>
    <t>2007-04-12 11:47 EDT</t>
  </si>
  <si>
    <t>2007-04-15 10:30:16 EDT</t>
  </si>
  <si>
    <t>2019-09-30 12:00:00 EDT</t>
  </si>
  <si>
    <t>[('CREATED', '2007-04-12 11:47 EDT'), ('tobias_widmer', '2007-04-15 10:30:16 EDT', 'martinae'), ('[convert local] Class not compilable after refactoring', '2007-04-15 10:30:16 EDT', 'martinae'), ('jdt-ui-inbox', '2007-06-14 10:42:24 EDT', 'martinae'), ('stalebug', '2019-09-30 12:00:00 EDT', 'genie')]</t>
  </si>
  <si>
    <t>217796 102279 127442 226151</t>
  </si>
  <si>
    <t>2008-04-21 09:18:26 EDT</t>
  </si>
  <si>
    <t>2007-04-13 11:36 EDT</t>
  </si>
  <si>
    <t>2007-04-13 12:56:19 EDT</t>
  </si>
  <si>
    <t>[('CREATED', '2007-04-13 11:36 EDT'), ('[refactoring] Refactoring could flag affected binaries which are impacted', '2007-04-13 12:56:19 EDT', 'martinae'), ('3.4', '2007-05-03 09:18:31 EDT', 'martinae'), ('markus_keller', '2008-02-14 10:01:50 EST', 'markus.kell.r'), ('127442', '2008-02-14 10:01:50 EST', 'markus.kell.r'), ('102279, 217796', '2008-02-22 08:49:08 EST', 'markus.kell.r'), ('martin_aeschlimann', '2008-03-18 07:02:21 EDT', 'markus.kell.r'), ('ASSIGNED', '2008-03-18 07:02:21 EDT', 'markus.kell.r'), ('3.4 M7', '2008-03-18 07:02:21 EDT', 'markus.kell.r'), ('NEW', '2008-03-18 07:02:35 EDT', 'markus.kell.r'), ('markus_keller', '2008-03-18 07:02:35 EDT', 'markus.kell.r'), ('226151', '2008-04-09 13:50:19 EDT', 'markus.kell.r'), (nan, '2008-04-21 09:18:26 EDT', 'markus.kell.r'), ('RESOLVED', '2008-04-21 09:18:26 EDT', 'markus.kell.r'), ('FIXED', '2008-04-21 09:18:26 EDT', 'markus.kell.r')]</t>
  </si>
  <si>
    <t>2007-04-15 15:53:12 EDT</t>
  </si>
  <si>
    <t>2007-05-02 13:05:37 EDT</t>
  </si>
  <si>
    <t>2007-04-15 10:09 EDT</t>
  </si>
  <si>
    <t>2007-04-15 10:28:40 EDT</t>
  </si>
  <si>
    <t>[('CREATED', '2007-04-15 10:09 EDT'), ('Olivier_Thomann', '2007-04-15 10:28:40 EDT', 'Olivier_Thomann'), ('RESOLVED', '2007-04-15 15:53:12 EDT', 'martinae'), ('FIXED', '2007-04-15 15:53:12 EDT', 'martinae'), ('3.3 M7', '2007-04-15 15:53:12 EDT', 'martinae'), ('VERIFIED', '2007-05-02 13:05:37 EDT', 'daniel_megert')]</t>
  </si>
  <si>
    <t>186153</t>
  </si>
  <si>
    <t>2007-05-10 05:08:31 EDT</t>
  </si>
  <si>
    <t>2007-05-16 08:37:45 EDT</t>
  </si>
  <si>
    <t>2007-05-05 12:34:59 EDT</t>
  </si>
  <si>
    <t>2007-04-15 18:26 EDT</t>
  </si>
  <si>
    <t>2007-04-16 04:51:01 EDT</t>
  </si>
  <si>
    <t>[('CREATED', '2007-04-15 18:26 EDT'), ('martin_aeschlimann', '2007-04-16 04:51:01 EDT', 'martinae'), ('[quick fix] Rename compilation unit QuickFix fails for multiple public types in a file', '2007-04-16 04:51:01 EDT', 'martinae'), ('RESOLVED', '2007-04-16 04:52:18 EDT', 'martinae'), ('FIXED', '2007-04-16 04:52:18 EDT', 'martinae'), ('3.3 M7', '2007-04-16 04:52:18 EDT', 'martinae'), ('REOPENED', '2007-05-05 12:34:59 EDT', 'wuntoy'), ('---', '2007-05-05 12:34:59 EDT', 'wuntoy'), ('[quick fix] Undoing Rename Compilation Unit QuickFix leads to errors', '2007-05-05 12:34:59 EDT', 'wuntoy'), ('[quick fix] Rename Compilation Unit QuickFix leads to errors', '2007-05-05 13:26:00 EDT', 'wuntoy'), ('3.3 RC1', '2007-05-07 04:14:32 EDT', 'martinae'), ('186153', '2007-05-09 09:55:05 EDT', 'martinae'), ('review?(benno_baumgartner)', '2007-05-09 09:57:04 EDT', 'martinae'), ('review+', '2007-05-10 04:58:45 EDT', 'benno.baumgartner'), ('RESOLVED', '2007-05-10 05:08:31 EDT', 'martinae'), ('FIXED', '2007-05-10 05:08:31 EDT', 'martinae'), ('VERIFIED', '2007-05-16 08:37:45 EDT', 'benno.baumgartner')]</t>
  </si>
  <si>
    <t>186691 (view as bug list)</t>
  </si>
  <si>
    <t>2008-12-05 07:07:30 EST</t>
  </si>
  <si>
    <t>2008-12-09 04:50:01 EST</t>
  </si>
  <si>
    <t>2007-04-16 08:34 EDT</t>
  </si>
  <si>
    <t>2007-04-17 04:55:22 EDT</t>
  </si>
  <si>
    <t>[('CREATED', '2007-04-16 08:34 EDT'), ('ASSIGNED', '2007-04-17 04:55:22 EDT', 'martinae'), ('[package explorer] [working sets] Offer delete on a working set', '2007-05-03 09:29:40 EDT', 'martinae'), ('wmitsuda', '2007-05-14 04:47:28 EDT', 'martinae'), ('enhancement', '2007-05-16 08:55:26 EDT', 'martinae'), ('raksha', '2008-11-13 10:31:44 EST', 'daniel_megert'), ('daniel_megert', '2008-11-13 10:31:44 EST', 'daniel_megert'), ('[package explorer][working sets] Offer delete on a working set', '2008-11-13 10:31:44 EST', 'daniel_megert'), ('raksha.vasisht', '2008-11-18 05:32:02 EST', 'daniel_megert'), ('NEW', '2008-11-18 05:32:02 EST', 'daniel_megert'), (nan, '2008-11-18 05:32:02 EST', 'daniel_megert'), ('RESOLVED', '2008-12-05 07:07:30 EST', 'daniel_megert'), ('FIXED', '2008-12-05 07:07:30 EST', 'daniel_megert'), ('3.5 M4', '2008-12-05 07:07:30 EST', 'daniel_megert'), ('iplog+, review+', '2008-12-05 07:07:50 EST', 'daniel_megert'), ('VERIFIED', '2008-12-09 04:50:01 EST', 'daniel_megert')]</t>
  </si>
  <si>
    <t>2007-04-19 06:03:53 EDT</t>
  </si>
  <si>
    <t>2007-05-02 15:09:00 EDT</t>
  </si>
  <si>
    <t>2007-04-18 11:44 EDT</t>
  </si>
  <si>
    <t>2007-04-19 05:15:58 EDT</t>
  </si>
  <si>
    <t>[('CREATED', '2007-04-18 11:44 EDT'), ('markus_keller', '2007-04-19 05:15:58 EDT', 'martinae'), ('RESOLVED', '2007-04-19 06:03:53 EDT', 'markus.kell.r'), ('FIXED', '2007-04-19 06:03:53 EDT', 'markus.kell.r'), ('3.3 M7', '2007-04-19 06:03:53 EDT', 'markus.kell.r'), ('VERIFIED', '2007-05-02 15:09:00 EDT', 'daniel_megert')]</t>
  </si>
  <si>
    <t>2007-04-18 18:02 EDT</t>
  </si>
  <si>
    <t>2007-04-18 19:57:04 EDT</t>
  </si>
  <si>
    <t>[('CREATED', '2007-04-18 18:02 EDT'), ('3.2.1', '2007-04-18 19:57:04 EDT', 'miwako.tokugawa'), ('bill.hilliard', '2007-04-20 11:53:08 EDT', 'bill.hilliard'), ('jdt-ui-inbox', '2007-04-23 15:17:02 EDT', 'Tod_Creasey'), ('UI', '2007-04-23 15:17:02 EDT', 'Tod_Creasey'), ('JDT', '2007-04-23 15:17:02 EDT', 'Tod_Creasey'), ('RESOLVED', '2007-04-24 06:44:20 EDT', 'martinae'), ('DUPLICATE', '2007-04-24 06:44:20 EDT', 'martinae')]</t>
  </si>
  <si>
    <t>2007-04-20 09:57:33 EDT</t>
  </si>
  <si>
    <t>2007-04-19 09:46 EDT</t>
  </si>
  <si>
    <t>[('CREATED', '2007-04-19 09:46 EDT'), ('RESOLVED', '2007-04-20 09:57:33 EDT', 'martinae'), ('WONTFIX', '2007-04-20 09:57:33 EDT', 'martinae'), ('[extract method] Extract Method refactoring does not allow add par for const value', '2007-04-20 09:57:33 EDT', 'martinae')]</t>
  </si>
  <si>
    <t>2007-04-19 10:03 EDT</t>
  </si>
  <si>
    <t>2007-04-20 09:59:55 EDT</t>
  </si>
  <si>
    <t>2019-10-16 19:56:56 EDT</t>
  </si>
  <si>
    <t>[('CREATED', '2007-04-19 10:03 EDT'), ('ASSIGNED', '2007-04-20 09:59:55 EDT', 'martinae'), ("[extract method] Extract Method's occurrence finder can't handle constants in signature", '2007-04-20 09:59:55 EDT', 'martinae'), ('markus_keller', '2009-08-02 08:54:54 EDT', 'b.muskalla'), ('bmuskalla', '2009-08-02 08:54:54 EDT', 'b.muskalla'), ('NEW', '2009-08-02 08:54:54 EDT', 'b.muskalla'), ('ASSIGNED', '2009-08-23 16:23:15 EDT', 'b.muskalla'), ('ralf.zahn', '2009-11-23 08:44:11 EST', 'ralf.zahn'), ('djanoiup', '2012-01-20 02:21:43 EST', 'djanoiup'), ('ian', '2014-04-15 16:32:51 EDT', 'ian'), ('stalebug', '2019-10-16 19:56:56 EDT', 'genie')]</t>
  </si>
  <si>
    <t>2007-04-20 04:10 EDT</t>
  </si>
  <si>
    <t>2008-04-26 17:44:51 EDT</t>
  </si>
  <si>
    <t>2019-09-24 16:30:58 EDT</t>
  </si>
  <si>
    <t>[('CREATED', '2007-04-20 04:10 EDT'), ('martin_aeschlimann', '2008-04-26 17:44:51 EDT', 'martinae'), ('3.5', '2008-04-26 17:44:51 EDT', 'martinae'), ('review-', '2008-08-13 05:43:20 EDT', 'daniel_megert'), ('daniel_megert', '2008-08-14 04:21:46 EDT', 'daniel_megert'), ('ASSIGNED', '2008-08-14 04:21:46 EDT', 'daniel_megert'), ('api', '2008-08-14 04:21:46 EDT', 'daniel_megert'), ('[api] Context menu action groups are unjustifiedly tied to IViewPart', '2008-08-14 04:21:46 EDT', 'daniel_megert'), ('---', '2009-01-30 03:39:55 EST', 'daniel_megert'), ('1', '2009-02-04 08:06:39 EST', 'daniel_megert'), ('stalebug', '2019-09-24 16:30:58 EDT', 'genie')]</t>
  </si>
  <si>
    <t>2007-04-23 12:06:08 EDT</t>
  </si>
  <si>
    <t>2007-04-21 17:57 EDT</t>
  </si>
  <si>
    <t>[('CREATED', '2007-04-21 17:57 EDT'), ('martin_aeschlimann', '2007-04-23 12:06:08 EDT', 'martinae'), ('RESOLVED', '2007-04-23 12:06:08 EDT', 'martinae'), ('WONTFIX', '2007-04-23 12:06:08 EDT', 'martinae')]</t>
  </si>
  <si>
    <t>2007-04-26 12:40:14 EDT</t>
  </si>
  <si>
    <t>2007-04-25 02:09 EDT</t>
  </si>
  <si>
    <t>2007-04-25 07:14:18 EDT</t>
  </si>
  <si>
    <t>[('CREATED', '2007-04-25 02:09 EDT'), ('markus_keller', '2007-04-25 07:14:18 EDT', 'martinae'), ('benno_baumgartner', '2007-04-25 08:14:41 EDT', 'benno.baumgartner'), ('daniel_megert', '2007-04-25 08:35:49 EDT', 'markus.kell.r'), ('ASSIGNED', '2007-04-25 08:35:49 EDT', 'markus.kell.r'), ('[rename] In-place refactoring is vulnerable to backspace', '2007-04-25 08:35:49 EDT', 'markus.kell.r'), ('platform-text-inbox', '2007-04-25 11:01:19 EDT', 'markus.kell.r'), ('NEW', '2007-04-25 11:01:19 EDT', 'markus.kell.r'), ('Text', '2007-04-25 11:01:19 EDT', 'markus.kell.r'), ('Platform', '2007-04-25 11:01:19 EDT', 'markus.kell.r'), ('markus_keller', '2007-04-25 11:01:19 EDT', 'markus.kell.r'), ('ASSIGNED', '2007-04-26 05:30:20 EDT', 'daniel_megert'), ('markus_keller', '2007-04-26 11:14:09 EDT', 'markus.kell.r'), ('NEW', '2007-04-26 11:14:09 EDT', 'markus.kell.r'), ('UI', '2007-04-26 11:14:09 EDT', 'markus.kell.r'), ('JDT', '2007-04-26 11:14:09 EDT', 'markus.kell.r'), ('3.3 M7', '2007-04-26 11:14:09 EDT', 'markus.kell.r'), ('RESOLVED', '2007-04-26 12:40:14 EDT', 'markus.kell.r'), ('FIXED', '2007-04-26 12:40:14 EDT', 'markus.kell.r')]</t>
  </si>
  <si>
    <t>2007-05-04 09:25:19 EDT</t>
  </si>
  <si>
    <t>2007-05-16 10:30:42 EDT</t>
  </si>
  <si>
    <t>2007-04-27 07:14 EDT</t>
  </si>
  <si>
    <t>2007-04-30 17:42:50 EDT</t>
  </si>
  <si>
    <t>2009-06-16 12:38:20 EDT</t>
  </si>
  <si>
    <t>[('CREATED', '2007-04-27 07:14 EDT'), ('[refactoring] Move text refactoring target dialog too big', '2007-04-30 17:42:50 EDT', 'martinae'), ('3.3 RC1', '2007-04-30 17:42:50 EDT', 'martinae'), ('benno_baumgartner', '2007-04-30 17:43:10 EDT', 'martinae'), ('review?', '2007-05-04 09:12:41 EDT', 'benno.baumgartner'), ('martin_aeschlimann', '2007-05-04 09:13:27 EDT', 'benno.baumgartner'), ('RESOLVED', '2007-05-04 09:25:19 EDT', 'benno.baumgartner'), ('FIXED', '2007-05-04 09:25:19 EDT', 'benno.baumgartner'), ('VERIFIED', '2007-05-16 10:30:42 EDT', 'benno.baumgartner'), (nan, '2009-06-16 12:38:20 EDT', 'markus.kell.r')]</t>
  </si>
  <si>
    <t>2007-04-27 09:45:13 EDT</t>
  </si>
  <si>
    <t>2007-04-27 08:40 EDT</t>
  </si>
  <si>
    <t>2007-04-27 10:18:53 EDT</t>
  </si>
  <si>
    <t>[('CREATED', '2007-04-27 08:40 EDT'), ('RESOLVED', '2007-04-27 09:45:13 EDT', 'martinae'), ('WONTFIX', '2007-04-27 09:45:13 EDT', 'martinae'), ('karsten_becker', '2007-04-27 10:18:53 EDT', 'eclipse')]</t>
  </si>
  <si>
    <t>RESOLVED  DUPLICATE  of bug 184666</t>
  </si>
  <si>
    <t>2007-05-09 04:36:11 EDT</t>
  </si>
  <si>
    <t>2007-04-27 15:22 EDT</t>
  </si>
  <si>
    <t>2007-04-27 17:01:06 EDT</t>
  </si>
  <si>
    <t>[('CREATED', '2007-04-27 15:22 EDT'), ('jdt-ui-inbox', '2007-04-27 17:01:06 EDT', 'john.arthorne'), ('UI', '2007-04-27 17:01:06 EDT', 'john.arthorne'), ('JDT', '2007-04-27 17:01:06 EDT', 'john.arthorne'), ('RESOLVED', '2007-05-09 04:36:11 EDT', 'martinae'), ('DUPLICATE', '2007-05-09 04:36:11 EDT', 'martinae')]</t>
  </si>
  <si>
    <t>2009-06-21 16:58:58 EDT</t>
  </si>
  <si>
    <t>2007-04-27 22:54 EDT</t>
  </si>
  <si>
    <t>2007-04-30 03:37:34 EDT</t>
  </si>
  <si>
    <t>[('CREATED', '2007-04-27 22:54 EDT'), ('ASSIGNED', '2007-04-30 03:37:34 EDT', 'martinae'), ("[extract method] Provide more data when it's ambiguous", '2007-04-30 03:37:34 EDT', 'martinae'), ('RESOLVED', '2009-06-21 16:58:58 EDT', 'markus.kell.r'), ('DUPLICATE', '2009-06-21 16:58:58 EDT', 'markus.kell.r'), ('markus_keller', '2009-06-21 16:58:58 EDT', 'markus.kell.r')]</t>
  </si>
  <si>
    <t>2007-05-03 10:47:30 EDT</t>
  </si>
  <si>
    <t>2007-04-28 02:14 EDT</t>
  </si>
  <si>
    <t>2007-04-30 03:39:16 EDT</t>
  </si>
  <si>
    <t>[('CREATED', '2007-04-28 02:14 EDT'), ('markus_keller', '2007-04-30 03:39:16 EDT', 'martinae'), ('[rename] Refactor inline cannot be cancelled.', '2007-04-30 03:39:16 EDT', 'martinae'), ('RESOLVED', '2007-05-03 10:47:30 EDT', 'markus.kell.r'), ('WORKSFORME', '2007-05-03 10:47:30 EDT', 'markus.kell.r'), ('3.3 M7', '2007-05-03 10:47:30 EDT', 'markus.kell.r')]</t>
  </si>
  <si>
    <t>2007-05-03 06:35:21 EDT</t>
  </si>
  <si>
    <t>2007-05-03 12:30:03 EDT</t>
  </si>
  <si>
    <t>2007-05-01 16:14 EDT</t>
  </si>
  <si>
    <t>2007-05-01 16:17:19 EDT</t>
  </si>
  <si>
    <t>[('CREATED', '2007-05-01 16:14 EDT'), ('major', '2007-05-01 16:17:19 EDT', 'john.arthorne'), ('performance', '2007-05-01 16:17:19 EDT', 'john.arthorne'), ('JDT', '2007-05-02 11:57:35 EDT', 'valentam'), ('Michael_Valenta', '2007-05-02 11:57:35 EDT', 'valentam'), ('jdt-ui-inbox', '2007-05-02 11:57:35 EDT', 'valentam'), ('UI', '2007-05-02 11:57:35 EDT', 'valentam'), ('3.3 M7', '2007-05-02 12:31:42 EDT', 'martinae'), ('martin_aeschlimann', '2007-05-03 05:36:07 EDT', 'martinae'), ('markus_keller', '2007-05-03 05:36:07 EDT', 'martinae'), ('RESOLVED', '2007-05-03 06:35:21 EDT', 'markus.kell.r'), ('FIXED', '2007-05-03 06:35:21 EDT', 'markus.kell.r'), ('VERIFIED', '2007-05-03 12:30:03 EDT', 'markus.kell.r')]</t>
  </si>
  <si>
    <t>2007-05-01 21:56 EDT</t>
  </si>
  <si>
    <t>2007-05-02 03:46:18 EDT</t>
  </si>
  <si>
    <t>2010-11-29 11:15:24 EST</t>
  </si>
  <si>
    <t>[('CREATED', '2007-05-01 21:56 EDT'), ('akiezun', '2007-05-02 03:46:18 EDT', 'martinae'), ('[refactoring] [dcr] Refactoring for parameterizing Java classes', '2007-05-02 03:46:18 EDT', 'martinae'), ('daniel_megert', '2010-11-04 06:45:37 EDT', 'daniel_megert'), ('[refactoring] Refactoring for parameterizing Java classes', '2010-11-04 06:45:37 EDT', 'daniel_megert'), ('ASSIGNED', '2010-11-29 11:15:24 EST', 'markus.kell.r'), ('markus_keller', '2010-11-29 11:15:24 EST', 'markus.kell.r'), ('[refactoring] Refactoring for parameterizing Java classes (add generic type parameters)', '2010-11-29 11:15:24 EST', 'markus.kell.r')]</t>
  </si>
  <si>
    <t>77575</t>
  </si>
  <si>
    <t>2009-02-19 10:22:31 EST</t>
  </si>
  <si>
    <t>2007-05-02 06:32:19 EDT</t>
  </si>
  <si>
    <t>2007-05-02 08:35:42 EDT</t>
  </si>
  <si>
    <t>2007-05-02 04:54 EDT</t>
  </si>
  <si>
    <t>2007-05-02 06:25:54 EDT</t>
  </si>
  <si>
    <t>[('CREATED', '2007-05-02 04:54 EDT'), ('jdt-text-inbox', '2007-05-02 06:25:54 EDT', 'markus.kell.r'), ('Text', '2007-05-02 06:25:54 EDT', 'markus.kell.r'), ('RESOLVED', '2007-05-02 06:32:19 EDT', 'daniel_megert'), ('DUPLICATE', '2007-05-02 06:32:19 EDT', 'daniel_megert'), ('REOPENED', '2007-05-02 08:35:42 EDT', 'markus.kell.r'), ('---', '2007-05-02 08:35:42 EDT', 'markus.kell.r'), ('[rename] Undo in in-place refactoring "animates" info popup', '2007-05-02 08:37:08 EDT', 'markus.kell.r'), ('3.3', '2007-05-02 08:37:08 EDT', 'markus.kell.r'), ('77575', '2007-05-02 08:37:08 EDT', 'markus.kell.r'), ('markus_keller', '2007-05-02 08:37:08 EDT', 'markus.kell.r'), ('NEW', '2007-05-02 08:37:08 EDT', 'markus.kell.r'), ('UI', '2007-05-02 08:37:08 EDT', 'markus.kell.r'), ('ASSIGNED', '2007-05-31 06:27:34 EDT', 'markus.kell.r'), ('3.4', '2007-05-31 06:27:34 EDT', 'markus.kell.r'), ('3.5', '2008-05-10 12:26:48 EDT', 'markus.kell.r'), ('RESOLVED', '2009-02-19 10:22:31 EST', 'markus.kell.r'), ('FIXED', '2009-02-19 10:22:31 EST', 'markus.kell.r'), ('3.5 M6', '2009-02-19 10:22:31 EST', 'markus.kell.r')]</t>
  </si>
  <si>
    <t>CLOSED  DUPLICATE  of bug 365380</t>
  </si>
  <si>
    <t>2007-05-08 12:04:34 EDT</t>
  </si>
  <si>
    <t>2012-01-04 04:56:06 EST</t>
  </si>
  <si>
    <t>2007-05-02 06:00 EDT</t>
  </si>
  <si>
    <t>[('CREATED', '2007-05-02 06:00 EDT'), ('markus_keller', '2007-05-08 12:04:34 EDT', 'martinae'), ('RESOLVED', '2007-05-08 12:04:34 EDT', 'martinae'), ('WONTFIX', '2007-05-08 12:04:34 EDT', 'martinae'), ('[rename] Rename refactoring fails if new name is same as compilation unit', '2007-05-08 12:04:34 EDT', 'martinae'), ('daniel_megert', '2012-01-04 04:56:06 EST', 'daniel_megert'), ('DUPLICATE', '2012-01-04 04:56:06 EST', 'daniel_megert'), ('CLOSED', '2012-01-04 04:56:06 EST', 'daniel_megert')]</t>
  </si>
  <si>
    <t>RESOLVED  DUPLICATE  of bug 60132</t>
  </si>
  <si>
    <t>2007-05-08 12:05:50 EDT</t>
  </si>
  <si>
    <t>2007-05-02 07:05 EDT</t>
  </si>
  <si>
    <t>2007-05-08 12:06:23 EDT</t>
  </si>
  <si>
    <t>[('CREATED', '2007-05-02 07:05 EDT'), ('DUPLICATE', '2007-05-08 12:05:50 EDT', 'martinae'), ('RESOLVED', '2007-05-08 12:05:50 EDT', 'martinae'), ('[reorg] Refactor -&gt;Move should have an option move subpackages', '2007-05-08 12:06:23 EDT', 'martinae')]</t>
  </si>
  <si>
    <t>2007-05-07 12:54:57 EDT</t>
  </si>
  <si>
    <t>2007-05-16 10:59:31 EDT</t>
  </si>
  <si>
    <t>2007-05-02 13:18 EDT</t>
  </si>
  <si>
    <t>2007-05-03 02:43:35 EDT</t>
  </si>
  <si>
    <t>2007-05-22 03:50:01 EDT</t>
  </si>
  <si>
    <t>[('CREATED', '2007-05-02 13:18 EDT'), ('markus_keller', '2007-05-03 02:43:35 EDT', 'martinae'), ('[rename] In-place refactoring does not always force preview for contextual matches', '2007-05-03 02:43:35 EDT', 'martinae'), ('review?', '2007-05-07 12:44:31 EDT', 'markus.kell.r'), ('ASSIGNED', '2007-05-07 12:46:25 EDT', 'markus.kell.r'), ('3.3 RC1', '2007-05-07 12:46:25 EDT', 'markus.kell.r'), ('review?(martin_aeschlimann)', '2007-05-07 12:46:25 EDT', 'markus.kell.r'), ('review+', '2007-05-07 12:51:22 EDT', 'martinae'), ('FIXED', '2007-05-07 12:54:57 EDT', 'markus.kell.r'), ('RESOLVED', '2007-05-07 12:54:57 EDT', 'markus.kell.r'), ('VERIFIED', '2007-05-16 10:59:31 EDT', 'benno.baumgartner'), (nan, '2007-05-22 03:50:01 EDT', 'markus.kell.r')]</t>
  </si>
  <si>
    <t>185377</t>
  </si>
  <si>
    <t>2007-05-08 04:05:14 EDT</t>
  </si>
  <si>
    <t>2007-05-16 11:16:16 EDT</t>
  </si>
  <si>
    <t>2007-05-03 09:18 EDT</t>
  </si>
  <si>
    <t>2007-05-03 09:39:11 EDT</t>
  </si>
  <si>
    <t>2007-06-06 12:23:02 EDT</t>
  </si>
  <si>
    <t>[('CREATED', '2007-05-03 09:18 EDT'), ('[introduce parameter object] does not respect field prefix/suffix settings', '2007-05-03 09:39:11 EDT', 'martinae'), ('3.3 RC1', '2007-05-03 09:39:11 EDT', 'martinae'), ('karsten_becker', '2007-05-03 09:39:11 EDT', 'martinae'), ('markus_keller', '2007-05-03 12:23:11 EDT', 'markus.kell.r'), ('1', '2007-05-04 06:15:45 EDT', 'eclipse'), ('review?(markus_keller)', '2007-05-07 07:54:33 EDT', 'eclipse'), ('185377', '2007-05-07 08:56:11 EDT', 'markus.kell.r'), ('review-', '2007-05-07 08:56:11 EDT', 'markus.kell.r'), ('1', '2007-05-07 12:37:37 EDT', 'eclipse'), ('1', '2007-05-07 13:59:43 EDT', 'markus.kell.r'), ('review+, review?(martin_aeschlimann)', '2007-05-07 14:00:22 EDT', 'markus.kell.r'), ('RESOLVED', '2007-05-08 04:05:14 EDT', 'martinae'), ('FIXED', '2007-05-08 04:05:14 EDT', 'martinae'), ('review+', '2007-05-08 04:05:14 EDT', 'martinae'), ('VERIFIED', '2007-05-16 11:16:16 EDT', 'benno.baumgartner'), ('contributed', '2007-06-06 12:23:02 EDT', 'martinae')]</t>
  </si>
  <si>
    <t>2007-05-08 06:34:06 EDT</t>
  </si>
  <si>
    <t>2007-05-16 11:19:33 EDT</t>
  </si>
  <si>
    <t>2007-05-03 09:29 EDT</t>
  </si>
  <si>
    <t>2007-05-03 09:41:40 EDT</t>
  </si>
  <si>
    <t>2007-06-06 12:23:49 EDT</t>
  </si>
  <si>
    <t>[('CREATED', '2007-05-03 09:29 EDT'), ('3.3 RC1', '2007-05-03 09:41:40 EDT', 'martinae'), ('karsten_becker', '2007-05-03 09:41:40 EDT', 'martinae'), ('[introduce parameter object] should make fields private if possible', '2007-05-03 09:41:40 EDT', 'martinae'), ('review?(benno_baumgartner)', '2007-05-07 07:55:08 EDT', 'eclipse'), ('review?(martin_aeschlimann)', '2007-05-08 05:03:18 EDT', 'eclipse'), ('RESOLVED', '2007-05-08 06:34:06 EDT', 'martinae'), ('FIXED', '2007-05-08 06:34:06 EDT', 'martinae'), ('review+', '2007-05-08 06:34:06 EDT', 'martinae'), ('VERIFIED', '2007-05-16 11:19:33 EDT', 'benno.baumgartner'), ('review+', '2007-05-16 11:19:33 EDT', 'benno.baumgartner'), ('contributed', '2007-06-06 12:23:49 EDT', 'martinae')]</t>
  </si>
  <si>
    <t>2007-08-08 12:21:16 EDT</t>
  </si>
  <si>
    <t>2007-08-09 09:40:23 EDT</t>
  </si>
  <si>
    <t>2007-05-03 09:49 EDT</t>
  </si>
  <si>
    <t>2007-05-03 10:21:02 EDT</t>
  </si>
  <si>
    <t>[('CREATED', '2007-05-03 09:49 EDT'), ('ASSIGNED', '2007-05-03 10:21:02 EDT', 'martinae'), ("[refactoring] [dcr] 'Introduce field encapsulation object' or so...", '2007-05-03 10:21:02 EDT', 'martinae'), ('[refactoring] [dcr] Extract Class', '2007-05-04 05:52:43 EDT', 'martinae'), ('karsten_becker', '2007-06-21 04:22:02 EDT', 'martinae'), ('NEW', '2007-06-21 04:22:02 EDT', 'martinae'), ('martin_aeschlimann', '2007-06-21 04:22:13 EDT', 'martinae'), ('1', '2007-07-25 05:00:54 EDT', 'eclipse'), ('contributed', '2007-07-25 09:59:26 EDT', 'martinae'), ('3.4 M1', '2007-07-25 09:59:26 EDT', 'martinae'), ('1', '2007-07-25 10:30:35 EDT', 'eclipse'), ('RESOLVED', '2007-08-08 12:21:16 EDT', 'benno.baumgartner'), ('FIXED', '2007-08-08 12:21:16 EDT', 'benno.baumgartner'), ('markus_keller', '2007-08-09 09:40:23 EDT', 'markus.kell.r'), ('VERIFIED', '2007-08-09 09:40:23 EDT', 'markus.kell.r')]</t>
  </si>
  <si>
    <t>2007-05-07 10:36:31 EDT</t>
  </si>
  <si>
    <t>2007-05-16 11:25:29 EDT</t>
  </si>
  <si>
    <t>2007-05-03 10:52 EDT</t>
  </si>
  <si>
    <t>2007-05-03 11:05:19 EDT</t>
  </si>
  <si>
    <t>2007-06-06 12:24:22 EDT</t>
  </si>
  <si>
    <t>[('CREATED', '2007-05-03 10:52 EDT'), ('karsten_becker', '2007-05-03 11:05:19 EDT', 'martinae'), ('[introduce parameter object] has inconsistent type qualification shema', '2007-05-03 11:05:19 EDT', 'martinae'), ('3.3 RC1', '2007-05-03 11:05:19 EDT', 'martinae'), ('1', '2007-05-07 07:00:22 EDT', 'eclipse'), ('review?(martin_aeschlimann)', '2007-05-07 07:56:25 EDT', 'martinae'), ('1', '2007-05-07 08:29:24 EDT', 'eclipse'), ('1', '2007-05-07 08:42:45 EDT', 'eclipse'), ('1', '2007-05-07 09:09:28 EDT', 'eclipse'), ('martin_aeschlimann, markus_keller', '2007-05-07 09:28:19 EDT', 'martinae'), ('review+, review?(markus_keller)', '2007-05-07 09:28:19 EDT', 'martinae'), ('RESOLVED', '2007-05-07 10:36:31 EDT', 'markus.kell.r'), ('FIXED', '2007-05-07 10:36:31 EDT', 'markus.kell.r'), ('[introduce parameter object] has inconsistent type qualification schema', '2007-05-07 10:36:31 EDT', 'markus.kell.r'), ('review+', '2007-05-07 10:36:31 EDT', 'markus.kell.r'), ('VERIFIED', '2007-05-16 11:25:29 EDT', 'benno.baumgartner'), ('contributed', '2007-06-06 12:24:22 EDT', 'martinae')]</t>
  </si>
  <si>
    <t>185332</t>
  </si>
  <si>
    <t>2007-05-10 06:48:34 EDT</t>
  </si>
  <si>
    <t>2007-05-16 11:39:19 EDT</t>
  </si>
  <si>
    <t>2007-05-03 11:51 EDT</t>
  </si>
  <si>
    <t>2007-05-03 11:58:26 EDT</t>
  </si>
  <si>
    <t>2009-06-16 12:38:34 EDT</t>
  </si>
  <si>
    <t>[('CREATED', '2007-05-03 11:51 EDT'), ('karsten_becker', '2007-05-03 11:58:26 EDT', 'martinae'), ('1', '2007-05-04 05:47:53 EDT', 'eclipse'), ('review?(martin_aeschlimann)', '2007-05-07 07:13:20 EDT', 'martinae'), ('martin_aeschlimann', '2007-05-07 08:01:21 EDT', 'martinae'), ('185332', '2007-05-07 08:56:11 EDT', 'markus.kell.r'), ('1', '2007-05-08 05:07:49 EDT', 'eclipse'), ('1', '2007-05-08 05:08:02 EDT', 'eclipse'), ('1', '2007-05-08 05:09:11 EDT', 'eclipse'), ('review-', '2007-05-10 03:12:28 EDT', 'martinae'), ('1', '2007-05-10 05:40:37 EDT', 'eclipse'), ('review?', '2007-05-10 05:40:37 EDT', 'eclipse'), ('review?', '2007-05-10 05:41:22 EDT', 'eclipse'), ('review+', '2007-05-10 06:48:34 EDT', 'martinae'), ('RESOLVED', '2007-05-10 06:48:34 EDT', 'martinae'), ('FIXED', '2007-05-10 06:48:34 EDT', 'martinae'), ('3.3 RC1', '2007-05-10 06:48:34 EDT', 'martinae'), ('VERIFIED', '2007-05-16 11:39:19 EDT', 'benno.baumgartner'), ('contributed', '2007-06-06 12:24:33 EDT', 'martinae'), (nan, '2009-06-16 12:38:34 EDT', 'markus.kell.r')]</t>
  </si>
  <si>
    <t>60193 152116 (view as bug list)</t>
  </si>
  <si>
    <t>2007-05-14 04:12:52 EDT</t>
  </si>
  <si>
    <t>2007-05-16 11:55:59 EDT</t>
  </si>
  <si>
    <t>2007-05-03 18:04 EDT</t>
  </si>
  <si>
    <t>2007-05-04 05:28:26 EDT</t>
  </si>
  <si>
    <t>2007-07-24 06:40:12 EDT</t>
  </si>
  <si>
    <t>[('CREATED', '2007-05-03 18:04 EDT'), ('markus_keller', '2007-05-04 05:28:26 EDT', 'martinae'), ('[refactoring] Enable "Maximize" button on "Move" refactoring dialog', '2007-05-04 05:28:26 EDT', 'martinae'), ('martin_aeschlimann', '2007-05-11 13:31:30 EDT', 'markus.kell.r'), ('ASSIGNED', '2007-05-11 13:31:30 EDT', 'markus.kell.r'), ('3.3 RC1', '2007-05-11 13:31:30 EDT', 'markus.kell.r'), ('review?(martin_aeschlimann)', '2007-05-11 13:31:30 EDT', 'markus.kell.r'), ('RESOLVED', '2007-05-14 04:12:52 EDT', 'martinae'), ('FIXED', '2007-05-14 04:12:52 EDT', 'martinae'), ('review+', '2007-05-14 04:12:52 EDT', 'martinae'), ('VERIFIED', '2007-05-16 11:55:59 EDT', 'benno.baumgartner'), ('l.monsees', '2007-07-24 06:39:32 EDT', 'markus.kell.r'), ('hirnstrom', '2007-07-24 06:40:12 EDT', 'markus.kell.r')]</t>
  </si>
  <si>
    <t>2007-05-07 05:00:09 EDT</t>
  </si>
  <si>
    <t>2007-05-06 08:08 EDT</t>
  </si>
  <si>
    <t>[('CREATED', '2007-05-06 08:08 EDT'), ('RESOLVED', '2007-05-07 05:00:09 EDT', 'martinae'), ('WONTFIX', '2007-05-07 05:00:09 EDT', 'martinae'), ('[introduce parameter object] Introduce Parameter Object loses final', '2007-05-07 05:00:09 EDT', 'martinae')]</t>
  </si>
  <si>
    <t>2007-05-24 06:52:59 EDT</t>
  </si>
  <si>
    <t>2007-05-29 06:37:12 EDT</t>
  </si>
  <si>
    <t>2007-05-06 12:01 EDT</t>
  </si>
  <si>
    <t>2007-05-07 05:01:29 EDT</t>
  </si>
  <si>
    <t>2007-06-06 12:27:28 EDT</t>
  </si>
  <si>
    <t>[('CREATED', '2007-05-06 12:01 EDT'), ('karsten_becker', '2007-05-07 05:01:29 EDT', 'martinae'), ('[introduce parameter object] Introduce Parameter Object substitues wrong class', '2007-05-07 05:01:29 EDT', 'martinae'), ('3.3 RC1', '2007-05-07 05:01:29 EDT', 'martinae'), ('3.3 RC2', '2007-05-16 09:43:33 EDT', 'martinae'), ('review?(martin_aeschlimann)', '2007-05-21 05:48:25 EDT', 'eclipse'), ('review?(markus_keller)', '2007-05-21 05:49:06 EDT', 'eclipse'), ('[introduce parameter object] Introduce Parameter Object substitutes wrong class', '2007-05-23 06:27:45 EDT', 'markus.kell.r'), ('1', '2007-05-23 09:05:50 EDT', 'eclipse'), ('review+', '2007-05-23 10:04:52 EDT', 'martinae'), ('markus_keller', '2007-05-23 10:19:53 EDT', 'eclipse'), ('1', '2007-05-23 14:04:42 EDT', 'eclipse'), ('1', '2007-05-23 14:04:42 EDT', 'eclipse'), ('martin_aeschlimann', '2007-05-24 06:35:31 EDT', 'markus.kell.r'), ('review+', '2007-05-24 06:35:31 EDT', 'markus.kell.r'), ('RESOLVED', '2007-05-24 06:52:59 EDT', 'markus.kell.r'), ('FIXED', '2007-05-24 06:52:59 EDT', 'markus.kell.r'), ('VERIFIED', '2007-05-29 06:37:12 EDT', 'benno.baumgartner'), ('contributed', '2007-06-06 12:27:28 EDT', 'martinae')]</t>
  </si>
  <si>
    <t>185762 (view as bug list)</t>
  </si>
  <si>
    <t>2007-05-10 09:10:06 EDT</t>
  </si>
  <si>
    <t>2007-05-16 12:05:20 EDT</t>
  </si>
  <si>
    <t>2007-05-07 08:34 EDT</t>
  </si>
  <si>
    <t>2007-05-07 08:43:43 EDT</t>
  </si>
  <si>
    <t>2007-06-06 12:24:46 EDT</t>
  </si>
  <si>
    <t>[('CREATED', '2007-05-07 08:34 EDT'), ('[introduce parameter object] introduces stack overflow on recursions', '2007-05-07 08:43:43 EDT', 'martinae'), ('3.3 RC1', '2007-05-07 08:43:43 EDT', 'martinae'), ('karsten_becker', '2007-05-07 08:43:43 EDT', 'martinae'), ('martin_aeschlimann', '2007-05-07 09:51:51 EDT', 'eclipse'), ('review?(martin_aeschlimann)', '2007-05-09 10:31:55 EDT', 'eclipse'), ('review?(markus_keller)', '2007-05-09 10:32:26 EDT', 'eclipse'), ('markus_keller', '2007-05-09 11:54:34 EDT', 'martinae'), ('review+', '2007-05-09 11:54:34 EDT', 'martinae'), ('RESOLVED', '2007-05-10 09:10:06 EDT', 'markus.kell.r'), ('FIXED', '2007-05-10 09:10:06 EDT', 'markus.kell.r'), ('review+', '2007-05-10 09:10:06 EDT', 'markus.kell.r'), ('VERIFIED', '2007-05-16 12:05:20 EDT', 'benno.baumgartner'), ('contributed', '2007-06-06 12:24:46 EDT', 'martinae')]</t>
  </si>
  <si>
    <t>2007-05-24 09:03:02 EDT</t>
  </si>
  <si>
    <t>2007-05-29 06:33:35 EDT</t>
  </si>
  <si>
    <t>2007-05-07 08:38 EDT</t>
  </si>
  <si>
    <t>2007-05-07 09:17:48 EDT</t>
  </si>
  <si>
    <t>2007-06-06 12:27:18 EDT</t>
  </si>
  <si>
    <t>[('CREATED', '2007-05-07 08:38 EDT'), ('[introduce parameter object] introduces object to method which is not selected', '2007-05-07 09:17:48 EDT', 'martinae'), ('3.3 RC1', '2007-05-07 09:17:48 EDT', 'martinae'), ('karsten_becker', '2007-05-07 09:17:48 EDT', 'martinae'), ('3.3 RC2', '2007-05-16 09:44:06 EDT', 'martinae'), ('martin_aeschlimann', '2007-05-22 06:24:21 EDT', 'eclipse'), ('review?(martin_aeschlimann)', '2007-05-22 06:24:21 EDT', 'eclipse'), ('review?(benno_baumgartner)', '2007-05-23 05:16:56 EDT', 'eclipse'), ('1', '2007-05-23 11:11:54 EDT', 'eclipse'), ('review+', '2007-05-24 08:04:46 EDT', 'martinae'), ('1', '2007-05-24 08:11:28 EDT', 'benno.baumgartner'), ('review?(martin_aeschlimann)', '2007-05-24 08:12:10 EDT', 'benno.baumgartner'), ('review+', '2007-05-24 08:40:29 EDT', 'martinae'), ('RESOLVED', '2007-05-24 09:03:02 EDT', 'benno.baumgartner'), ('FIXED', '2007-05-24 09:03:02 EDT', 'benno.baumgartner'), ('review+', '2007-05-24 09:03:02 EDT', 'benno.baumgartner'), ('VERIFIED', '2007-05-29 06:33:35 EDT', 'benno.baumgartner'), ('contributed', '2007-06-06 12:27:18 EDT', 'martinae')]</t>
  </si>
  <si>
    <t>2007-05-08 12:20:10 EDT</t>
  </si>
  <si>
    <t>2007-05-07 09:43 EDT</t>
  </si>
  <si>
    <t>[('CREATED', '2007-05-07 09:43 EDT'), ('RESOLVED', '2007-05-08 12:20:10 EDT', 'martinae'), ('WONTFIX', '2007-05-08 12:20:10 EDT', 'martinae')]</t>
  </si>
  <si>
    <t>2007-05-15 09:23:52 EDT</t>
  </si>
  <si>
    <t>2007-05-18 11:39:24 EDT</t>
  </si>
  <si>
    <t>2007-05-07 19:27 EDT</t>
  </si>
  <si>
    <t>2007-05-08 04:53:26 EDT</t>
  </si>
  <si>
    <t>2007-06-06 12:25:18 EDT</t>
  </si>
  <si>
    <t>[('CREATED', '2007-05-07 19:27 EDT'), ('karsten_becker', '2007-05-08 04:53:26 EDT', 'martinae'), ('[introduce parameter object] Introduce Parameter Object handling of packages', '2007-05-08 04:53:26 EDT', 'martinae'), ('3.3 RC1', '2007-05-08 04:53:26 EDT', 'martinae'), ('1', '2007-05-15 08:52:30 EDT', 'eclipse'), ('martin_aeschlimann', '2007-05-15 08:53:26 EDT', 'eclipse'), ('review?(martin_aeschlimann)', '2007-05-15 08:53:26 EDT', 'eclipse'), ('RESOLVED', '2007-05-15 09:23:52 EDT', 'martinae'), ('FIXED', '2007-05-15 09:23:52 EDT', 'martinae'), ('review+', '2007-05-15 09:23:59 EDT', 'martinae'), ('VERIFIED', '2007-05-18 11:39:24 EDT', 'martinae'), ('contributed', '2007-06-06 12:25:18 EDT', 'martinae')]</t>
  </si>
  <si>
    <t>2007-05-15 09:54:34 EDT</t>
  </si>
  <si>
    <t>2007-05-18 11:43:43 EDT</t>
  </si>
  <si>
    <t>2007-05-07 19:29 EDT</t>
  </si>
  <si>
    <t>2007-05-08 04:55:16 EDT</t>
  </si>
  <si>
    <t>2007-06-06 12:25:25 EDT</t>
  </si>
  <si>
    <t>[('CREATED', '2007-05-07 19:29 EDT'), ('[introduce parameter object] Introduce Parameter Object cannot create nested class if top-level type with the same name exists', '2007-05-08 04:55:16 EDT', 'martinae'), ('3.2 RC1', '2007-05-08 04:55:16 EDT', 'martinae'), ('karsten_becker', '2007-05-08 04:55:16 EDT', 'martinae'), ('3.3 RC1', '2007-05-08 04:55:33 EDT', 'martinae'), ('martin_aeschlimann', '2007-05-15 09:06:10 EDT', 'eclipse'), ('review?(martin_aeschlimann)', '2007-05-15 09:06:10 EDT', 'eclipse'), ('RESOLVED', '2007-05-15 09:54:34 EDT', 'martinae'), ('FIXED', '2007-05-15 09:54:34 EDT', 'martinae'), ('review+', '2007-05-15 09:54:34 EDT', 'martinae'), ('VERIFIED', '2007-05-18 11:43:43 EDT', 'martinae'), ('contributed', '2007-06-06 12:25:25 EDT', 'martinae')]</t>
  </si>
  <si>
    <t>2007-05-08 07:07:47 EDT</t>
  </si>
  <si>
    <t>2007-05-07 19:31 EDT</t>
  </si>
  <si>
    <t>2007-05-08 04:57:11 EDT</t>
  </si>
  <si>
    <t>[('CREATED', '2007-05-07 19:31 EDT'), ('[rename] Rename inner type rename references to top-level types of same name', '2007-05-08 04:57:11 EDT', 'martinae'), ('markus_keller', '2007-05-08 04:57:11 EDT', 'martinae'), ('RESOLVED', '2007-05-08 07:07:47 EDT', 'markus.kell.r'), ('WONTFIX', '2007-05-08 07:07:47 EDT', 'markus.kell.r')]</t>
  </si>
  <si>
    <t>82788 (view as bug list)</t>
  </si>
  <si>
    <t>2007-05-09 12:37:16 EDT</t>
  </si>
  <si>
    <t>2007-05-18 11:15:19 EDT</t>
  </si>
  <si>
    <t>2007-05-08 20:47 EDT</t>
  </si>
  <si>
    <t>2007-05-08 20:54:26 EDT</t>
  </si>
  <si>
    <t>[('CREATED', '2007-05-08 20:47 EDT'), ('jdt-ui-inbox', '2007-05-08 20:54:26 EDT', 'Olivier_Thomann'), ('UI', '2007-05-08 20:54:26 EDT', 'Olivier_Thomann'), ('[refactoring] Fix the isEmpty() method in Snippet.Match', '2007-05-08 20:56:39 EDT', 'isw.yuen'), ('martin_aeschlimann', '2007-05-09 03:36:10 EDT', 'martinae'), ('markus_keller', '2007-05-09 03:36:10 EDT', 'martinae'), ('[extract method] does not detect duplicate code snippet', '2007-05-09 03:36:10 EDT', 'martinae'), ('3.3 RC1', '2007-05-09 03:36:10 EDT', 'martinae'), ('1', '2007-05-09 10:56:56 EDT', 'markus.kell.r'), ('ASSIGNED', '2007-05-09 10:58:44 EDT', 'markus.kell.r'), ('review?', '2007-05-09 10:58:44 EDT', 'markus.kell.r'), ('review+', '2007-05-09 11:47:25 EDT', 'martinae'), ('RESOLVED', '2007-05-09 12:37:16 EDT', 'markus.kell.r'), ('FIXED', '2007-05-09 12:37:16 EDT', 'markus.kell.r'), ('saff', '2007-05-09 14:43:28 EDT', 'markus.kell.r'), ('VERIFIED', '2007-05-18 11:15:19 EDT', 'martinae')]</t>
  </si>
  <si>
    <t>2007-05-11 07:11:59 EDT</t>
  </si>
  <si>
    <t>2007-05-18 11:21:47 EDT</t>
  </si>
  <si>
    <t>2007-05-09 04:27 EDT</t>
  </si>
  <si>
    <t>2007-05-10 13:25:53 EDT</t>
  </si>
  <si>
    <t>[('CREATED', '2007-05-09 04:27 EDT'), ('jdt-core-inbox', '2007-05-10 13:25:53 EDT', 'eclipse'), ('Core', '2007-05-10 13:25:53 EDT', 'eclipse'), ('JDT', '2007-05-10 13:25:53 EDT', 'eclipse'), ('jdt-ui-inbox', '2007-05-10 13:33:19 EDT', 'Olivier_Thomann'), ('UI', '2007-05-10 13:33:19 EDT', 'Olivier_Thomann'), ('[type wizards] NPE when creating new', '2007-05-11 03:21:14 EDT', 'martinae'), ('3.3 RC1', '2007-05-11 03:21:14 EDT', 'martinae'), ('martin_aeschlimann', '2007-05-11 03:21:14 EDT', 'martinae'), ('benno_baumgartner', '2007-05-11 03:22:27 EDT', 'martinae'), ('review?(benno_baumgartner)', '2007-05-11 03:22:27 EDT', 'martinae'), ('review+', '2007-05-11 05:39:32 EDT', 'benno.baumgartner'), ('RESOLVED', '2007-05-11 07:11:59 EDT', 'martinae'), ('FIXED', '2007-05-11 07:11:59 EDT', 'martinae'), ('VERIFIED', '2007-05-18 11:21:47 EDT', 'martinae')]</t>
  </si>
  <si>
    <t>2020-04-20 06:33:26 EDT</t>
  </si>
  <si>
    <t>2007-05-09 16:31 EDT</t>
  </si>
  <si>
    <t>2007-05-10 03:32:53 EDT</t>
  </si>
  <si>
    <t>[('CREATED', '2007-05-09 16:31 EDT'), ('tobias_widmer', '2007-05-10 03:32:53 EDT', 'martinae'), ('jdt-ui-inbox', '2007-06-14 10:46:42 EDT', 'martinae'), ('ASSIGNED', '2007-07-02 14:14:59 EDT', 'markus.kell.r'), ('daniel_megert', '2014-05-14 11:32:35 EDT', 'daniel_megert'), ('All', '2014-05-14 11:32:35 EDT', 'daniel_megert'), ('All', '2014-05-14 11:32:35 EDT', 'daniel_megert'), ('stalebug', '2020-04-20 06:33:26 EDT', 'genie'), ('WONTFIX', '2020-04-20 06:33:26 EDT', 'genie'), ('CLOSED', '2020-04-20 06:33:26 EDT', 'genie')]</t>
  </si>
  <si>
    <t>2020-02-23 13:07:21 EST</t>
  </si>
  <si>
    <t>2007-05-09 16:41 EDT</t>
  </si>
  <si>
    <t>2007-05-10 03:34:03 EDT</t>
  </si>
  <si>
    <t>[('CREATED', '2007-05-09 16:41 EDT'), ('karsten_becker', '2007-05-10 03:34:03 EDT', 'martinae'), ('jdt-ui-inbox', '2007-08-15 05:00:28 EDT', 'martinae'), ('WONTFIX', '2020-02-23 13:07:21 EST', 'genie'), ('stalebug', '2020-02-23 13:07:21 EST', 'genie'), ('CLOSED', '2020-02-23 13:07:21 EST', 'genie')]</t>
  </si>
  <si>
    <t>RESOLVED  DUPLICATE  of bug 192638</t>
  </si>
  <si>
    <t>196069 (view as bug list)</t>
  </si>
  <si>
    <t>2007-08-06 06:50:28 EDT</t>
  </si>
  <si>
    <t>2007-05-10 04:21 EDT</t>
  </si>
  <si>
    <t>2007-05-10 04:32:21 EDT</t>
  </si>
  <si>
    <t>[('CREATED', '2007-05-10 04:21 EDT'), ('jdt-ui-inbox', '2007-05-10 04:32:21 EDT', 'jerome_lanneluc'), ('UI', '2007-05-10 04:32:21 EDT', 'jerome_lanneluc'), ('[rename] sub package rename refactoring fails to rename imports', '2007-05-10 04:35:40 EDT', 'martinae'), ('schierlm-public', '2007-07-11 08:29:15 EDT', 'martinae'), ('markus_keller', '2007-07-11 08:29:49 EDT', 'martinae'), ('minor', '2007-07-11 08:29:49 EDT', 'martinae'), ('3.4 M1', '2007-07-11 08:29:49 EDT', 'martinae'), ('RESOLVED', '2007-08-06 06:50:28 EDT', 'markus.kell.r'), ('DUPLICATE', '2007-08-06 06:50:28 EDT', 'markus.kell.r'), ('---', '2007-08-06 06:50:28 EDT', 'markus.kell.r')]</t>
  </si>
  <si>
    <t>2007-05-15 11:29:30 EDT</t>
  </si>
  <si>
    <t>2007-05-29 06:16:17 EDT</t>
  </si>
  <si>
    <t>2007-05-11 10:49 EDT</t>
  </si>
  <si>
    <t>2007-05-11 11:29:01 EDT</t>
  </si>
  <si>
    <t>[('CREATED', '2007-05-11 10:49 EDT'), ('3.3 RC2', '2007-05-11 11:29:01 EDT', 'markus.kell.r'), ('markus_keller', '2007-05-11 11:29:01 EDT', 'markus.kell.r'), ('daniel_megert', '2007-05-14 03:19:16 EDT', 'daniel_megert'), ('review?(martin_aeschlimann)', '2007-05-14 04:24:37 EDT', 'benno.baumgartner'), ('review+', '2007-05-14 06:41:26 EDT', 'martinae'), ('RESOLVED', '2007-05-15 11:29:30 EDT', 'benno.baumgartner'), ('FIXED', '2007-05-15 11:29:30 EDT', 'benno.baumgartner'), ('3.3 RC1', '2007-05-15 11:29:53 EDT', 'benno.baumgartner'), ('VERIFIED', '2007-05-29 06:16:17 EDT', 'benno.baumgartner')]</t>
  </si>
  <si>
    <t>2020-01-27 14:50:03 EST</t>
  </si>
  <si>
    <t>2007-05-15 11:44 EDT</t>
  </si>
  <si>
    <t>2007-05-15 12:00:13 EDT</t>
  </si>
  <si>
    <t>[('CREATED', '2007-05-15 11:44 EDT'), ('ASSIGNED', '2007-05-15 12:00:13 EDT', 'martinae'), ('CLOSED', '2020-01-27 14:50:03 EST', 'genie'), ('stalebug', '2020-01-27 14:50:03 EST', 'genie'), ('WONTFIX', '2020-01-27 14:50:03 EST', 'genie')]</t>
  </si>
  <si>
    <t>102279</t>
  </si>
  <si>
    <t>2020-03-22 06:51:36 EDT</t>
  </si>
  <si>
    <t>2007-05-16 06:55 EDT</t>
  </si>
  <si>
    <t>2007-05-16 06:55:50 EDT</t>
  </si>
  <si>
    <t>[('CREATED', '2007-05-16 06:55 EDT'), ('performance', '2007-05-16 06:55:50 EDT', 'eric_jodet'), ('jdt-ui-inbox', '2007-05-16 12:20:27 EDT', 'Olivier_Thomann'), ('UI', '2007-05-16 12:20:27 EDT', 'Olivier_Thomann'), ('Olivier_Thomann', '2007-05-16 12:26:52 EDT', 'Olivier_Thomann'), ('markus_keller', '2007-05-21 04:21:21 EDT', 'martinae'), ('[introduce indirection] refactor -&gt; Introduce Indirection is excessively slow', '2007-05-21 04:21:21 EDT', 'martinae'), ('rhuddusa', '2008-09-29 15:34:55 EDT', 'rhuddusa'), ('102279', '2008-09-30 05:00:08 EDT', 'markus.kell.r'), ('ASSIGNED', '2008-09-30 05:00:08 EDT', 'markus.kell.r'), ('CLOSED', '2020-03-22 06:51:36 EDT', 'genie'), ('stalebug', '2020-03-22 06:51:36 EDT', 'genie'), ('WONTFIX', '2020-03-22 06:51:36 EDT', 'genie')]</t>
  </si>
  <si>
    <t>2007-05-24 08:35:39 EDT</t>
  </si>
  <si>
    <t>2007-05-29 05:52:01 EDT</t>
  </si>
  <si>
    <t>2007-05-16 10:16 EDT</t>
  </si>
  <si>
    <t>2007-05-16 10:23:24 EDT</t>
  </si>
  <si>
    <t>[('CREATED', '2007-05-16 10:16 EDT'), ('benno_baumgartner', '2007-05-16 10:23:24 EDT', 'martinae'), ('[refactoring] strange OperationCancelledException', '2007-05-16 10:23:24 EDT', 'martinae'), ('3.3 RC2', '2007-05-16 10:23:24 EDT', 'martinae'), ('review?(martin_aeschlimann)', '2007-05-21 06:51:44 EDT', 'benno.baumgartner'), ('markus_keller', '2007-05-22 04:14:29 EDT', 'martinae'), ('review+, review?(markus_keller)', '2007-05-22 04:14:29 EDT', 'martinae'), ('RESOLVED', '2007-05-24 08:35:39 EDT', 'markus.kell.r'), ('FIXED', '2007-05-24 08:35:39 EDT', 'markus.kell.r'), ('[refactoring] strange OperationCancelledException in Introduce Indirection', '2007-05-24 08:35:39 EDT', 'markus.kell.r'), ('review+', '2007-05-24 08:35:39 EDT', 'markus.kell.r'), ('VERIFIED', '2007-05-29 05:52:01 EDT', 'benno.baumgartner')]</t>
  </si>
  <si>
    <t>211825 (view as bug list)</t>
  </si>
  <si>
    <t>2007-07-10 04:27:54 EDT</t>
  </si>
  <si>
    <t>2007-05-16 14:50 EDT</t>
  </si>
  <si>
    <t>2007-05-17 02:13:55 EDT</t>
  </si>
  <si>
    <t>2007-09-28 10:53:04 EDT</t>
  </si>
  <si>
    <t>[('CREATED', '2007-05-16 14:50 EDT'), ('daniel_megert', '2007-05-17 02:13:55 EDT', 'daniel_megert'), ('ASSIGNED', '2007-05-18 04:32:59 EDT', 'martinae'), ('[reorg] Delete should happen in the background', '2007-05-18 04:32:59 EDT', 'martinae'), ('3.4', '2007-05-18 04:32:59 EDT', 'martinae'), ('[reorg] Delete should not happen in the UI thread', '2007-06-22 03:52:22 EDT', 'martinae'), ('benno_baumgartner', '2007-07-03 11:36:47 EDT', 'martinae'), ('NEW', '2007-07-03 11:36:47 EDT', 'martinae'), ('martin_aeschlimann', '2007-07-03 11:36:47 EDT', 'martinae'), ('markus_keller', '2007-07-04 09:59:41 EDT', 'markus.kell.r'), ('RESOLVED', '2007-07-10 04:27:54 EDT', 'markus.kell.r'), ('DUPLICATE', '2007-07-10 04:27:54 EDT', 'markus.kell.r'), ('---', '2007-07-10 04:27:54 EDT', 'markus.kell.r'), ('204813', '2007-09-28 10:53:04 EDT', 'martinae')]</t>
  </si>
  <si>
    <t>2007-05-19 02:50:18 EDT</t>
  </si>
  <si>
    <t>2007-05-19 02:55:16 EDT</t>
  </si>
  <si>
    <t>2007-05-18 17:00:46 EDT</t>
  </si>
  <si>
    <t>2007-05-16 15:57 EDT</t>
  </si>
  <si>
    <t>2007-05-17 02:13:32 EDT</t>
  </si>
  <si>
    <t>2007-05-21 03:35:44 EDT</t>
  </si>
  <si>
    <t>[('CREATED', '2007-05-16 15:57 EDT'), ('daniel_megert', '2007-05-17 02:13:32 EDT', 'daniel_megert'), ('RESOLVED', '2007-05-17 02:13:32 EDT', 'daniel_megert'), ('FIXED', '2007-05-17 02:13:32 EDT', 'daniel_megert'), ('markus_keller', '2007-05-18 04:46:47 EDT', 'martinae'), ('CLOSED', '2007-05-18 17:00:01 EDT', 'konigsberg'), ('REOPENED', '2007-05-18 17:00:46 EDT', 'konigsberg'), ('---', '2007-05-18 17:00:46 EDT', 'konigsberg'), ('RESOLVED', '2007-05-19 02:50:18 EDT', 'daniel_megert'), ('FIXED', '2007-05-19 02:50:18 EDT', 'daniel_megert'), ('VERIFIED', '2007-05-19 02:55:16 EDT', 'daniel_megert'), ('3.3 M7', '2007-05-19 02:55:16 EDT', 'daniel_megert'), ('CLOSED', '2007-05-21 03:35:44 EDT', 'daniel_megert')]</t>
  </si>
  <si>
    <t>2007-05-18 14:38 EDT</t>
  </si>
  <si>
    <t>2007-06-04 05:53:36 EDT</t>
  </si>
  <si>
    <t>2018-12-20 12:49:56 EST</t>
  </si>
  <si>
    <t>[('CREATED', '2007-05-18 14:38 EDT'), ('[reorg] Project Refactor&gt;Move dialog gives incorrect overlap error', '2007-06-04 05:53:36 EDT', 'martinae'), ('stalebug', '2018-12-20 12:49:56 EST', 'genie')]</t>
  </si>
  <si>
    <t>2007-07-03 04:53:53 EDT</t>
  </si>
  <si>
    <t>2007-05-18 17:17 EDT</t>
  </si>
  <si>
    <t>2007-05-18 17:19:38 EDT</t>
  </si>
  <si>
    <t>[('CREATED', '2007-05-18 17:17 EDT'), ('vtrivedi', '2007-05-18 17:19:38 EDT', 'schafe'), ('daniel_megert', '2007-05-19 02:44:22 EDT', 'daniel_megert'), ('martin_aeschlimann', '2007-05-21 03:24:27 EDT', 'martinae'), ('[api] provide public api for org.eclipse.jdt.internal.ui.actions.SelectionConverter', '2007-05-21 03:24:27 EDT', 'martinae'), ('jdt-text-inbox', '2007-06-14 05:34:44 EDT', 'martinae'), ('Text', '2007-06-14 05:34:44 EDT', 'martinae'), ('[api] provide public api for JavaTextSelection', '2007-06-14 05:34:44 EDT', 'martinae'), ('jdt-ui-inbox', '2007-06-14 06:58:18 EDT', 'martinae'), ('UI', '2007-06-14 06:58:18 EDT', 'martinae'), ('[api] provide public api for SelectionConverter', '2007-06-14 06:58:18 EDT', 'martinae'), ('RESOLVED', '2007-07-03 04:53:53 EDT', 'martinae'), ('WORKSFORME', '2007-07-03 04:53:53 EDT', 'martinae')]</t>
  </si>
  <si>
    <t>2007-05-25 06:22:08 EDT</t>
  </si>
  <si>
    <t>2007-05-18 21:01 EDT</t>
  </si>
  <si>
    <t>2007-05-18 21:23:23 EDT</t>
  </si>
  <si>
    <t>[('CREATED', '2007-05-18 21:01 EDT'), ('jdt-ui-inbox', '2007-05-18 21:23:23 EDT', 'Olivier_Thomann'), ('UI', '2007-05-18 21:23:23 EDT', 'Olivier_Thomann'), ('markus_keller', '2007-05-21 03:27:57 EDT', 'martinae'), ('3.3 RC2', '2007-05-21 03:27:57 EDT', 'martinae'), ('[rename] NPE during in-line refactoring in MethodChecks.isVirtual(MethodChecks.java:46)', '2007-05-21 03:28:09 EDT', 'martinae'), ('RESOLVED', '2007-05-25 06:22:08 EDT', 'markus.kell.r'), ('WORKSFORME', '2007-05-25 06:22:08 EDT', 'markus.kell.r'), ('---', '2007-05-25 06:22:08 EDT', 'markus.kell.r')]</t>
  </si>
  <si>
    <t>2007-05-24 10:21:09 EDT</t>
  </si>
  <si>
    <t>2007-05-29 05:42:59 EDT</t>
  </si>
  <si>
    <t>2007-05-21 09:04 EDT</t>
  </si>
  <si>
    <t>2007-05-21 09:25:02 EDT</t>
  </si>
  <si>
    <t>2007-06-06 12:25:52 EDT</t>
  </si>
  <si>
    <t>[('CREATED', '2007-05-21 09:04 EDT'), ('karsten_becker', '2007-05-21 09:25:02 EDT', 'martinae'), ('[introduce parameter object] NPE when introducing to overriden method if method from binary', '2007-05-21 09:25:02 EDT', 'martinae'), ('3.3 RC2', '2007-05-21 09:25:02 EDT', 'martinae'), ('review?(benno_baumgartner)', '2007-05-23 05:21:07 EDT', 'eclipse'), ('review?(martin_aeschlimann)', '2007-05-23 05:21:29 EDT', 'eclipse'), ('martin_aeschlimann', '2007-05-23 05:21:29 EDT', 'eclipse'), ('1', '2007-05-24 09:44:55 EDT', 'eclipse'), ('review+', '2007-05-24 09:52:33 EDT', 'martinae'), ('RESOLVED', '2007-05-24 10:21:09 EDT', 'benno.baumgartner'), ('FIXED', '2007-05-24 10:21:09 EDT', 'benno.baumgartner'), ('review+', '2007-05-24 10:21:09 EDT', 'benno.baumgartner'), ('VERIFIED', '2007-05-29 05:42:59 EDT', 'benno.baumgartner'), ('contributed', '2007-06-06 12:25:52 EDT', 'martinae')]</t>
  </si>
  <si>
    <t>2007-05-21 10:22 EDT</t>
  </si>
  <si>
    <t>2007-05-24 11:23:12 EDT</t>
  </si>
  <si>
    <t>2007-05-25 07:12:19 EDT</t>
  </si>
  <si>
    <t>[('CREATED', '2007-05-21 10:22 EDT'), ('markus_keller', '2007-05-24 11:23:12 EDT', 'martinae'), ('[inline] Cannot inline a constructor invocation that is used as a class instance creation', '2007-05-24 11:23:12 EDT', 'martinae'), ('enhancement', '2007-05-24 11:23:21 EDT', 'martinae'), ('ASSIGNED', '2007-05-25 07:12:19 EDT', 'markus.kell.r')]</t>
  </si>
  <si>
    <t>RESOLVED  DUPLICATE  of bug 153312</t>
  </si>
  <si>
    <t>2007-07-05 12:39:40 EDT</t>
  </si>
  <si>
    <t>2007-05-21 12:00 EDT</t>
  </si>
  <si>
    <t>2007-05-21 17:49:52 EDT</t>
  </si>
  <si>
    <t>[('CREATED', '2007-05-21 12:00 EDT'), ('jdt-ui-inbox', '2007-05-21 17:49:52 EDT', 'Olivier_Thomann'), ('UI', '2007-05-21 17:49:52 EDT', 'Olivier_Thomann'), ('[refactoring scripts] create is not enabled if clipboard is checked from stored preference', '2007-05-24 11:21:42 EDT', 'martinae'), ('RESOLVED', '2007-07-05 12:39:40 EDT', 'eclipse'), ('DUPLICATE', '2007-07-05 12:39:40 EDT', 'eclipse')]</t>
  </si>
  <si>
    <t>2007-05-22 04:55:17 EDT</t>
  </si>
  <si>
    <t>2007-05-21 12:08 EDT</t>
  </si>
  <si>
    <t>[('CREATED', '2007-05-21 12:08 EDT'), ('RESOLVED', '2007-05-22 04:55:17 EDT', 'eclipse'), ('INVALID', '2007-05-22 04:55:17 EDT', 'eclipse')]</t>
  </si>
  <si>
    <t>2007-05-21 19:37 EDT</t>
  </si>
  <si>
    <t>2007-05-21 20:39:24 EDT</t>
  </si>
  <si>
    <t>2008-12-15 07:12:57 EST</t>
  </si>
  <si>
    <t>[('CREATED', '2007-05-21 19:37 EDT'), ('jdt-ui-inbox', '2007-05-21 20:39:24 EDT', 'Olivier_Thomann'), ('UI', '2007-05-21 20:39:24 EDT', 'Olivier_Thomann'), ('ASSIGNED', '2007-05-22 04:22:49 EDT', 'martinae'), ('[introduce factory] Remember choices, make easier to use.', '2007-05-22 04:22:49 EDT', 'martinae'), ('markus_keller', '2008-12-15 07:12:57 EST', 'markus.kell.r'), ('helpwanted', '2008-12-15 07:12:57 EST', 'markus.kell.r')]</t>
  </si>
  <si>
    <t>2007-05-22 09:09 EDT</t>
  </si>
  <si>
    <t>2019-06-18 20:17:42 EDT</t>
  </si>
  <si>
    <t>[('CREATED', '2007-05-22 09:09 EDT'), ('stalebug', '2019-06-18 20:17:42 EDT', 'genie')]</t>
  </si>
  <si>
    <t>125454 231035 242622 300067 302111 (view as bug list)</t>
  </si>
  <si>
    <t>2010-01-20 06:53:47 EST</t>
  </si>
  <si>
    <t>2010-01-25 15:30:46 EST</t>
  </si>
  <si>
    <t>2007-05-23 05:14 EDT</t>
  </si>
  <si>
    <t>2007-05-23 05:21:44 EDT</t>
  </si>
  <si>
    <t>[('CREATED', '2007-05-23 05:14 EDT'), ('daniel_megert', '2007-05-23 05:21:44 EDT', 'benno.baumgartner'), ('eclipse', '2008-05-19 06:02:58 EDT', 'benno.baumgartner'), ('hceylan', '2008-08-04 05:04:05 EDT', 'daniel_megert'), ('ASSIGNED', '2008-08-04 05:12:39 EDT', 'daniel_megert'), ('b.muskalla', '2008-08-04 06:55:51 EDT', 'b.muskalla'), ('nheger', '2008-11-10 05:03:49 EST', 'markus.kell.r'), ('markus_keller', '2008-11-10 05:05:10 EST', 'markus.kell.r'), ('markus_keller', '2008-11-10 05:05:10 EST', 'markus.kell.r'), ('NEW', '2008-11-10 05:05:10 EST', 'markus.kell.r'), ('3.5 M6', '2008-11-10 05:05:10 EST', 'markus.kell.r'), ('mn', '2008-11-28 16:21:58 EST', 'mn'), ('3.5 M7', '2009-03-09 14:36:08 EDT', 'markus.kell.r'), ('ASSIGNED', '2009-04-30 12:36:50 EDT', 'markus.kell.r'), ('helpwanted', '2009-04-30 12:36:50 EDT', 'markus.kell.r'), ('---', '2009-04-30 12:36:50 EDT', 'markus.kell.r'), ('kretes', '2009-06-05 09:21:05 EDT', 'kretes'), ('robert.munteanu', '2009-06-12 06:01:27 EDT', 'robert.munteanu'), ('gubespam', '2010-01-20 06:45:35 EST', 'markus.kell.r'), (nan, '2010-01-20 06:53:47 EST', 'markus.kell.r'), ('RESOLVED', '2010-01-20 06:53:47 EST', 'markus.kell.r'), ('FIXED', '2010-01-20 06:53:47 EST', 'markus.kell.r'), ('3.6 M5', '2010-01-20 06:53:47 EST', 'markus.kell.r'), ('VERIFIED', '2010-01-25 15:30:46 EST', 'raksha.vasisht'), ('raksha.vasisht', '2010-01-25 15:30:46 EST', 'raksha.vasisht')]</t>
  </si>
  <si>
    <t>154216 (view as bug list)</t>
  </si>
  <si>
    <t>2007-10-04 10:06:30 EDT</t>
  </si>
  <si>
    <t>2007-05-23 05:19 EDT</t>
  </si>
  <si>
    <t>2007-05-23 05:21:40 EDT</t>
  </si>
  <si>
    <t>[('CREATED', '2007-05-23 05:19 EDT'), ('daniel_megert', '2007-05-23 05:21:40 EDT', 'benno.baumgartner'), ('martin_aeschlimann', '2007-10-04 10:05:37 EDT', 'martinae'), ('martin_aeschlimann', '2007-10-04 10:05:37 EDT', 'martinae'), ('3.4 M3', '2007-10-04 10:05:37 EDT', 'martinae'), ('FIXED', '2007-10-04 10:06:30 EDT', 'martinae'), ('RESOLVED', '2007-10-04 10:06:30 EDT', 'martinae'), ('Joerg.Thoennes', '2007-10-04 11:58:30 EDT', 'martinae')]</t>
  </si>
  <si>
    <t>2020-04-30 00:40:07 EDT</t>
  </si>
  <si>
    <t>2007-05-23 05:26 EDT</t>
  </si>
  <si>
    <t>[('CREATED', '2007-05-23 05:26 EDT'), ('WONTFIX', '2020-04-30 00:40:07 EDT', 'genie'), ('CLOSED', '2020-04-30 00:40:07 EDT', 'genie'), ('stalebug', '2020-04-30 00:40:07 EDT', 'genie')]</t>
  </si>
  <si>
    <t>2010-03-29 09:39:24 EDT</t>
  </si>
  <si>
    <t>2007-05-24 06:32 EDT</t>
  </si>
  <si>
    <t>2007-05-24 10:01:34 EDT</t>
  </si>
  <si>
    <t>[('CREATED', '2007-05-24 06:32 EDT'), ('[code templates] "New Java files" code template should have a terminating line break', '2007-05-24 10:01:34 EDT', 'martinae'), ('daniel_megert', '2008-08-29 08:54:33 EDT', 'daniel_megert'), ('ASSIGNED', '2008-08-29 08:54:33 EDT', 'daniel_megert'), ('RESOLVED', '2010-03-29 09:39:24 EDT', 'markus.kell.r'), ('WORKSFORME', '2010-03-29 09:39:24 EDT', 'markus.kell.r')]</t>
  </si>
  <si>
    <t>2020-04-22 05:53:44 EDT</t>
  </si>
  <si>
    <t>2007-05-24 08:32 EDT</t>
  </si>
  <si>
    <t>[('CREATED', '2007-05-24 08:32 EDT'), ('CLOSED', '2020-04-22 05:53:44 EDT', 'genie'), ('WONTFIX', '2020-04-22 05:53:44 EDT', 'genie'), ('stalebug', '2020-04-22 05:53:44 EDT', 'genie')]</t>
  </si>
  <si>
    <t>2007-05-24 13:12 EDT</t>
  </si>
  <si>
    <t>2007-05-24 13:30:46 EDT</t>
  </si>
  <si>
    <t>2008-11-29 05:30:15 EST</t>
  </si>
  <si>
    <t>[('CREATED', '2007-05-24 13:12 EDT'), ('All', '2007-05-24 13:30:46 EDT', 'lancewalton'), ('[refactoring] Refactor refactorings to provide a library on which to build new refactoring', '2007-05-25 03:26:38 EDT', 'martinae'), ('mn', '2008-11-28 15:28:39 EST', 'mn'), ('daniel_megert', '2008-11-29 05:30:15 EST', 'daniel_megert'), ('ASSIGNED', '2008-11-29 05:30:15 EST', 'daniel_megert'), ('helpwanted', '2008-11-29 05:30:15 EST', 'daniel_megert'), ('P5', '2008-11-29 05:30:15 EST', 'daniel_megert')]</t>
  </si>
  <si>
    <t>2007-05-29 04:52:59 EDT</t>
  </si>
  <si>
    <t>2007-05-24 14:44 EDT</t>
  </si>
  <si>
    <t>2007-05-24 14:51:38 EDT</t>
  </si>
  <si>
    <t>[('CREATED', '2007-05-24 14:44 EDT'), ('normal', '2007-05-24 14:51:38 EDT', 'Tod_Creasey'), ('jdt-ui-inbox', '2007-05-25 21:18:18 EDT', 'Olivier_Thomann'), ('UI', '2007-05-25 21:18:18 EDT', 'Olivier_Thomann'), ('daniel_megert, Olivier_Thomann', '2007-05-26 04:43:29 EDT', 'daniel_megert'), ('RESOLVED', '2007-05-29 04:52:59 EDT', 'martinae'), ('WORKSFORME', '2007-05-29 04:52:59 EDT', 'martinae')]</t>
  </si>
  <si>
    <t>2007-05-26 05:09:30 EDT</t>
  </si>
  <si>
    <t>2007-05-25 10:32 EDT</t>
  </si>
  <si>
    <t>[('CREATED', '2007-05-25 10:32 EDT'), ('RESOLVED', '2007-05-26 05:09:30 EDT', 'daniel_megert'), ('WORKSFORME', '2007-05-26 05:09:30 EDT', 'daniel_megert')]</t>
  </si>
  <si>
    <t>2007-05-31 08:34:32 EDT</t>
  </si>
  <si>
    <t>2007-06-01 06:24:35 EDT</t>
  </si>
  <si>
    <t>2007-05-27 07:28 EDT</t>
  </si>
  <si>
    <t>2007-05-27 08:55:22 EDT</t>
  </si>
  <si>
    <t>[('CREATED', '2007-05-27 07:28 EDT'), ('jdt-ui-inbox', '2007-05-27 08:55:22 EDT', 'Olivier_Thomann'), ('UI', '2007-05-27 08:55:22 EDT', 'Olivier_Thomann'), ('daniel_megert', '2007-05-28 07:43:00 EDT', 'daniel_megert'), ('[rename] stacktracev following renaming of package name', '2007-05-29 05:45:13 EDT', 'martinae'), ('3.3 RC3', '2007-05-29 05:45:13 EDT', 'martinae'), ('markus_keller', '2007-05-29 05:45:13 EDT', 'martinae'), ('remy.suen', '2007-05-29 15:56:48 EDT', 'remy.suen'), ('ASSIGNED', '2007-05-31 05:33:12 EDT', 'markus.kell.r'), ('review?(benno_baumgartner), review?(martin_aeschlimann)', '2007-05-31 05:33:12 EDT', 'markus.kell.r'), ('normal', '2007-05-31 05:37:32 EDT', 'markus.kell.r'), ('[rename] stacktrace following renaming of package name', '2007-05-31 05:37:32 EDT', 'markus.kell.r'), ('review+', '2007-05-31 05:42:52 EDT', 'martinae'), ('review+', '2007-05-31 06:35:50 EDT', 'benno.baumgartner'), ('RESOLVED', '2007-05-31 08:34:32 EDT', 'markus.kell.r'), ('FIXED', '2007-05-31 08:34:32 EDT', 'markus.kell.r'), ('VERIFIED', '2007-06-01 06:24:35 EDT', 'benno.baumgartner')]</t>
  </si>
  <si>
    <t>2007-08-23 05:15:17 EDT</t>
  </si>
  <si>
    <t>2007-09-06 08:22:50 EDT</t>
  </si>
  <si>
    <t>2007-05-27 20:52 EDT</t>
  </si>
  <si>
    <t>2007-05-28 10:31:28 EDT</t>
  </si>
  <si>
    <t>[('CREATED', '2007-05-27 20:52 EDT'), ('vivkong', '2007-05-28 10:31:28 EDT', 'vivkong'), ('Platform-UI-Inbox', '2007-05-31 15:33:14 EDT', 'vivkong'), ('UI', '2007-05-31 15:33:14 EDT', 'vivkong'), ('Platform', '2007-05-31 15:33:14 EDT', 'vivkong'), ('3.3', '2007-05-31 15:33:14 EDT', 'vivkong'), ('susan_franklin', '2007-05-31 18:39:18 EDT', 'Kevin_McGuire'), ('[Dialogs] [Accessibility] Refactoring - error list does not provide a label', '2007-05-31 18:39:18 EDT', 'Kevin_McGuire'), ('jdt-ui-inbox', '2007-06-01 15:49:40 EDT', 'susan'), ('UI', '2007-06-01 15:49:40 EDT', 'susan'), ('JDT', '2007-06-01 15:49:40 EDT', 'susan'), ('[refactoring] error list does not provide a label', '2007-06-04 04:14:47 EDT', 'martinae'), ('3.3.1', '2007-06-04 04:14:47 EDT', 'martinae'), ('martin_aeschlimann', '2007-08-22 12:16:17 EDT', 'martinae'), ('martin_aeschlimann', '2007-08-22 12:16:17 EDT', 'martinae'), ('RESOLVED', '2007-08-23 05:15:17 EDT', 'martinae'), ('FIXED', '2007-08-23 05:15:17 EDT', 'martinae'), ('daniel_megert', '2007-09-06 08:22:50 EDT', 'daniel_megert'), ('VERIFIED', '2007-09-06 08:22:50 EDT', 'daniel_megert')]</t>
  </si>
  <si>
    <t>2007-06-04 12:16:04 EDT</t>
  </si>
  <si>
    <t>2007-06-05 04:57:31 EDT</t>
  </si>
  <si>
    <t>2007-05-29 06:00 EDT</t>
  </si>
  <si>
    <t>2007-05-29 07:12:37 EDT</t>
  </si>
  <si>
    <t>2007-06-06 12:27:51 EDT</t>
  </si>
  <si>
    <t>[('CREATED', '2007-05-29 06:00 EDT'), ('karsten_becker', '2007-05-29 07:12:37 EDT', 'martinae'), ('3.3 RC3', '2007-05-29 07:12:37 EDT', 'martinae'), ('1', '2007-05-29 08:51:30 EDT', 'eclipse'), ('3.3 RC4', '2007-06-01 12:13:56 EDT', 'martinae'), ('markus_keller', '2007-06-04 09:12:42 EDT', 'martinae'), ('review?(markus_keller)', '2007-06-04 09:12:42 EDT', 'martinae'), ('daniel_megert', '2007-06-04 09:15:13 EDT', 'martinae'), ('review?(daniel_megert)', '2007-06-04 09:15:13 EDT', 'martinae'), ('review+', '2007-06-04 11:27:45 EDT', 'markus.kell.r'), ('[introduce parameter object] NPE when introducing to overridden method if method from binary using command shortcut', '2007-06-04 11:28:12 EDT', 'markus.kell.r'), ('review+', '2007-06-04 11:36:41 EDT', 'daniel_megert'), ('RESOLVED', '2007-06-04 12:16:04 EDT', 'markus.kell.r'), ('FIXED', '2007-06-04 12:16:04 EDT', 'markus.kell.r'), ('VERIFIED', '2007-06-05 04:57:31 EDT', 'markus.kell.r'), ('contributed', '2007-06-06 12:27:51 EDT', 'martinae')]</t>
  </si>
  <si>
    <t>RESOLVED  DUPLICATE  of bug 185764</t>
  </si>
  <si>
    <t>2007-05-29 06:59:30 EDT</t>
  </si>
  <si>
    <t>2007-05-29 06:31 EDT</t>
  </si>
  <si>
    <t>[('CREATED', '2007-05-29 06:31 EDT'), ('DUPLICATE', '2007-05-29 06:59:30 EDT', 'benno.baumgartner'), ('RESOLVED', '2007-05-29 06:59:30 EDT', 'benno.baumgartner')]</t>
  </si>
  <si>
    <t>190856 (view as bug list)</t>
  </si>
  <si>
    <t>2007-05-30 09:00:05 EDT</t>
  </si>
  <si>
    <t>2007-06-01 06:41:40 EDT</t>
  </si>
  <si>
    <t>2007-05-29 09:44 EDT</t>
  </si>
  <si>
    <t>2007-05-29 10:03:49 EDT</t>
  </si>
  <si>
    <t>2007-06-05 03:45:18 EDT</t>
  </si>
  <si>
    <t>[('CREATED', '2007-05-29 09:44 EDT'), ('3.3 RC3', '2007-05-29 10:03:49 EDT', 'martinae'), ('review?(markus_keller)', '2007-05-29 10:03:49 EDT', 'martinae'), ('markus_keller', '2007-05-29 10:03:49 EDT', 'martinae'), ('review+', '2007-05-29 10:03:57 EDT', 'martinae'), ('benno_baumgartner', '2007-05-30 04:26:00 EDT', 'benno.baumgartner'), ('review+', '2007-05-30 07:05:25 EDT', 'markus.kell.r'), ('RESOLVED', '2007-05-30 09:00:05 EDT', 'benno.baumgartner'), ('FIXED', '2007-05-30 09:00:05 EDT', 'benno.baumgartner'), ('VERIFIED', '2007-06-01 06:41:40 EDT', 'benno.baumgartner'), ('eclipse.daniel.aborg', '2007-06-05 03:45:18 EDT', 'benno.baumgartner')]</t>
  </si>
  <si>
    <t>2007-05-31 10:20:45 EDT</t>
  </si>
  <si>
    <t>2007-05-30 09:18 EDT</t>
  </si>
  <si>
    <t>[('CREATED', '2007-05-30 09:18 EDT'), ('enhancement', '2007-05-31 10:20:45 EDT', 'martinae'), ('RESOLVED', '2007-05-31 10:20:45 EDT', 'martinae'), ('WONTFIX', '2007-05-31 10:20:45 EDT', 'martinae'), ('[type wizards] New Java element Wizard ignores selection of non JavaElements', '2007-05-31 10:20:45 EDT', 'martinae')]</t>
  </si>
  <si>
    <t>2007-06-01 06:50 EDT</t>
  </si>
  <si>
    <t>2007-06-01 08:46:55 EDT</t>
  </si>
  <si>
    <t>2019-06-23 16:19:53 EDT</t>
  </si>
  <si>
    <t>[('CREATED', '2007-06-01 06:50 EDT'), ('ASSIGNED', '2007-06-01 08:46:55 EDT', 'martinae'), ('[extract superclass] Extract superclass from type implementing interface extracts iterface import', '2007-06-01 08:46:55 EDT', 'martinae'), ('[extract superclass] Extract superclass from type implementing interface extracts interface import', '2007-06-04 04:59:25 EDT', 'martinae'), ('stalebug', '2019-06-23 16:19:53 EDT', 'genie')]</t>
  </si>
  <si>
    <t>RESOLVED  DUPLICATE  of bug 211037</t>
  </si>
  <si>
    <t>2008-01-28 04:48:43 EST</t>
  </si>
  <si>
    <t>2007-06-01 13:13 EDT</t>
  </si>
  <si>
    <t>2007-06-01 13:20:23 EDT</t>
  </si>
  <si>
    <t>[('CREATED', '2007-06-01 13:13 EDT'), ('jdt-ui-inbox', '2007-06-01 13:20:23 EDT', 'philippe_mulet'), ('UI', '2007-06-01 13:20:23 EDT', 'philippe_mulet'), ('martin_aeschlimann', '2007-06-04 04:07:59 EDT', 'martinae'), ('markus_keller', '2007-06-04 04:07:59 EDT', 'martinae'), ('[infer type arguments] Infer Generics Refactoring Broken', '2007-06-04 04:07:59 EDT', 'martinae'), ('stephan', '2007-09-22 12:50:12 EDT', 'stephan.herrmann'), ('3.4', '2007-09-25 04:05:36 EDT', 'martinae'), ('daniel_megert', '2008-01-28 04:48:43 EST', 'daniel_megert'), ('RESOLVED', '2008-01-28 04:48:43 EST', 'daniel_megert'), ('DUPLICATE', '2008-01-28 04:48:43 EST', 'daniel_megert')]</t>
  </si>
  <si>
    <t>2007-08-23 05:09:04 EDT</t>
  </si>
  <si>
    <t>2007-09-06 06:33:03 EDT</t>
  </si>
  <si>
    <t>2007-06-03 14:48 EDT</t>
  </si>
  <si>
    <t>2007-06-04 03:56:34 EDT</t>
  </si>
  <si>
    <t>[('CREATED', '2007-06-03 14:48 EDT'), ('jdt-ui-inbox', '2007-06-04 03:56:34 EDT', 'daniel_megert'), ('UI', '2007-06-04 03:56:34 EDT', 'daniel_megert'), ('markus_keller', '2007-06-04 04:48:56 EDT', 'martinae'), ('[convert local] NPE in PromoteTempToFieldRefactoring.checkTempTypeForLocalTypeUsage', '2007-06-04 04:48:56 EDT', 'martinae'), ('3.3.1', '2007-06-04 04:48:56 EDT', 'martinae'), ('ASSIGNED', '2007-06-04 06:50:10 EDT', 'markus.kell.r'), ('RESOLVED', '2007-08-23 05:09:04 EDT', 'markus.kell.r'), ('FIXED', '2007-08-23 05:09:04 EDT', 'markus.kell.r'), ('martin_aeschlimann', '2007-09-06 06:30:04 EDT', 'martinae'), ('VERIFIED', '2007-09-06 06:33:03 EDT', 'martinae')]</t>
  </si>
  <si>
    <t>RESOLVED  DUPLICATE  of bug 189666</t>
  </si>
  <si>
    <t>2007-06-04 13:58 EDT</t>
  </si>
  <si>
    <t>[('CREATED', '2007-06-04 13:58 EDT'), ('RESOLVED', '2007-06-05 03:45:18 EDT', 'benno.baumgartner'), ('DUPLICATE', '2007-06-05 03:45:18 EDT', 'benno.baumgartner')]</t>
  </si>
  <si>
    <t>2007-06-19 09:03:25 EDT</t>
  </si>
  <si>
    <t>2007-06-05 04:52 EDT</t>
  </si>
  <si>
    <t>2007-06-19 09:03:15 EDT</t>
  </si>
  <si>
    <t>2007-06-21 05:45:09 EDT</t>
  </si>
  <si>
    <t>[('CREATED', '2007-06-05 04:52 EDT'), ('karsten_becker', '2007-06-19 09:03:15 EDT', 'martinae'), ('3.4', '2007-06-19 09:03:15 EDT', 'martinae'), ('FIXED', '2007-06-19 09:03:25 EDT', 'martinae'), ('martin_aeschlimann', '2007-06-19 09:03:25 EDT', 'martinae'), ('RESOLVED', '2007-06-19 09:03:25 EDT', 'martinae'), ('3.4 M1', '2007-06-21 05:45:09 EDT', 'markus.kell.r')]</t>
  </si>
  <si>
    <t>VERIFIED  DUPLICATE  of bug 190987</t>
  </si>
  <si>
    <t>2007-07-10 04:49:28 EDT</t>
  </si>
  <si>
    <t>2008-01-24 12:24:15 EST</t>
  </si>
  <si>
    <t>2007-06-05 05:20 EDT</t>
  </si>
  <si>
    <t>2007-06-05 11:57:36 EDT</t>
  </si>
  <si>
    <t>[('CREATED', '2007-06-05 05:20 EDT'), ('jdt-ui-inbox', '2007-06-05 11:57:36 EDT', 'baumanbr'), ('UI', '2007-06-05 11:57:36 EDT', 'baumanbr'), ('JDT', '2007-06-05 11:57:36 EDT', 'baumanbr'), ('3.3.1', '2007-06-08 09:15:05 EDT', 'martinae'), ('benno_baumgartner', '2007-06-08 09:15:05 EDT', 'martinae'), ('[reorg] Deleting class folder results in unexpected project deletion', '2007-06-08 09:15:05 EDT', 'martinae'), ('RESOLVED', '2007-07-10 04:49:28 EDT', 'benno.baumgartner'), ('DUPLICATE', '2007-07-10 04:49:28 EDT', 'benno.baumgartner'), ('markus_keller', '2008-01-24 12:24:15 EST', 'markus.kell.r'), ('VERIFIED', '2008-01-24 12:24:15 EST', 'markus.kell.r')]</t>
  </si>
  <si>
    <t>190986 (view as bug list)</t>
  </si>
  <si>
    <t>2007-07-10 07:59:47 EDT</t>
  </si>
  <si>
    <t>2007-08-07 09:15:13 EDT</t>
  </si>
  <si>
    <t>2007-06-05 05:30 EDT</t>
  </si>
  <si>
    <t>2007-07-10 04:50:51 EDT</t>
  </si>
  <si>
    <t>[('CREATED', '2007-06-05 05:30 EDT'), ('benno_baumgartner', '2007-07-10 04:50:51 EDT', 'benno.baumgartner'), ('major', '2007-07-10 04:50:51 EDT', 'benno.baumgartner'), ('3.3.1', '2007-07-10 04:50:51 EDT', 'benno.baumgartner'), ('RESOLVED', '2007-07-10 07:59:47 EDT', 'benno.baumgartner'), ('FIXED', '2007-07-10 07:59:47 EDT', 'benno.baumgartner'), ('daniel_megert', '2007-08-07 09:05:29 EDT', 'daniel_megert'), ('VERIFIED', '2007-08-07 09:15:13 EDT', 'daniel_megert')]</t>
  </si>
  <si>
    <t>15670 154130</t>
  </si>
  <si>
    <t>2007-06-05 11:26 EDT</t>
  </si>
  <si>
    <t>2007-06-05 11:28:00 EDT</t>
  </si>
  <si>
    <t>2019-11-14 19:47:11 EST</t>
  </si>
  <si>
    <t>[('CREATED', '2007-06-05 11:26 EDT'), ('bpalod', '2007-06-05 11:28:00 EDT', 'bevon.palod'), ('15670, 154130', '2007-06-05 11:57:56 EDT', 'markus.kell.r'), ('pwebster', '2007-06-05 12:13:07 EDT', 'pwebster'), ('[actions] Injection mechanism for menus created in other plugins', '2007-06-08 09:15:44 EDT', 'martinae'), ('stalebug', '2019-11-14 19:47:11 EST', 'genie')]</t>
  </si>
  <si>
    <t>RESOLVED  DUPLICATE  of bug 151683</t>
  </si>
  <si>
    <t>2007-06-06 06:25:22 EDT</t>
  </si>
  <si>
    <t>2007-06-06 03:34 EDT</t>
  </si>
  <si>
    <t>2007-06-06 04:20:28 EDT</t>
  </si>
  <si>
    <t>[('CREATED', '2007-06-06 03:34 EDT'), ('jdt-ui-inbox', '2007-06-06 04:20:28 EDT', 'jerome_lanneluc'), ('UI', '2007-06-06 04:20:28 EDT', 'jerome_lanneluc'), ('RESOLVED', '2007-06-06 06:25:22 EDT', 'martinae'), ('DUPLICATE', '2007-06-06 06:25:22 EDT', 'martinae')]</t>
  </si>
  <si>
    <t>2007-08-27 11:02:29 EDT</t>
  </si>
  <si>
    <t>2007-09-06 08:22:07 EDT</t>
  </si>
  <si>
    <t>2007-06-06 06:14 EDT</t>
  </si>
  <si>
    <t>2007-06-06 06:26:19 EDT</t>
  </si>
  <si>
    <t>[('CREATED', '2007-06-06 06:14 EDT'), ('markus_keller', '2007-06-06 06:26:19 EDT', 'martinae'), ('3.3.1', '2007-06-06 06:26:19 EDT', 'martinae'), ('RESOLVED', '2007-08-27 11:02:29 EDT', 'markus.kell.r'), ('FIXED', '2007-08-27 11:02:29 EDT', 'markus.kell.r'), ('martin_aeschlimann', '2007-09-06 06:45:15 EDT', 'martinae'), ('VERIFIED', '2007-09-06 08:22:07 EDT', 'martinae')]</t>
  </si>
  <si>
    <t>2007-08-23 05:07:06 EDT</t>
  </si>
  <si>
    <t>2007-09-06 06:29:35 EDT</t>
  </si>
  <si>
    <t>2007-06-06 16:00 EDT</t>
  </si>
  <si>
    <t>2007-06-06 16:42:36 EDT</t>
  </si>
  <si>
    <t>[('CREATED', '2007-06-06 16:00 EDT'), ('jdt-ui-inbox', '2007-06-06 16:42:36 EDT', 'Olivier_Thomann'), ('UI', '2007-06-06 16:42:36 EDT', 'Olivier_Thomann'), ('[change method signature] Refactoring errorollowing error:', '2007-06-07 04:52:20 EDT', 'martinae'), ('3.3.1', '2007-06-07 04:52:20 EDT', 'martinae'), ('markus_keller', '2007-06-08 07:11:59 EDT', 'martinae'), ('[change method signature] error with nodeType=8;', '2007-06-08 07:11:59 EDT', 'martinae'), ('ASSIGNED', '2007-06-19 08:01:38 EDT', 'markus.kell.r'), ('RESOLVED', '2007-08-23 05:07:06 EDT', 'markus.kell.r'), ('FIXED', '2007-08-23 05:07:06 EDT', 'markus.kell.r'), ('martin_aeschlimann', '2007-09-06 06:29:35 EDT', 'martinae'), ('VERIFIED', '2007-09-06 06:29:35 EDT', 'martinae')]</t>
  </si>
  <si>
    <t>2007-07-03 05:21:54 EDT</t>
  </si>
  <si>
    <t>2007-06-08 11:26 EDT</t>
  </si>
  <si>
    <t>2007-06-08 15:13:09 EDT</t>
  </si>
  <si>
    <t>[('CREATED', '2007-06-08 11:26 EDT'), ('daniel_megert', '2007-06-08 15:13:09 EDT', 'daniel_megert'), ('Darin_Wright', '2007-06-12 12:03:10 EDT', 'daniel_megert'), ('martin_aeschlimann', '2007-06-14 05:08:01 EDT', 'martinae'), ('jeff_mcaffer', '2007-06-15 08:07:08 EDT', 'jeffmcaffer'), ('RESOLVED', '2007-07-03 05:21:54 EDT', 'martinae'), ('WONTFIX', '2007-07-03 05:21:54 EDT', 'martinae')]</t>
  </si>
  <si>
    <t>2007-06-14 05:31:35 EDT</t>
  </si>
  <si>
    <t>2007-06-12 10:10 EDT</t>
  </si>
  <si>
    <t>2007-06-12 10:16:04 EDT</t>
  </si>
  <si>
    <t>[('CREATED', '2007-06-12 10:10 EDT'), ('jdt-ui-inbox', '2007-06-12 10:16:04 EDT', 'jerome_lanneluc'), ('UI', '2007-06-12 10:16:04 EDT', 'jerome_lanneluc'), ('RESOLVED', '2007-06-14 05:31:35 EDT', 'martinae'), ('WONTFIX', '2007-06-14 05:31:35 EDT', 'martinae')]</t>
  </si>
  <si>
    <t>186311 (view as bug list)</t>
  </si>
  <si>
    <t>194185</t>
  </si>
  <si>
    <t>2007-08-06 07:02:06 EDT</t>
  </si>
  <si>
    <t>2007-08-07 10:02:17 EDT</t>
  </si>
  <si>
    <t>2007-06-14 07:10 EDT</t>
  </si>
  <si>
    <t>2007-06-14 07:22:28 EDT</t>
  </si>
  <si>
    <t>[('CREATED', '2007-06-14 07:10 EDT'), ('markus_keller', '2007-06-14 07:22:28 EDT', 'martinae'), ('[rename] Incomplete package rename refactoring', '2007-06-14 07:22:28 EDT', 'martinae'), ('194185', '2007-06-25 06:18:53 EDT', 'markus.kell.r'), ('3.3.1', '2007-06-25 06:22:03 EDT', 'markus.kell.r'), ('ASSIGNED', '2007-07-03 11:03:08 EDT', 'markus.kell.r'), ('incoming', '2007-08-06 06:50:28 EDT', 'markus.kell.r'), ('RESOLVED', '2007-08-06 07:02:06 EDT', 'markus.kell.r'), ('FIXED', '2007-08-06 07:02:06 EDT', 'markus.kell.r'), ('benno_baumgartner', '2007-08-07 10:02:17 EDT', 'benno.baumgartner'), ('VERIFIED', '2007-08-07 10:02:17 EDT', 'benno.baumgartner')]</t>
  </si>
  <si>
    <t>2007-07-04 04:36:49 EDT</t>
  </si>
  <si>
    <t>2007-06-19 09:15 EDT</t>
  </si>
  <si>
    <t>2007-06-19 09:26:50 EDT</t>
  </si>
  <si>
    <t>2007-07-04 04:37:43 EDT</t>
  </si>
  <si>
    <t>[('CREATED', '2007-06-19 09:15 EDT'), ('martin_aeschlimann', '2007-06-19 09:26:50 EDT', 'martinae'), ('karsten_becker', '2007-06-19 09:26:50 EDT', 'martinae'), ('RESOLVED', '2007-07-04 04:36:49 EDT', 'eclipse'), ('FIXED', '2007-07-04 04:36:49 EDT', 'eclipse'), ('contributed', '2007-07-04 04:37:43 EDT', 'martinae'), ('3.4 M1', '2007-07-04 04:37:43 EDT', 'martinae')]</t>
  </si>
  <si>
    <t>2007-07-05 05:30:35 EDT</t>
  </si>
  <si>
    <t>2007-06-20 16:59:12 EDT</t>
  </si>
  <si>
    <t>2007-06-20 10:45 EDT</t>
  </si>
  <si>
    <t>2007-06-20 10:46:33 EDT</t>
  </si>
  <si>
    <t>[('CREATED', '2007-06-20 10:45 EDT'), ('markus_keller', '2007-06-20 10:46:33 EDT', 'eclipse'), ('martin_aeschlimann', '2007-06-20 10:46:54 EDT', 'eclipse'), ('3.4', '2007-06-20 12:04:50 EDT', 'martinae'), ('RESOLVED', '2007-06-20 12:04:50 EDT', 'martinae'), ('contributed', '2007-06-20 12:04:50 EDT', 'martinae'), ('FIXED', '2007-06-20 12:04:50 EDT', 'martinae'), ('REOPENED', '2007-06-20 16:59:12 EDT', 'martinae'), ('---', '2007-06-20 16:59:12 EDT', 'martinae'), ('1', '2007-06-21 15:13:35 EDT', 'eclipse'), ('1', '2007-06-22 11:46:35 EDT', 'eclipse'), ('1', '2007-06-27 06:30:54 EDT', 'eclipse'), ('1', '2007-06-27 06:53:44 EDT', 'eclipse'), ('karsten_becker', '2007-06-28 08:49:11 EDT', 'martinae'), ('NEW', '2007-06-28 08:49:11 EDT', 'martinae'), ('[refactoring] Move JDTRefactoringContribution.createRefactoring(RefactoringDescriptor) to org.eclipse.jdt.core.refactoring.descriptors.JavaRefactoringContribution', '2007-06-28 08:49:11 EDT', 'martinae'), ('3.4 M1', '2007-06-28 08:49:11 EDT', 'martinae'), ('RESOLVED', '2007-07-05 05:30:35 EDT', 'eclipse'), ('FIXED', '2007-07-05 05:30:35 EDT', 'eclipse')]</t>
  </si>
  <si>
    <t>2007-06-21 09:48 EDT</t>
  </si>
  <si>
    <t>2007-06-21 09:49:06 EDT</t>
  </si>
  <si>
    <t>2019-11-25 16:34:26 EST</t>
  </si>
  <si>
    <t>[('CREATED', '2007-06-21 09:48 EDT'), ('markus_keller', '2007-06-21 09:49:06 EDT', 'markus.kell.r'), ('3.4', '2007-06-21 09:49:06 EDT', 'markus.kell.r'), ('karsten_becker', '2007-06-22 12:37:48 EDT', 'markus.kell.r'), ('ASSIGNED', '2007-06-22 12:37:48 EDT', 'markus.kell.r'), ('martin_aeschlimann', '2008-05-02 10:46:17 EDT', 'martinae'), ('---', '2008-05-02 10:46:17 EDT', 'martinae'), ('stalebug', '2019-11-25 16:34:26 EST', 'genie')]</t>
  </si>
  <si>
    <t>2007-07-03 12:27:56 EDT</t>
  </si>
  <si>
    <t>2007-06-22 08:26 EDT</t>
  </si>
  <si>
    <t>2007-07-03 12:26:51 EDT</t>
  </si>
  <si>
    <t>[('CREATED', '2007-06-22 08:26 EDT'), ('martin_aeschlimann', '2007-07-03 12:26:51 EDT', 'martinae'), ('[move static members] Uncompilable class after Moving Members', '2007-07-03 12:26:51 EDT', 'martinae'), ('3.4 M1', '2007-07-03 12:26:51 EDT', 'martinae'), ('RESOLVED', '2007-07-03 12:27:56 EDT', 'martinae'), ('FIXED', '2007-07-03 12:27:56 EDT', 'martinae')]</t>
  </si>
  <si>
    <t>2007-06-25 04:34:40 EDT</t>
  </si>
  <si>
    <t>2007-06-24 12:08 EDT</t>
  </si>
  <si>
    <t>[('CREATED', '2007-06-24 12:08 EDT'), ('RESOLVED', '2007-06-25 04:34:40 EDT', 'martinae'), ('DUPLICATE', '2007-06-25 04:34:40 EDT', 'martinae'), ('[introduce parameter] not working in some circumstance', '2007-06-25 04:34:40 EDT', 'martinae')]</t>
  </si>
  <si>
    <t>2007-08-22 05:05:02 EDT</t>
  </si>
  <si>
    <t>2007-06-25 11:05:12 EDT</t>
  </si>
  <si>
    <t>2007-08-20 06:19:12 EDT</t>
  </si>
  <si>
    <t>2007-06-25 10:59 EDT</t>
  </si>
  <si>
    <t>[('CREATED', '2007-06-25 10:59 EDT'), ('RESOLVED', '2007-06-25 11:05:12 EDT', 'jason'), ('WORKSFORME', '2007-06-25 11:05:12 EDT', 'jason'), ('Alexander.Veit', '2007-08-20 05:29:40 EDT', 'Alexander.Veit'), ('jerome_lanneluc', '2007-08-20 06:19:12 EDT', 'jerome_lanneluc'), ('REOPENED', '2007-08-20 06:19:12 EDT', 'jerome_lanneluc'), ('---', '2007-08-20 06:19:12 EDT', 'jerome_lanneluc'), (nan, '2007-08-20 06:19:45 EDT', 'jerome_lanneluc'), ('jdt-ui-inbox', '2007-08-20 06:19:45 EDT', 'jerome_lanneluc'), ('NEW', '2007-08-20 06:19:45 EDT', 'jerome_lanneluc'), ('UI', '2007-08-20 06:19:45 EDT', 'jerome_lanneluc'), ('martin_aeschlimann', '2007-08-22 05:04:53 EDT', 'martinae'), ('martin_aeschlimann', '2007-08-22 05:04:53 EDT', 'martinae'), ('[move member type] Convert Member Type to Top Level throw InvocationTargetException', '2007-08-22 05:04:53 EDT', 'martinae'), ('3.4 M2', '2007-08-22 05:04:53 EDT', 'martinae'), ('RESOLVED', '2007-08-22 05:05:02 EDT', 'martinae'), ('FIXED', '2007-08-22 05:05:02 EDT', 'martinae')]</t>
  </si>
  <si>
    <t>2007-07-17 06:57:11 EDT</t>
  </si>
  <si>
    <t>2007-06-26 05:40 EDT</t>
  </si>
  <si>
    <t>[('CREATED', '2007-06-26 05:40 EDT'), ('RESOLVED', '2007-07-17 06:57:11 EDT', 'martinae'), ('INVALID', '2007-07-17 06:57:11 EDT', 'martinae')]</t>
  </si>
  <si>
    <t>2007-06-28 06:44:33 EDT</t>
  </si>
  <si>
    <t>2007-06-27 12:26 EDT</t>
  </si>
  <si>
    <t>2007-06-27 12:27:26 EDT</t>
  </si>
  <si>
    <t>[('CREATED', '2007-06-27 12:26 EDT'), ('UI', '2007-06-27 12:27:26 EDT', 'eclipse'), ('jdt-ui-inbox', '2007-06-27 12:36:50 EDT', 'jgarms'), ('1', '2007-06-28 05:00:28 EDT', 'eclipse'), ('martin_aeschlimann', '2007-06-28 06:32:15 EDT', 'martinae'), ('karsten_becker', '2007-06-28 06:32:15 EDT', 'martinae'), ('[change method signature] does not create a valid refactoring script if a parameter is added', '2007-06-28 06:32:15 EDT', 'martinae'), ('3.4 M1', '2007-06-28 06:32:15 EDT', 'martinae'), ('RESOLVED', '2007-06-28 06:44:33 EDT', 'martinae'), ('contributed', '2007-06-28 06:44:33 EDT', 'martinae'), ('FIXED', '2007-06-28 06:44:33 EDT', 'martinae')]</t>
  </si>
  <si>
    <t>2007-06-28 11:52:43 EDT</t>
  </si>
  <si>
    <t>2007-06-27 13:13 EDT</t>
  </si>
  <si>
    <t>2007-06-27 13:32:46 EDT</t>
  </si>
  <si>
    <t>[('CREATED', '2007-06-27 13:13 EDT'), ('martin_aeschlimann', '2007-06-27 13:32:46 EDT', 'eclipse'), ('karsten_becker', '2007-06-28 06:31:15 EDT', 'martinae'), ('[change method signature] does not persist types with whitespaces correctly in Scriptable Refactoring', '2007-06-28 06:31:15 EDT', 'martinae'), ('3.4 M1', '2007-06-28 06:31:15 EDT', 'martinae'), ('FIXED', '2007-06-28 11:52:43 EDT', 'martinae'), ('RESOLVED', '2007-06-28 11:52:43 EDT', 'martinae'), ('contributed', '2007-06-28 11:52:43 EDT', 'martinae')]</t>
  </si>
  <si>
    <t>2007-06-28 11:27:30 EDT</t>
  </si>
  <si>
    <t>2007-06-27 13:51 EDT</t>
  </si>
  <si>
    <t>2007-06-28 06:30:45 EDT</t>
  </si>
  <si>
    <t>[('CREATED', '2007-06-27 13:51 EDT'), ('martin_aeschlimann', '2007-06-28 06:30:45 EDT', 'martinae'), ('karsten_becker', '2007-06-28 06:30:45 EDT', 'martinae'), ('[change method signature] scriptable refactoring does not see return type change', '2007-06-28 06:30:45 EDT', 'martinae'), ('3.4 M1', '2007-06-28 06:30:45 EDT', 'martinae'), ('RESOLVED', '2007-06-28 11:27:30 EDT', 'eclipse'), ('FIXED', '2007-06-28 11:27:30 EDT', 'eclipse')]</t>
  </si>
  <si>
    <t>2007-07-11 12:01:02 EDT</t>
  </si>
  <si>
    <t>2007-06-29 19:07 EDT</t>
  </si>
  <si>
    <t>2007-07-02 08:29:10 EDT</t>
  </si>
  <si>
    <t>[('CREATED', '2007-06-29 19:07 EDT'), ('[refactoring] MoveTest reveals AFE in RefactoringHistoryManager', '2007-07-02 08:29:10 EDT', 'martinae'), ('markus_keller', '2007-07-02 08:36:15 EDT', 'markus.kell.r'), ('3.4 M1', '2007-07-02 08:36:15 EDT', 'markus.kell.r'), ('karsten_becker', '2007-07-03 06:52:16 EDT', 'markus.kell.r'), ('ASSIGNED', '2007-07-03 06:52:16 EDT', 'markus.kell.r'), ('1', '2007-07-03 12:20:27 EDT', 'eclipse'), ('1', '2007-07-09 08:47:16 EDT', 'eclipse'), ('1', '2007-07-09 08:47:16 EDT', 'eclipse'), ('contributed', '2007-07-10 02:47:26 EDT', 'markus.kell.r'), ('1', '2007-07-10 11:09:05 EDT', 'eclipse'), ('1', '2007-07-10 11:09:05 EDT', 'eclipse'), ('RESOLVED', '2007-07-11 12:01:02 EDT', 'markus.kell.r'), ('FIXED', '2007-07-11 12:01:02 EDT', 'markus.kell.r')]</t>
  </si>
  <si>
    <t>209317 (view as bug list)</t>
  </si>
  <si>
    <t>2007-06-30 01:41 EDT</t>
  </si>
  <si>
    <t>2007-07-01 18:14:44 EDT</t>
  </si>
  <si>
    <t>2019-09-02 08:00:26 EDT</t>
  </si>
  <si>
    <t>[('CREATED', '2007-06-30 01:41 EDT'), ('jdt-ui-inbox', '2007-07-01 18:14:44 EDT', 'Olivier_Thomann'), ('UI', '2007-07-01 18:14:44 EDT', 'Olivier_Thomann'), ('ASSIGNED', '2007-07-02 10:46:34 EDT', 'martinae'), ('xiemaisi', '2007-11-12 12:24:37 EST', 'martinae'), ('stalebug', '2019-09-02 08:00:26 EDT', 'genie')]</t>
  </si>
  <si>
    <t>209315 (view as bug list)</t>
  </si>
  <si>
    <t>2020-08-31 05:15:33 EDT</t>
  </si>
  <si>
    <t>2007-06-30 01:47 EDT</t>
  </si>
  <si>
    <t>2007-06-30 07:09:35 EDT</t>
  </si>
  <si>
    <t>[('CREATED', '2007-06-30 01:47 EDT'), ('JDT', '2007-06-30 07:09:35 EDT', 'pwebster'), ('jdt-core-inbox', '2007-06-30 07:09:35 EDT', 'pwebster'), ('Core', '2007-06-30 07:09:35 EDT', 'pwebster'), ('jdt-ui-inbox', '2007-07-01 18:18:08 EDT', 'Olivier_Thomann'), ('UI', '2007-07-01 18:18:08 EDT', 'Olivier_Thomann'), ('ASSIGNED', '2007-07-02 11:01:29 EDT', 'martinae'), ('xiemaisi', '2007-11-12 12:26:59 EST', 'martinae'), ('stalebug', '2020-08-31 05:10:59 EDT', 'genie'), ('WONTFIX', '2020-08-31 05:15:33 EDT', 'noopur_gupta'), ('RESOLVED', '2020-08-31 05:15:33 EDT', 'noopur_gupta')]</t>
  </si>
  <si>
    <t>405056 (view as bug list)</t>
  </si>
  <si>
    <t>2007-06-30 01:52 EDT</t>
  </si>
  <si>
    <t>2007-06-30 07:09:54 EDT</t>
  </si>
  <si>
    <t>2019-09-11 16:48:53 EDT</t>
  </si>
  <si>
    <t>[('CREATED', '2007-06-30 01:52 EDT'), ('jdt-core-inbox', '2007-06-30 07:09:54 EDT', 'pwebster'), ('Core', '2007-06-30 07:09:54 EDT', 'pwebster'), ('JDT', '2007-06-30 07:09:54 EDT', 'pwebster'), ('jdt-ui-inbox', '2007-07-01 18:16:09 EDT', 'Olivier_Thomann'), ('UI', '2007-07-01 18:16:09 EDT', 'Olivier_Thomann'), ('ASSIGNED', '2007-07-02 14:13:37 EDT', 'markus.kell.r'), ('daniel_megert', '2013-04-08 09:42:41 EDT', 'daniel_megert'), ('All', '2013-04-08 09:42:41 EDT', 'daniel_megert'), ('All', '2013-04-08 09:42:41 EDT', 'daniel_megert'), ('shaneyfelt', '2013-04-08 09:43:12 EDT', 'daniel_megert'), ('stalebug', '2019-09-11 16:48:53 EDT', 'genie')]</t>
  </si>
  <si>
    <t>2007-07-02 10:49:30 EDT</t>
  </si>
  <si>
    <t>2007-07-02 10:55:54 EDT</t>
  </si>
  <si>
    <t>2007-06-30 01:57 EDT</t>
  </si>
  <si>
    <t>2007-06-30 07:10:18 EDT</t>
  </si>
  <si>
    <t>2019-11-16 14:06:44 EST</t>
  </si>
  <si>
    <t>[('CREATED', '2007-06-30 01:57 EDT'), ('jdt-core-inbox', '2007-06-30 07:10:18 EDT', 'pwebster'), ('Core', '2007-06-30 07:10:18 EDT', 'pwebster'), ('JDT', '2007-06-30 07:10:18 EDT', 'pwebster'), ('UI', '2007-07-01 18:16:23 EDT', 'Olivier_Thomann'), ('jdt-ui-inbox', '2007-07-01 18:16:23 EDT', 'Olivier_Thomann'), ('RESOLVED', '2007-07-02 10:49:30 EDT', 'martinae'), ('INVALID', '2007-07-02 10:49:30 EDT', 'martinae'), ('[reorg] Pull up a field that references another field declared in its superclass yields comp. error', '2007-07-02 10:49:30 EDT', 'martinae'), ('REOPENED', '2007-07-02 10:55:54 EDT', 'martinae'), ('---', '2007-07-02 10:55:54 EDT', 'martinae'), ('[pull up] field that references another field declared in its superclass yields comp. error', '2007-07-02 10:55:54 EDT', 'martinae'), ('ASSIGNED', '2007-07-02 10:56:08 EDT', 'martinae'), ('[pull up] field that references another field declared in its superclass yields comp. error', '2007-07-02 10:56:08 EDT', 'martinae'), ('stalebug', '2019-11-16 14:06:44 EST', 'genie')]</t>
  </si>
  <si>
    <t>2020-04-16 03:20:10 EDT</t>
  </si>
  <si>
    <t>2007-06-30 02:01 EDT</t>
  </si>
  <si>
    <t>2007-06-30 07:10:37 EDT</t>
  </si>
  <si>
    <t>[('CREATED', '2007-06-30 02:01 EDT'), ('jdt-core-inbox', '2007-06-30 07:10:37 EDT', 'pwebster'), ('Core', '2007-06-30 07:10:37 EDT', 'pwebster'), ('JDT', '2007-06-30 07:10:37 EDT', 'pwebster'), ('jdt-ui-inbox', '2007-07-01 18:16:44 EDT', 'Olivier_Thomann'), ('UI', '2007-07-01 18:16:44 EDT', 'Olivier_Thomann'), ('ASSIGNED', '2007-07-02 11:00:46 EDT', 'martinae'), ('[pull up] Pull up field declared in an internal class that references another field yields comp.error', '2007-07-02 11:00:46 EDT', 'martinae'), ('stalebug', '2020-04-16 03:20:10 EDT', 'genie'), ('CLOSED', '2020-04-16 03:20:10 EDT', 'genie'), ('WONTFIX', '2020-04-16 03:20:10 EDT', 'genie')]</t>
  </si>
  <si>
    <t>2007-07-02 10:50:49 EDT</t>
  </si>
  <si>
    <t>2020-04-21 17:56:10 EDT</t>
  </si>
  <si>
    <t>2007-07-02 10:56:48 EDT</t>
  </si>
  <si>
    <t>2007-06-30 02:06 EDT</t>
  </si>
  <si>
    <t>2007-06-30 07:10:59 EDT</t>
  </si>
  <si>
    <t>[('CREATED', '2007-06-30 02:06 EDT'), ('jdt-core-inbox', '2007-06-30 07:10:59 EDT', 'pwebster'), ('Core', '2007-06-30 07:10:59 EDT', 'pwebster'), ('JDT', '2007-06-30 07:10:59 EDT', 'pwebster'), ('jdt-ui-inbox', '2007-07-01 18:16:56 EDT', 'Olivier_Thomann'), ('UI', '2007-07-01 18:16:56 EDT', 'Olivier_Thomann'), ('RESOLVED', '2007-07-02 10:50:49 EDT', 'martinae'), ('INVALID', '2007-07-02 10:50:49 EDT', 'martinae'), ('---', '2007-07-02 10:56:48 EDT', 'martinae'), ('[pull up] Pull up a field yields comp. error due to field not visible', '2007-07-02 10:56:48 EDT', 'martinae'), ('REOPENED', '2007-07-02 10:56:48 EDT', 'martinae'), ('ASSIGNED', '2007-07-02 10:56:58 EDT', 'martinae'), ('stalebug', '2020-04-21 17:56:10 EDT', 'genie'), ('WONTFIX', '2020-04-21 17:56:10 EDT', 'genie'), ('CLOSED', '2020-04-21 17:56:10 EDT', 'genie')]</t>
  </si>
  <si>
    <t>2020-04-01 15:00:12 EDT</t>
  </si>
  <si>
    <t>2020-04-08 10:58:49 EDT</t>
  </si>
  <si>
    <t>2020-03-22 11:20:17 EDT</t>
  </si>
  <si>
    <t>2007-06-30 02:09 EDT</t>
  </si>
  <si>
    <t>2007-06-30 07:11:13 EDT</t>
  </si>
  <si>
    <t>[('CREATED', '2007-06-30 02:09 EDT'), ('jdt-core-inbox', '2007-06-30 07:11:13 EDT', 'pwebster'), ('Core', '2007-06-30 07:11:13 EDT', 'pwebster'), ('JDT', '2007-06-30 07:11:13 EDT', 'pwebster'), ('jdt-ui-inbox', '2007-07-01 18:17:08 EDT', 'Olivier_Thomann'), ('UI', '2007-07-01 18:17:08 EDT', 'Olivier_Thomann'), ('ASSIGNED', '2007-07-02 10:58:05 EDT', 'martinae'), ("[push down] compile error with 'this' qualifier", '2007-07-02 10:58:05 EDT', 'martinae'), ('stalebug', '2019-09-22 12:39:05 EDT', 'genie'), ('https://git.eclipse.org/r/159653', '2020-03-18 13:54:11 EDT', 'genie'), ('---', '2020-03-22 11:20:17 EDT', 'kenneth'), ('4.16 M1', '2020-03-22 11:20:17 EDT', 'kenneth'), ('kenneth', '2020-03-22 11:20:17 EDT', 'kenneth'), (nan, '2020-03-22 11:20:17 EDT', 'kenneth'), ('kenneth', '2020-03-22 11:20:17 EDT', 'kenneth'), ('REOPENED', '2020-03-22 11:20:17 EDT', 'kenneth'), ('rgrunber', '2020-03-24 11:19:20 EDT', 'rgrunber'), ('rgrunber', '2020-03-31 13:36:52 EDT', 'rgrunber'), ('ASSIGNED', '2020-03-31 13:36:52 EDT', 'rgrunber'), ('https://git.eclipse.org/c/jdt/eclipse.jdt.ui.git/commit/?id=b5dc92d467126da6c3f0e4aad39ee4fa6f2600ee', '2020-03-31 15:06:42 EDT', 'genie'), ('noopur_gupta', '2020-04-01 05:44:50 EDT', 'noopur_gupta'), ('RESOLVED', '2020-04-01 15:00:12 EDT', 'rgrunber'), ('FIXED', '2020-04-01 15:00:12 EDT', 'rgrunber'), ('VERIFIED', '2020-04-08 10:58:49 EDT', 'kenneth')]</t>
  </si>
  <si>
    <t>CLOSED  DUPLICATE  of bug 211861</t>
  </si>
  <si>
    <t>2010-06-15 16:02:59 EDT</t>
  </si>
  <si>
    <t>2007-06-30 02:13 EDT</t>
  </si>
  <si>
    <t>2007-06-30 07:11:32 EDT</t>
  </si>
  <si>
    <t>[('CREATED', '2007-06-30 02:13 EDT'), ('Core', '2007-06-30 07:11:32 EDT', 'pwebster'), ('JDT', '2007-06-30 07:11:32 EDT', 'pwebster'), ('jdt-core-inbox', '2007-06-30 07:11:32 EDT', 'pwebster'), ('jdt-ui-inbox', '2007-07-01 18:17:20 EDT', 'Olivier_Thomann'), ('UI', '2007-07-01 18:17:20 EDT', 'Olivier_Thomann'), ('ASSIGNED', '2007-07-02 10:59:22 EDT', 'martinae'), ('[push down] error due to undefined method', '2007-07-02 10:59:22 EDT', 'martinae'), ('CLOSED', '2010-06-15 16:02:59 EDT', 'deepakazad'), ('deepak.azad', '2010-06-15 16:02:59 EDT', 'deepakazad'), ('DUPLICATE', '2010-06-15 16:02:59 EDT', 'deepakazad')]</t>
  </si>
  <si>
    <t>319926 351383 (view as bug list)</t>
  </si>
  <si>
    <t>2007-06-30 02:16 EDT</t>
  </si>
  <si>
    <t>2007-06-30 07:11:53 EDT</t>
  </si>
  <si>
    <t>2019-02-24 09:02:41 EST</t>
  </si>
  <si>
    <t>[('CREATED', '2007-06-30 02:16 EDT'), ('jdt-core-inbox', '2007-06-30 07:11:53 EDT', 'pwebster'), ('Core', '2007-06-30 07:11:53 EDT', 'pwebster'), ('JDT', '2007-06-30 07:11:53 EDT', 'pwebster'), ('jdt-ui-inbox', '2007-07-01 18:17:33 EDT', 'Olivier_Thomann'), ('UI', '2007-07-01 18:17:33 EDT', 'Olivier_Thomann'), ('ASSIGNED', '2007-07-02 10:59:58 EDT', 'martinae'), ('[pull up] yields comp. error due to no enclosing intance', '2007-07-02 10:59:58 EDT', 'martinae'), ('gsoares', '2010-07-28 08:31:41 EDT', 'daniel_megert'), ('deepak.azad', '2011-06-08 01:56:18 EDT', 'deepakazad'), ('[pull up] yields comp. error due to no enclosing instance', '2011-06-08 01:56:18 EDT', 'deepakazad'), ('[pull up] yields compilation error due to no enclosing instance', '2011-06-08 01:56:36 EDT', 'deepakazad'), ('reprogrammer', '2011-10-18 21:46:17 EDT', 'deepakazad'), ('stalebug', '2019-02-23 13:54:06 EST', 'genie'), ('All', '2019-02-24 09:02:41 EST', 'daniel_megert'), ('daniel_megert', '2019-02-24 09:02:41 EST', 'daniel_megert'), ('All', '2019-02-24 09:02:41 EST', 'daniel_megert'), (nan, '2019-02-24 09:02:41 EST', 'daniel_megert')]</t>
  </si>
  <si>
    <t>2007-06-30 02:19 EDT</t>
  </si>
  <si>
    <t>2007-06-30 07:12:13 EDT</t>
  </si>
  <si>
    <t>2019-10-15 16:11:45 EDT</t>
  </si>
  <si>
    <t>[('CREATED', '2007-06-30 02:19 EDT'), ('jdt-core-inbox', '2007-06-30 07:12:13 EDT', 'pwebster'), ('Core', '2007-06-30 07:12:13 EDT', 'pwebster'), ('JDT', '2007-06-30 07:12:13 EDT', 'pwebster'), ('jdt-ui-inbox', '2007-07-01 18:17:49 EDT', 'Olivier_Thomann'), ('UI', '2007-07-01 18:17:49 EDT', 'Olivier_Thomann'), ('ASSIGNED', '2007-07-02 11:01:03 EDT', 'martinae'), ('[pull up] PullUp method yields comp. error due to not visible field', '2007-07-02 11:01:03 EDT', 'martinae'), ('stalebug', '2019-10-15 16:11:45 EDT', 'genie')]</t>
  </si>
  <si>
    <t>2007-07-01 12:42 EDT</t>
  </si>
  <si>
    <t>2007-07-01 15:22:50 EDT</t>
  </si>
  <si>
    <t>2007-07-02 08:46:59 EDT</t>
  </si>
  <si>
    <t>[('CREATED', '2007-07-01 12:42 EDT'), ('alex_blewitt', '2007-07-01 15:22:50 EDT', 'alex.blewitt'), ('enhancement', '2007-07-02 08:46:59 EDT', 'martinae'), ('[refactoring scripts] Scriptable Refactoring XML is not human understandable', '2007-07-02 08:46:59 EDT', 'martinae')]</t>
  </si>
  <si>
    <t>2007-07-04 09:04:46 EDT</t>
  </si>
  <si>
    <t>2007-07-04 08:38 EDT</t>
  </si>
  <si>
    <t>2007-07-04 09:04:24 EDT</t>
  </si>
  <si>
    <t>[('CREATED', '2007-07-04 08:38 EDT'), ('jdt-ui-inbox', '2007-07-04 09:04:24 EDT', 'martinae'), ('UI', '2007-07-04 09:04:24 EDT', 'martinae'), ('RESOLVED', '2007-07-04 09:04:46 EDT', 'martinae'), ('FIXED', '2007-07-04 09:04:46 EDT', 'martinae')]</t>
  </si>
  <si>
    <t>2020-03-13 10:24:22 EDT</t>
  </si>
  <si>
    <t>2007-07-05 08:51 EDT</t>
  </si>
  <si>
    <t>2007-07-05 10:25:38 EDT</t>
  </si>
  <si>
    <t>[('CREATED', '2007-07-05 08:51 EDT'), ('markus_keller', '2007-07-05 10:25:38 EDT', 'martinae'), ('[rename] Inline Rename Field refactoring complains about existing getter', '2007-07-05 10:25:38 EDT', 'martinae'), ('WONTFIX', '2020-03-13 10:24:22 EDT', 'genie'), ('CLOSED', '2020-03-13 10:24:22 EDT', 'genie'), ('stalebug', '2020-03-13 10:24:22 EDT', 'genie')]</t>
  </si>
  <si>
    <t>155562 (view as bug list)</t>
  </si>
  <si>
    <t>2007-07-10 13:12:36 EDT</t>
  </si>
  <si>
    <t>2007-07-09 08:26 EDT</t>
  </si>
  <si>
    <t>2007-07-09 08:49:30 EDT</t>
  </si>
  <si>
    <t>[('CREATED', '2007-07-09 08:26 EDT'), ('jdt-ui-inbox', '2007-07-09 08:49:30 EDT', 'Olivier_Thomann'), ('UI', '2007-07-09 08:49:30 EDT', 'Olivier_Thomann'), ('[extract interface] bug with enhanced for loop', '2007-07-09 13:00:47 EDT', 'martinae'), ('martinthiim', '2007-07-09 16:57:36 EDT', 'martinthiim'), ('martin_aeschlimann', '2007-07-10 13:11:05 EDT', 'martinae'), ('3.4 M1', '2007-07-10 13:11:05 EDT', 'martinae'), ('RESOLVED', '2007-07-10 13:12:36 EDT', 'martinae'), ('FIXED', '2007-07-10 13:12:36 EDT', 'martinae'), ('benno_baumgartner', '2007-08-09 10:46:50 EDT', 'eclipse'), ('arnaud.payement', '2012-11-28 08:18:22 EST', 'daniel_megert')]</t>
  </si>
  <si>
    <t>2008-06-06 06:17:43 EDT</t>
  </si>
  <si>
    <t>2008-06-06 06:16:32 EDT</t>
  </si>
  <si>
    <t>2007-07-09 10:06 EDT</t>
  </si>
  <si>
    <t>2007-07-09 13:17:46 EDT</t>
  </si>
  <si>
    <t>[('CREATED', '2007-07-09 10:06 EDT'), ('RESOLVED', '2007-07-09 13:17:46 EDT', 'martinae'), ('contributed', '2007-07-09 13:17:46 EDT', 'martinae'), ('FIXED', '2007-07-09 13:17:46 EDT', 'martinae'), ('[api] Promote private Constants for Introduce Parameter Object Refactoring to API', '2007-07-09 13:17:46 EDT', 'martinae'), ('3.4 M1', '2007-07-09 13:17:46 EDT', 'martinae'), ('martin_aeschlimann', '2008-06-06 06:16:32 EDT', 'martinae'), ('REOPENED', '2008-06-06 06:16:32 EDT', 'martinae'), ('---', '2008-06-06 06:16:32 EDT', 'martinae'), ('eclipse', '2008-06-06 06:17:10 EDT', 'martinae'), ('NEW', '2008-06-06 06:17:10 EDT', 'martinae'), ('FIXED', '2008-06-06 06:17:43 EDT', 'martinae'), ('RESOLVED', '2008-06-06 06:17:43 EDT', 'martinae')]</t>
  </si>
  <si>
    <t>249336 254765 257153 264093 264141 266099 278808 281841 284139 284242 288296 289204 290094 290124 (view as bug list)</t>
  </si>
  <si>
    <t>312189</t>
  </si>
  <si>
    <t>2009-09-29 09:44:18 EDT</t>
  </si>
  <si>
    <t>2007-07-09 10:42 EDT</t>
  </si>
  <si>
    <t>2007-07-09 13:48:07 EDT</t>
  </si>
  <si>
    <t>2010-05-09 15:58:16 EDT</t>
  </si>
  <si>
    <t>[('CREATED', '2007-07-09 10:42 EDT'), ('martin_aeschlimann, daniel_megert', '2007-07-09 13:48:07 EDT', 'markus.kell.r'), ('[quick assist] BadLocationException when pressing del while extract to local quick fix', '2007-07-09 13:59:39 EDT', 'markus.kell.r'), ('175733', '2007-07-10 04:32:33 EDT', 'markus.kell.r'), ('ASSIGNED', '2007-07-10 04:32:33 EDT', 'markus.kell.r'), ('[quick assist] BadLocationException when pressing Delete quickly after Extract to local', '2007-07-10 04:32:33 EDT', 'markus.kell.r'), ('3.4', '2007-07-10 04:32:33 EDT', 'markus.kell.r'), ('3.5', '2008-05-16 06:25:33 EDT', 'markus.kell.r'), ('Olivier_Thomann', '2008-10-06 05:09:50 EDT', 'markus.kell.r'), ('john_arthorne', '2008-12-02 05:49:21 EST', 'markus.kell.r'), (nan, '2008-12-05 12:19:53 EST', 'markus.kell.r'), ('3.5 M5', '2008-12-05 12:19:53 EST', 'markus.kell.r'), ('257510', '2008-12-05 12:28:14 EST', 'markus.kell.r'), ('3.5 M6', '2009-01-20 12:15:41 EST', 'markus.kell.r'), ('michael_schneider', '2009-02-09 05:15:44 EST', 'daniel_megert'), ('francisu', '2009-02-09 05:15:49 EST', 'daniel_megert'), ('utilisateur_768', '2009-02-25 06:15:26 EST', 'daniel_megert'), ('eclipse', '2009-03-04 05:59:59 EST', 'eclipse'), ('3.5 M7', '2009-03-09 14:36:13 EDT', 'markus.kell.r'), ('3.5 RC1', '2009-04-30 13:06:43 EDT', 'markus.kell.r'), ('steffen.pingel', '2009-05-08 17:07:56 EDT', 'steffen.pingel'), ('M1', '2009-05-13 09:39:09 EDT', 'markus.kell.r'), ('3.6', '2009-05-13 09:39:09 EDT', 'markus.kell.r'), ('stephan', '2009-05-27 14:14:41 EDT', 'stephan.herrmann'), ('pebl', '2009-06-02 12:01:03 EDT', 'daniel_megert'), ('will.horn', '2009-06-06 16:07:36 EDT', 'will.horn'), (nan, '2009-06-09 06:06:27 EDT', 'daniel_megert'), ('3.6 M1', '2009-06-09 06:06:27 EDT', 'daniel_megert'), ('3.5.1 candidate', '2009-06-10 03:11:54 EDT', 'daniel_megert'), ('Arne.Deutsch', '2009-06-29 11:08:01 EDT', 'daniel_megert'), ('remy.suen', '2009-07-16 05:50:34 EDT', 'remy.suen'), ('Knut.Friedhelm', '2009-07-27 10:21:16 EDT', 'markus.kell.r'), ('blueser', '2009-07-28 14:01:16 EDT', 'markus.kell.r'), ('P2', '2009-08-03 05:46:53 EDT', 'markus.kell.r'), ('3.6 M2', '2009-08-03 05:46:53 EDT', 'markus.kell.r'), ('pascal_rapicault', '2009-09-02 03:40:56 EDT', 'daniel_megert'), ('lysathor', '2009-09-11 09:36:40 EDT', 'markus.kell.r'), ('3.6 M3', '2009-09-14 13:57:32 EDT', 'markus.kell.r'), ('Pawel.Pogorzelski', '2009-09-28 13:00:54 EDT', 'markus.kell.r'), ('290759', '2009-09-28 19:02:06 EDT', 'markus.kell.r'), ('RESOLVED', '2009-09-29 09:44:18 EDT', 'markus.kell.r'), (nan, '2009-09-29 09:44:18 EDT', 'markus.kell.r'), ('FIXED', '2009-09-29 09:44:18 EDT', 'markus.kell.r'), (nan, '2009-09-29 09:44:18 EDT', 'markus.kell.r'), ('irbull', '2010-04-25 11:57:02 EDT', 'irbull'), ('312189', '2010-05-09 15:58:16 EDT', 'markus.kell.r')]</t>
  </si>
  <si>
    <t>2007-07-17 07:57:33 EDT</t>
  </si>
  <si>
    <t>2007-07-09 14:52 EDT</t>
  </si>
  <si>
    <t>2007-07-10 08:57:28 EDT</t>
  </si>
  <si>
    <t>[('CREATED', '2007-07-09 14:52 EDT'), ('ASSIGNED', '2007-07-10 08:57:28 EDT', 'martinae'), ('[pull up] Pull up non-static field into an interface causes error', '2007-07-10 08:57:28 EDT', 'martinae'), ('ssinclair2', '2007-07-10 11:41:45 EDT', 'ssinclair2'), ('RESOLVED', '2007-07-17 07:57:33 EDT', 'martinae'), ('FIXED', '2007-07-17 07:57:33 EDT', 'martinae'), ('3.4 M1', '2007-07-17 07:57:33 EDT', 'martinae')]</t>
  </si>
  <si>
    <t>RESOLVED  DUPLICATE  of bug 186311</t>
  </si>
  <si>
    <t>2007-07-11 08:29:15 EDT</t>
  </si>
  <si>
    <t>2007-07-10 16:30 EDT</t>
  </si>
  <si>
    <t>[('CREATED', '2007-07-10 16:30 EDT'), ('DUPLICATE', '2007-07-11 08:29:15 EDT', 'martinae'), ('[rename] Renaming package with subpackages creates incorrect imports for some classes in subpackage', '2007-07-11 08:29:15 EDT', 'martinae'), ('RESOLVED', '2007-07-11 08:29:15 EDT', 'martinae')]</t>
  </si>
  <si>
    <t>2007-08-23 04:55:30 EDT</t>
  </si>
  <si>
    <t>2007-09-06 05:45:31 EDT</t>
  </si>
  <si>
    <t>2007-07-10 20:37 EDT</t>
  </si>
  <si>
    <t>2007-07-10 20:56:01 EDT</t>
  </si>
  <si>
    <t>[('CREATED', '2007-07-10 20:37 EDT'), ('jdt-ui-inbox', '2007-07-10 20:56:01 EDT', 'Olivier_Thomann'), ('UI', '2007-07-10 20:56:01 EDT', 'Olivier_Thomann'), ('markus_keller', '2007-07-11 08:36:50 EDT', 'martinae'), ('[rename] rename packages deletes files if subpackages are available and to rename, too.', '2007-07-11 08:36:50 EDT', 'martinae'), ('3.3.1', '2007-07-11 08:36:50 EDT', 'martinae'), ('ASSIGNED', '2007-07-17 04:19:49 EDT', 'markus.kell.r'), ('RESOLVED', '2007-08-23 04:55:30 EDT', 'markus.kell.r'), ('FIXED', '2007-08-23 04:55:30 EDT', 'markus.kell.r'), ('daniel_megert', '2007-09-06 05:37:29 EDT', 'daniel_megert'), ('VERIFIED', '2007-09-06 05:45:31 EDT', 'daniel_megert')]</t>
  </si>
  <si>
    <t>2007-08-14 11:24:27 EDT</t>
  </si>
  <si>
    <t>2007-07-12 08:55 EDT</t>
  </si>
  <si>
    <t>2007-08-14 11:23:46 EDT</t>
  </si>
  <si>
    <t>[('CREATED', '2007-07-12 08:55 EDT'), ('markus_keller', '2007-08-14 11:23:46 EDT', 'markus.kell.r'), ('3.4 M2', '2007-08-14 11:23:46 EDT', 'markus.kell.r'), ('RESOLVED', '2007-08-14 11:24:27 EDT', 'markus.kell.r'), ('FIXED', '2007-08-14 11:24:27 EDT', 'markus.kell.r')]</t>
  </si>
  <si>
    <t>198399 (view as bug list)</t>
  </si>
  <si>
    <t>2007-08-06 15:21:47 EDT</t>
  </si>
  <si>
    <t>2007-08-07 09:00:57 EDT</t>
  </si>
  <si>
    <t>2007-07-12 09:23 EDT</t>
  </si>
  <si>
    <t>2007-08-06 15:00:59 EDT</t>
  </si>
  <si>
    <t>[('CREATED', '2007-07-12 09:23 EDT'), ('benno_baumgartner', '2007-08-06 15:00:59 EDT', 'markus.kell.r'), ('RESOLVED', '2007-08-06 15:21:47 EDT', 'markus.kell.r'), ('FIXED', '2007-08-06 15:21:47 EDT', 'markus.kell.r'), ('3.4 M1', '2007-08-06 15:21:47 EDT', 'markus.kell.r'), ('VERIFIED', '2007-08-07 09:00:57 EDT', 'benno.baumgartner')]</t>
  </si>
  <si>
    <t>2007-07-12 12:42:42 EDT</t>
  </si>
  <si>
    <t>2007-07-12 11:25 EDT</t>
  </si>
  <si>
    <t>[('CREATED', '2007-07-12 11:25 EDT'), ('RESOLVED', '2007-07-12 12:42:42 EDT', 'martinae'), ('contributed', '2007-07-12 12:42:42 EDT', 'martinae'), ('FIXED', '2007-07-12 12:42:42 EDT', 'martinae'), ('[refactoring] RefactoringSearchEngine2 allows null monitor, but does not handle them', '2007-07-12 12:42:42 EDT', 'martinae'), ('3.4 M1', '2007-07-12 12:42:42 EDT', 'martinae')]</t>
  </si>
  <si>
    <t>2020-03-19 17:42:12 EDT</t>
  </si>
  <si>
    <t>2007-07-16 07:13 EDT</t>
  </si>
  <si>
    <t>2007-07-16 07:15:42 EDT</t>
  </si>
  <si>
    <t>[('CREATED', '2007-07-16 07:13 EDT'), ('[extract superc;ass] "Add Required" throws NPE when extracting a superclass', '2007-07-16 07:15:42 EDT', 'tomasz.zarna'), ('[extract superclass] "Add Required" throws NPE when extracting a superclass', '2007-07-16 07:15:55 EDT', 'tomasz.zarna'), ('m_hess', '2009-02-11 05:27:15 EST', 'm_hess'), ('daniel_megert', '2009-02-11 06:12:24 EST', 'daniel_megert'), ('ASSIGNED', '2009-02-11 06:12:24 EST', 'daniel_megert'), ('CLOSED', '2020-03-19 17:42:12 EDT', 'genie'), ('WONTFIX', '2020-03-19 17:42:12 EDT', 'genie'), ('stalebug', '2020-03-19 17:42:12 EDT', 'genie')]</t>
  </si>
  <si>
    <t>2007-07-16 10:38:43 EDT</t>
  </si>
  <si>
    <t>2007-07-16 07:20 EDT</t>
  </si>
  <si>
    <t>2007-07-16 10:14:49 EDT</t>
  </si>
  <si>
    <t>[('CREATED', '2007-07-16 07:20 EDT'), ('ASSIGNED', '2007-07-16 10:14:49 EDT', 'martinae'), ('[extract superclass] No help available when adding additional types to extract a superclass from', '2007-07-16 10:14:49 EDT', 'martinae'), ('martin_aeschlimann', '2007-07-16 10:38:28 EDT', 'martinae'), ('NEW', '2007-07-16 10:38:28 EDT', 'martinae'), ('3.4 M1', '2007-07-16 10:38:28 EDT', 'martinae'), ('RESOLVED', '2007-07-16 10:38:43 EDT', 'martinae'), ('FIXED', '2007-07-16 10:38:43 EDT', 'martinae')]</t>
  </si>
  <si>
    <t>2007-07-16 10:47:34 EDT</t>
  </si>
  <si>
    <t>2007-07-16 07:27 EDT</t>
  </si>
  <si>
    <t>2007-07-16 10:39:19 EDT</t>
  </si>
  <si>
    <t>[('CREATED', '2007-07-16 07:27 EDT'), ('martin_aeschlimann', '2007-07-16 10:39:19 EDT', 'martinae'), ('[extract superclass] "Choose Types" modality and OK button enablement', '2007-07-16 10:39:19 EDT', 'martinae'), ('3.4 M1', '2007-07-16 10:39:19 EDT', 'martinae'), ('RESOLVED', '2007-07-16 10:47:34 EDT', 'martinae'), ('FIXED', '2007-07-16 10:47:34 EDT', 'martinae')]</t>
  </si>
  <si>
    <t>200017 201275 (view as bug list)</t>
  </si>
  <si>
    <t>2007-07-18 08:16:33 EDT</t>
  </si>
  <si>
    <t>2007-08-07 09:58:26 EDT</t>
  </si>
  <si>
    <t>2007-07-16 08:17 EDT</t>
  </si>
  <si>
    <t>2007-07-17 06:03:15 EDT</t>
  </si>
  <si>
    <t>2007-08-27 11:57:01 EDT</t>
  </si>
  <si>
    <t>[('CREATED', '2007-07-16 08:17 EDT'), ('ASSIGNED', '2007-07-17 06:03:15 EDT', 'martinae'), ('martin_aeschlimann', '2007-07-17 06:03:15 EDT', 'martinae'), ('3.3.1', '2007-07-17 06:06:52 EDT', 'martinae'), ('RESOLVED', '2007-07-18 08:16:33 EDT', 'martinae'), ('FIXED', '2007-07-18 08:16:33 EDT', 'martinae'), ('benno_baumgartner', '2007-08-07 09:58:26 EDT', 'benno.baumgartner'), ('VERIFIED', '2007-08-07 09:58:26 EDT', 'benno.baumgartner'), ('registration', '2007-08-15 07:17:48 EDT', 'martinae'), ('quorg.xtn', '2007-08-27 11:57:01 EDT', 'martinae')]</t>
  </si>
  <si>
    <t>2007-07-17 06:22:56 EDT</t>
  </si>
  <si>
    <t>2007-07-16 18:20 EDT</t>
  </si>
  <si>
    <t>[('CREATED', '2007-07-16 18:20 EDT'), ('RESOLVED', '2007-07-17 06:22:56 EDT', 'martinae'), ('DUPLICATE', '2007-07-17 06:22:56 EDT', 'martinae')]</t>
  </si>
  <si>
    <t>2007-07-17 06:26:15 EDT</t>
  </si>
  <si>
    <t>2007-07-16 19:26 EDT</t>
  </si>
  <si>
    <t>2007-07-22 16:34:59 EDT</t>
  </si>
  <si>
    <t>henko+eclipse</t>
  </si>
  <si>
    <t>[('CREATED', '2007-07-16 19:26 EDT'), ('[clean up] No block or new line for single line guard clauses', '2007-07-17 06:26:15 EDT', 'martinae'), ('benno_baumgartner', '2007-07-17 06:26:15 EDT', 'martinae'), ('RESOLVED', '2007-07-17 06:26:15 EDT', 'martinae'), ('WONTFIX', '2007-07-17 06:26:15 EDT', 'martinae'), ('henko+eclipse', '2007-07-22 16:34:59 EDT', 'henko+eclipse')]</t>
  </si>
  <si>
    <t>2007-07-18 05:13:17 EDT</t>
  </si>
  <si>
    <t>2007-07-17 12:34 EDT</t>
  </si>
  <si>
    <t>[('CREATED', '2007-07-17 12:34 EDT'), ('benno_baumgartner', '2007-07-18 05:13:17 EDT', 'martinae'), ('RESOLVED', '2007-07-18 05:13:17 EDT', 'martinae'), ('WONTFIX', '2007-07-18 05:13:17 EDT', 'martinae')]</t>
  </si>
  <si>
    <t>2007-07-19 10:28:27 EDT</t>
  </si>
  <si>
    <t>2007-07-19 09:58 EDT</t>
  </si>
  <si>
    <t>2007-07-19 10:26:28 EDT</t>
  </si>
  <si>
    <t>[('CREATED', '2007-07-19 09:58 EDT'), ('3.4 M1', '2007-07-19 10:26:28 EDT', 'benno.baumgartner'), ('benno_baumgartner', '2007-07-19 10:26:28 EDT', 'benno.baumgartner'), ('RESOLVED', '2007-07-19 10:28:27 EDT', 'benno.baumgartner'), ('FIXED', '2007-07-19 10:28:27 EDT', 'benno.baumgartner')]</t>
  </si>
  <si>
    <t>2007-07-19 17:17 EDT</t>
  </si>
  <si>
    <t>2007-07-19 17:21:30 EDT</t>
  </si>
  <si>
    <t>2019-05-10 17:16:56 EDT</t>
  </si>
  <si>
    <t>[('CREATED', '2007-07-19 17:17 EDT'), ('jdt-ui-inbox', '2007-07-19 17:21:30 EDT', 'Olivier_Thomann'), ('UI', '2007-07-19 17:21:30 EDT', 'Olivier_Thomann'), ('markus_keller', '2007-07-23 09:51:44 EDT', 'martinae'), ('[rename] IllegalArgumentException during Method Rename Refactoring', '2007-07-23 09:51:44 EDT', 'martinae'), ('stalebug', '2019-05-10 17:16:56 EDT', 'genie')]</t>
  </si>
  <si>
    <t>2007-07-19 18:48 EDT</t>
  </si>
  <si>
    <t>2007-07-26 21:37:43 EDT</t>
  </si>
  <si>
    <t>2020-05-30 13:53:00 EDT</t>
  </si>
  <si>
    <t>[('CREATED', '2007-07-19 18:48 EDT'), ('jdt-ui-inbox', '2007-07-26 21:37:43 EDT', 'Olivier_Thomann'), ('UI', '2007-07-26 21:37:43 EDT', 'Olivier_Thomann'), ('martin_aeschlimann', '2007-07-30 04:10:19 EDT', 'martinae'), ('markus_keller', '2007-07-30 04:10:19 EDT', 'martinae'), ('stalebug', '2020-05-30 13:53:00 EDT', 'genie')]</t>
  </si>
  <si>
    <t>2007-07-23 08:43:57 EDT</t>
  </si>
  <si>
    <t>2007-07-23 06:40 EDT</t>
  </si>
  <si>
    <t>[('CREATED', '2007-07-23 06:40 EDT'), ('RESOLVED', '2007-07-23 08:43:57 EDT', 'martinae'), ('INVALID', '2007-07-23 08:43:57 EDT', 'martinae')]</t>
  </si>
  <si>
    <t>2007-07-23 09:42:28 EDT</t>
  </si>
  <si>
    <t>2007-07-23 09:18 EDT</t>
  </si>
  <si>
    <t>2007-07-23 09:41:45 EDT</t>
  </si>
  <si>
    <t>2007-07-23 09:47:22 EDT</t>
  </si>
  <si>
    <t>[('CREATED', '2007-07-23 09:18 EDT'), ('benno_baumgartner', '2007-07-23 09:41:45 EDT', 'benno.baumgartner'), ('ASSIGNED', '2007-07-23 09:41:45 EDT', 'benno.baumgartner'), ('RESOLVED', '2007-07-23 09:42:28 EDT', 'benno.baumgartner'), ('FIXED', '2007-07-23 09:42:28 EDT', 'benno.baumgartner'), ('3.4 M1', '2007-07-23 09:47:22 EDT', 'benno.baumgartner')]</t>
  </si>
  <si>
    <t>2007-07-23 09:46:57 EDT</t>
  </si>
  <si>
    <t>2007-07-23 09:45 EDT</t>
  </si>
  <si>
    <t>2007-07-23 09:46:15 EDT</t>
  </si>
  <si>
    <t>[('CREATED', '2007-07-23 09:45 EDT'), ('benno_baumgartner', '2007-07-23 09:46:15 EDT', 'benno.baumgartner'), ('ASSIGNED', '2007-07-23 09:46:15 EDT', 'benno.baumgartner'), ('RESOLVED', '2007-07-23 09:46:57 EDT', 'benno.baumgartner'), ('FIXED', '2007-07-23 09:46:57 EDT', 'benno.baumgartner'), ('3.4 M1', '2007-07-23 09:46:57 EDT', 'benno.baumgartner')]</t>
  </si>
  <si>
    <t>2020-04-01 02:47:58 EDT</t>
  </si>
  <si>
    <t>2007-07-23 09:58 EDT</t>
  </si>
  <si>
    <t>2007-07-23 10:12:01 EDT</t>
  </si>
  <si>
    <t>[('CREATED', '2007-07-23 09:58 EDT'), ('karsten_becker', '2007-07-23 10:12:01 EDT', 'eclipse'), ('CLOSED', '2020-04-01 02:47:58 EDT', 'genie'), ('WONTFIX', '2020-04-01 02:47:58 EDT', 'genie'), ('stalebug', '2020-04-01 02:47:58 EDT', 'genie')]</t>
  </si>
  <si>
    <t>2020-04-07 01:03:47 EDT</t>
  </si>
  <si>
    <t>2007-07-24 11:46 EDT</t>
  </si>
  <si>
    <t>2007-07-24 12:06:08 EDT</t>
  </si>
  <si>
    <t>[('CREATED', '2007-07-24 11:46 EDT'), ('karsten_becker', '2007-07-24 12:06:08 EDT', 'eclipse'), ('markus_keller', '2007-07-24 12:28:49 EDT', 'markus.kell.r'), ('stalebug', '2020-04-07 01:03:47 EDT', 'genie'), ('WONTFIX', '2020-04-07 01:03:47 EDT', 'genie'), ('CLOSED', '2020-04-07 01:03:47 EDT', 'genie')]</t>
  </si>
  <si>
    <t>2020-02-26 19:37:44 EST</t>
  </si>
  <si>
    <t>2007-07-24 14:42 EDT</t>
  </si>
  <si>
    <t>2007-07-24 14:53:04 EDT</t>
  </si>
  <si>
    <t>[('CREATED', '2007-07-24 14:42 EDT'), ('jdt-ui-inbox', '2007-07-24 14:53:04 EDT', 'Olivier_Thomann'), ('UI', '2007-07-24 14:53:04 EDT', 'Olivier_Thomann'), ('markus_keller', '2007-07-25 03:35:37 EDT', 'martinae'), ('[rename] Rename field should automatically fix variable name shadowing', '2007-07-25 03:35:37 EDT', 'martinae'), ('WONTFIX', '2020-02-26 19:37:44 EST', 'genie'), ('CLOSED', '2020-02-26 19:37:44 EST', 'genie'), ('stalebug', '2020-02-26 19:37:44 EST', 'genie')]</t>
  </si>
  <si>
    <t>2007-08-16 08:44:05 EDT</t>
  </si>
  <si>
    <t>2007-09-06 08:23:17 EDT</t>
  </si>
  <si>
    <t>2007-08-10 09:35:35 EDT</t>
  </si>
  <si>
    <t>2007-07-24 18:08 EDT</t>
  </si>
  <si>
    <t>2007-07-24 22:09:46 EDT</t>
  </si>
  <si>
    <t>[('CREATED', '2007-07-24 18:08 EDT'), ('jdt-ui-inbox', '2007-07-24 22:09:46 EDT', 'Olivier_Thomann'), ('UI', '2007-07-24 22:09:46 EDT', 'Olivier_Thomann'), ('daniel_megert', '2007-07-25 03:05:51 EDT', 'daniel_megert'), ('benno_baumgartner', '2007-07-25 03:42:49 EDT', 'martinae'), ('karsten_becker', '2007-07-25 03:43:26 EDT', 'martinae'), ('martin_aeschlimann', '2007-07-26 09:02:13 EDT', 'martinae'), ('RESOLVED', '2007-07-26 09:02:13 EDT', 'martinae'), ('FIXED', '2007-07-26 09:02:13 EDT', 'martinae'), ('3.4 M1', '2007-07-26 09:02:13 EDT', 'martinae'), ('contributed', '2007-07-26 09:02:25 EDT', 'martinae'), ('REOPENED', '2007-07-28 06:35:49 EDT', 'martinae'), ('---', '2007-07-28 06:35:49 EDT', 'martinae'), ('3.3.1', '2007-07-28 06:35:49 EDT', 'martinae'), ('benno_baumgartner', '2007-08-09 05:23:33 EDT', 'benno.baumgartner'), ('1', '2007-08-09 05:52:35 EDT', 'eclipse'), ('markus_keller', '2007-08-09 13:29:55 EDT', 'markus.kell.r'), ('RESOLVED', '2007-08-10 09:13:17 EDT', 'eclipse'), ('FIXED', '2007-08-10 09:13:17 EDT', 'eclipse'), ('REOPENED', '2007-08-10 09:35:35 EDT', 'markus.kell.r'), ('---', '2007-08-10 09:35:35 EDT', 'markus.kell.r'), ('1', '2007-08-16 08:41:34 EDT', 'martinae'), ('martin_aeschlimann', '2007-08-16 08:41:34 EDT', 'martinae'), ('ASSIGNED', '2007-08-16 08:41:34 EDT', 'martinae'), ('RESOLVED', '2007-08-16 08:44:05 EDT', 'martinae'), ('FIXED', '2007-08-16 08:44:05 EDT', 'martinae'), ('VERIFIED', '2007-09-06 08:23:17 EDT', 'daniel_megert')]</t>
  </si>
  <si>
    <t>2007-07-31 09:23:26 EDT</t>
  </si>
  <si>
    <t>2007-07-26 03:36 EDT</t>
  </si>
  <si>
    <t>2007-07-26 04:42:46 EDT</t>
  </si>
  <si>
    <t>[('CREATED', '2007-07-26 03:36 EDT'), ('karsten_becker', '2007-07-26 04:42:46 EDT', 'martinae'), ('[extract class] IAE when extracting class', '2007-07-26 05:24:26 EDT', 'martinae'), ('martin_aeschlimann', '2007-07-31 05:22:17 EDT', 'martinae'), ('contributed', '2007-07-31 05:22:17 EDT', 'martinae'), ('RESOLVED', '2007-07-31 09:23:26 EDT', 'martinae'), ('FIXED', '2007-07-31 09:23:26 EDT', 'martinae'), ('3.4 M1', '2007-07-31 09:23:26 EDT', 'martinae')]</t>
  </si>
  <si>
    <t>198420 (view as bug list)</t>
  </si>
  <si>
    <t>2007-07-31 12:34:01 EDT</t>
  </si>
  <si>
    <t>2007-07-26 05:15 EDT</t>
  </si>
  <si>
    <t>2007-07-31 12:00:10 EDT</t>
  </si>
  <si>
    <t>[('CREATED', '2007-07-26 05:15 EDT'), ('karsten_becker', '2007-07-31 12:00:10 EDT', 'eclipse'), ('contributed', '2007-07-31 12:30:02 EDT', 'martinae'), ('RESOLVED', '2007-07-31 12:34:01 EDT', 'martinae'), ('FIXED', '2007-07-31 12:34:01 EDT', 'martinae'), ('3.4 M1', '2007-07-31 12:34:01 EDT', 'martinae')]</t>
  </si>
  <si>
    <t>2007-08-22 12:15:57 EDT</t>
  </si>
  <si>
    <t>2007-09-06 05:52:15 EDT</t>
  </si>
  <si>
    <t>2007-07-26 08:34 EDT</t>
  </si>
  <si>
    <t>2007-07-31 06:41:55 EDT</t>
  </si>
  <si>
    <t>[('CREATED', '2007-07-26 08:34 EDT'), ('martin_aeschlimann', '2007-07-31 06:41:55 EDT', 'martinae'), ('martin_aeschlimann', '2007-07-31 06:41:55 EDT', 'martinae'), ('[pull up] selecting members triggers a long operation', '2007-07-31 06:41:55 EDT', 'martinae'), ('3.4 M1', '2007-07-31 06:41:55 EDT', 'martinae'), ('3.3.1', '2007-07-31 06:43:55 EDT', 'martinae'), ('RESOLVED', '2007-08-22 12:15:57 EDT', 'martinae'), ('FIXED', '2007-08-22 12:15:57 EDT', 'martinae'), ('benno_baumgartner', '2007-09-06 05:52:15 EDT', 'benno.baumgartner'), ('VERIFIED', '2007-09-06 05:52:15 EDT', 'benno.baumgartner')]</t>
  </si>
  <si>
    <t>2007-07-30 03:55:14 EDT</t>
  </si>
  <si>
    <t>2007-07-26 16:48 EDT</t>
  </si>
  <si>
    <t>[('CREATED', '2007-07-26 16:48 EDT'), ('martin_aeschlimann', '2007-07-30 03:55:14 EDT', 'martinae'), ('RESOLVED', '2007-07-30 03:55:14 EDT', 'martinae'), ('DUPLICATE', '2007-07-30 03:55:14 EDT', 'martinae'), ('[rename] Rename refactoring on getter/setter should rename parameter too', '2007-07-30 03:55:14 EDT', 'martinae')]</t>
  </si>
  <si>
    <t>RESOLVED  DUPLICATE  of bug 159073</t>
  </si>
  <si>
    <t>2007-07-30 06:13:31 EDT</t>
  </si>
  <si>
    <t>2007-07-27 09:28 EDT</t>
  </si>
  <si>
    <t>2007-07-27 09:58:26 EDT</t>
  </si>
  <si>
    <t>[('CREATED', '2007-07-27 09:28 EDT'), ('robertma', '2007-07-27 09:58:26 EDT', 'robertma'), ('martin_aeschlimann', '2007-07-30 04:26:46 EDT', 'martinae'), ('benno_baumgartner', '2007-07-30 04:26:46 EDT', 'martinae'), ('RESOLVED', '2007-07-30 06:13:31 EDT', 'benno.baumgartner'), ('DUPLICATE', '2007-07-30 06:13:31 EDT', 'benno.baumgartner')]</t>
  </si>
  <si>
    <t>2007-08-31 08:50:54 EDT</t>
  </si>
  <si>
    <t>2007-07-30 12:19 EDT</t>
  </si>
  <si>
    <t>2007-07-31 05:26:37 EDT</t>
  </si>
  <si>
    <t>[('CREATED', '2007-07-30 12:19 EDT'), ('martin_aeschlimann', '2007-07-31 05:26:37 EDT', 'martinae'), ('markus_keller', '2007-08-17 11:19:34 EDT', 'martinae'), ('RESOLVED', '2007-08-31 08:50:54 EDT', 'markus.kell.r'), ('WONTFIX', '2007-08-31 08:50:54 EDT', 'markus.kell.r')]</t>
  </si>
  <si>
    <t>2007-07-30 12:22 EDT</t>
  </si>
  <si>
    <t>2007-07-31 05:27:37 EDT</t>
  </si>
  <si>
    <t>2008-05-15 11:10:01 EDT</t>
  </si>
  <si>
    <t>[('CREATED', '2007-07-30 12:22 EDT'), ('martin_aeschlimann', '2007-07-31 05:27:37 EDT', 'martinae'), ('ASSIGNED', '2007-07-31 05:27:37 EDT', 'martinae'), ('3.4', '2007-07-31 05:27:37 EDT', 'martinae'), ('benno_baumgartner', '2008-05-15 11:02:25 EDT', 'benno.baumgartner'), ('RESOLVED', '2008-05-15 11:02:25 EDT', 'benno.baumgartner'), ('DUPLICATE', '2008-05-15 11:02:25 EDT', 'benno.baumgartner'), ('---', '2008-05-15 11:10:01 EDT', 'martinae')]</t>
  </si>
  <si>
    <t>2007-08-17 09:01:56 EDT</t>
  </si>
  <si>
    <t>2007-07-31 06:31 EDT</t>
  </si>
  <si>
    <t>2007-07-31 06:50:07 EDT</t>
  </si>
  <si>
    <t>[('CREATED', '2007-07-31 06:31 EDT'), ('martin_aeschlimann', '2007-07-31 06:50:07 EDT', 'martinae'), ('martin_aeschlimann', '2007-08-17 08:59:30 EDT', 'martinae'), ('[introduce factory] CoreException using Introduce Factory', '2007-08-17 08:59:30 EDT', 'martinae'), ('3.4 M2', '2007-08-17 08:59:30 EDT', 'martinae'), ('RESOLVED', '2007-08-17 09:01:56 EDT', 'martinae'), ('FIXED', '2007-08-17 09:01:56 EDT', 'martinae')]</t>
  </si>
  <si>
    <t>CLOSED  DUPLICATE  of bug 154851</t>
  </si>
  <si>
    <t>2010-05-21 11:39:39 EDT</t>
  </si>
  <si>
    <t>2007-07-31 09:20 EDT</t>
  </si>
  <si>
    <t>[('CREATED', '2007-07-31 09:20 EDT'), ('CLOSED', '2010-05-21 11:39:39 EDT', 'markus.kell.r'), ('markus_keller', '2010-05-21 11:39:39 EDT', 'markus.kell.r'), ('DUPLICATE', '2010-05-21 11:39:39 EDT', 'markus.kell.r')]</t>
  </si>
  <si>
    <t>2007-07-31 11:16:22 EDT</t>
  </si>
  <si>
    <t>2007-07-31 09:33 EDT</t>
  </si>
  <si>
    <t>[('CREATED', '2007-07-31 09:33 EDT'), ('RESOLVED', '2007-07-31 11:16:22 EDT', 'martinae'), ('contributed', '2007-07-31 11:16:22 EDT', 'martinae'), ('FIXED', '2007-07-31 11:16:22 EDT', 'martinae'), ('3.4 M1', '2007-07-31 11:16:22 EDT', 'martinae')]</t>
  </si>
  <si>
    <t>RESOLVED  DUPLICATE  of bug 196307</t>
  </si>
  <si>
    <t>2007-07-31 10:08 EDT</t>
  </si>
  <si>
    <t>2007-08-06 10:02:48 EDT</t>
  </si>
  <si>
    <t>[('CREATED', '2007-07-31 10:08 EDT'), ('daniel_megert', '2007-08-06 10:02:48 EDT', 'daniel_megert'), ('blocker', '2007-08-06 10:02:48 EDT', 'daniel_megert'), ('3.4 M1', '2007-08-06 10:02:48 EDT', 'daniel_megert'), ('P1', '2007-08-06 10:03:16 EDT', 'daniel_megert'), ('benno_baumgartner', '2007-08-06 10:17:37 EDT', 'benno.baumgartner'), ('markus_keller', '2007-08-06 10:17:37 EDT', 'benno.baumgartner'), ('karsten_becker', '2007-08-06 10:20:43 EDT', 'benno.baumgartner'), ('RESOLVED', '2007-08-06 15:00:59 EDT', 'markus.kell.r'), ('DUPLICATE', '2007-08-06 15:00:59 EDT', 'markus.kell.r')]</t>
  </si>
  <si>
    <t>2007-08-01 05:01 EDT</t>
  </si>
  <si>
    <t>2007-08-01 05:02:56 EDT</t>
  </si>
  <si>
    <t>2007-08-02 04:54:19 EDT</t>
  </si>
  <si>
    <t>[('CREATED', '2007-08-01 05:01 EDT'), ('tal.yacobi', '2007-08-01 05:02:56 EDT', 'talyacobi'), ('jdt-ui-inbox', '2007-08-01 05:53:17 EDT', 'frederic_fusier'), ('UI', '2007-08-01 05:53:17 EDT', 'frederic_fusier'), ('frederic_fusier', '2007-08-01 05:53:17 EDT', 'frederic_fusier'), ('benno_baumgartner', '2007-08-02 04:54:19 EDT', 'benno.baumgartner'), ('[extract interface] Propose name for extracted interface in extract interface dialog', '2007-08-02 04:54:19 EDT', 'benno.baumgartner')]</t>
  </si>
  <si>
    <t>425419 (view as bug list)</t>
  </si>
  <si>
    <t>2007-08-02 09:09 EDT</t>
  </si>
  <si>
    <t>2007-08-02 09:36:08 EDT</t>
  </si>
  <si>
    <t>2014-01-13 19:12:40 EST</t>
  </si>
  <si>
    <t>[('CREATED', '2007-08-02 09:09 EDT'), ('[reorg] Move field dialog should show warning about textual-only move', '2007-08-02 09:36:08 EDT', 'benno.baumgartner'), ('deepakazad', '2012-10-06 01:33:31 EDT', 'deepakazad'), ('ASSIGNED', '2012-10-08 02:54:59 EDT', 'daniel_megert'), ('daniel_megert', '2012-10-08 02:54:59 EDT', 'daniel_megert'), ('jongwook.kim', '2014-01-13 19:12:40 EST', 'manju656')]</t>
  </si>
  <si>
    <t>2007-08-02 09:34:58 EDT</t>
  </si>
  <si>
    <t>2007-08-02 09:33 EDT</t>
  </si>
  <si>
    <t>[('CREATED', '2007-08-02 09:33 EDT'), ('RESOLVED', '2007-08-02 09:34:58 EDT', 'benno.baumgartner'), ('FIXED', '2007-08-02 09:34:58 EDT', 'benno.baumgartner'), ('3.4 M1', '2007-08-02 09:34:58 EDT', 'benno.baumgartner')]</t>
  </si>
  <si>
    <t>2007-08-02 10:51:00 EDT</t>
  </si>
  <si>
    <t>2007-08-02 10:38 EDT</t>
  </si>
  <si>
    <t>[('CREATED', '2007-08-02 10:38 EDT'), ('RESOLVED', '2007-08-02 10:51:00 EDT', 'benno.baumgartner'), ('FIXED', '2007-08-02 10:51:00 EDT', 'benno.baumgartner'), ('3.4 M1', '2007-08-02 10:51:00 EDT', 'benno.baumgartner')]</t>
  </si>
  <si>
    <t>2007-08-02 12:27:40 EDT</t>
  </si>
  <si>
    <t>2007-08-02 11:58 EDT</t>
  </si>
  <si>
    <t>2007-08-02 11:59:14 EDT</t>
  </si>
  <si>
    <t>[('CREATED', '2007-08-02 11:58 EDT'), ('benno_baumgartner', '2007-08-02 11:59:14 EDT', 'benno.baumgartner'), ('karsten_becker', '2007-08-02 11:59:14 EDT', 'benno.baumgartner'), ('3.4 M1', '2007-08-02 11:59:14 EDT', 'benno.baumgartner'), ('contributed', '2007-08-02 12:27:40 EDT', 'benno.baumgartner'), ('FIXED', '2007-08-02 12:27:40 EDT', 'benno.baumgartner'), ('RESOLVED', '2007-08-02 12:27:40 EDT', 'benno.baumgartner')]</t>
  </si>
  <si>
    <t>2007-08-03 06:16:49 EDT</t>
  </si>
  <si>
    <t>2007-08-03 05:10 EDT</t>
  </si>
  <si>
    <t>2007-08-03 05:49:00 EDT</t>
  </si>
  <si>
    <t>[('CREATED', '2007-08-03 05:10 EDT'), ('benno_baumgartner', '2007-08-03 05:49:00 EDT', 'benno.baumgartner'), ('karsten_becker', '2007-08-03 05:49:00 EDT', 'benno.baumgartner'), ('3.4 M1', '2007-08-03 05:49:00 EDT', 'benno.baumgartner'), ('RESOLVED', '2007-08-03 06:16:49 EDT', 'benno.baumgartner'), ('contributed', '2007-08-03 06:16:49 EDT', 'benno.baumgartner'), ('FIXED', '2007-08-03 06:16:49 EDT', 'benno.baumgartner')]</t>
  </si>
  <si>
    <t>2007-08-03 05:51 EDT</t>
  </si>
  <si>
    <t>2007-08-03 06:37:31 EDT</t>
  </si>
  <si>
    <t>2019-09-23 09:44:17 EDT</t>
  </si>
  <si>
    <t>[('CREATED', '2007-08-03 05:51 EDT'), ('jdt-ui-inbox', '2007-08-03 06:37:31 EDT', 'frederic_fusier'), ('UI', '2007-08-03 06:37:31 EDT', 'frederic_fusier'), ('martin_aeschlimann', '2007-08-17 10:11:31 EDT', 'martinae'), ('[extract local] selects complete line after applied', '2007-08-17 10:11:31 EDT', 'martinae'), ('stalebug', '2019-09-23 09:44:17 EDT', 'genie')]</t>
  </si>
  <si>
    <t>2007-08-10 07:00:38 EDT</t>
  </si>
  <si>
    <t>2007-08-05 13:14 EDT</t>
  </si>
  <si>
    <t>2007-08-05 13:14:37 EDT</t>
  </si>
  <si>
    <t>[('CREATED', '2007-08-05 13:14 EDT'), ('daniel_megert', '2007-08-05 13:14:37 EDT', 'frederic_fusier'), ('performance', '2007-08-05 13:14:37 EDT', 'frederic_fusier'), ('benno_baumgartner', '2007-08-06 10:54:59 EDT', 'benno.baumgartner'), ('ASSIGNED', '2007-08-06 10:54:59 EDT', 'benno.baumgartner'), ('3.4 M2', '2007-08-06 10:59:23 EDT', 'benno.baumgartner'), ('FIXED', '2007-08-10 07:00:38 EDT', 'benno.baumgartner'), ('RESOLVED', '2007-08-10 07:00:38 EDT', 'benno.baumgartner')]</t>
  </si>
  <si>
    <t>2007-08-06 06:40:49 EDT</t>
  </si>
  <si>
    <t>2007-08-09 08:36:50 EDT</t>
  </si>
  <si>
    <t>2007-08-06 05:37 EDT</t>
  </si>
  <si>
    <t>[('CREATED', '2007-08-06 05:37 EDT'), ('RESOLVED', '2007-08-06 06:40:49 EDT', 'benno.baumgartner'), ('FIXED', '2007-08-06 06:40:49 EDT', 'benno.baumgartner'), ('3.4 M1', '2007-08-06 06:40:49 EDT', 'benno.baumgartner'), ('VERIFIED', '2007-08-09 08:36:50 EDT', 'benno.baumgartner')]</t>
  </si>
  <si>
    <t>226926 363257 (view as bug list)</t>
  </si>
  <si>
    <t>2007-08-06 06:58 EDT</t>
  </si>
  <si>
    <t>2007-08-06 06:59:31 EDT</t>
  </si>
  <si>
    <t>2020-12-19 01:23:14 EST</t>
  </si>
  <si>
    <t>[('CREATED', '2007-08-06 06:58 EDT'), ('markus_keller', '2007-08-06 06:59:31 EDT', 'markus.kell.r'), ('enhancement', '2007-08-06 06:59:31 EDT', 'markus.kell.r'), ('ASSIGNED', '2011-11-08 11:36:58 EST', 'markus.kell.r'), ('jdt-ui-inbox', '2011-11-08 11:36:58 EST', 'markus.kell.r'), ('[refactoring] improve handling of potential matches (show preview, disable by default)', '2011-11-08 11:36:58 EST', 'markus.kell.r'), ('deepak.azad', '2011-11-08 23:00:50 EST', 'deepakazad'), ('reprogrammer', '2011-11-08 23:06:06 EST', 'deepakazad'), ('fix candidate', '2011-11-09 05:59:13 EST', 'markus.kell.r'), ('normal', '2011-11-09 05:59:13 EST', 'markus.kell.r'), ('stalebug', '2018-12-29 01:44:02 EST', 'genie'), (nan, '2018-12-29 04:14:06 EST', 'daniel_megert'), ('daniel_megert', '2018-12-29 04:14:06 EST', 'daniel_megert'), ('stalebug', '2020-12-19 01:23:14 EST', 'genie')]</t>
  </si>
  <si>
    <t>229550 (view as bug list)</t>
  </si>
  <si>
    <t>2008-05-28 04:02:02 EDT</t>
  </si>
  <si>
    <t>2008-05-29 04:43:49 EDT</t>
  </si>
  <si>
    <t>2007-08-07 04:14 EDT</t>
  </si>
  <si>
    <t>2007-08-07 04:15:18 EDT</t>
  </si>
  <si>
    <t>[('CREATED', '2007-08-07 04:14 EDT'), ('[refactoring scripts] NPE when selecting node in refactoring history dialog', '2007-08-07 04:15:18 EDT', 'benno.baumgartner'), ('markus_keller', '2007-08-07 04:20:17 EDT', 'benno.baumgartner'), ('daniel_megert', '2008-04-30 02:31:41 EDT', 'daniel_megert'), ('3.4 RC1', '2008-04-30 02:31:41 EDT', 'daniel_megert'), ('brockj', '2008-04-30 02:32:18 EDT', 'daniel_megert'), ('martin_aeschlimann', '2008-05-16 04:39:31 EDT', 'martinae'), ('benno_baumgartner', '2008-05-16 04:39:31 EDT', 'martinae'), ('3.4 RC2', '2008-05-16 04:39:31 EDT', 'martinae'), ('3.4 RC3', '2008-05-22 13:48:04 EDT', 'benno.baumgartner'), ('review+', '2008-05-26 10:20:24 EDT', 'martinae'), ('review?(markus_keller)', '2008-05-26 10:27:05 EDT', 'benno.baumgartner'), ('review?(daniel_megert)', '2008-05-26 10:27:12 EDT', 'benno.baumgartner'), ('review+', '2008-05-26 10:28:36 EDT', 'daniel_megert'), ('review+', '2008-05-27 12:42:59 EDT', 'markus.kell.r'), ('markus_keller', '2008-05-27 12:42:59 EDT', 'markus.kell.r'), ('RESOLVED', '2008-05-28 04:02:02 EDT', 'benno.baumgartner'), ('FIXED', '2008-05-28 04:02:02 EDT', 'benno.baumgartner'), ('VERIFIED', '2008-05-29 04:43:49 EDT', 'daniel_megert')]</t>
  </si>
  <si>
    <t>240162 (view as bug list)</t>
  </si>
  <si>
    <t>2007-08-14 09:38:06 EDT</t>
  </si>
  <si>
    <t>2007-09-18 08:15:07 EDT</t>
  </si>
  <si>
    <t>2007-08-08 13:19:29 EDT</t>
  </si>
  <si>
    <t>2007-08-07 04:40 EDT</t>
  </si>
  <si>
    <t>2007-08-07 04:43:23 EDT</t>
  </si>
  <si>
    <t>2008-07-31 13:18:49 EDT</t>
  </si>
  <si>
    <t>[('CREATED', '2007-08-07 04:40 EDT'), ('Creating a Refactoring Script logs tons of errors (246KB!)', '2007-08-07 04:43:23 EDT', 'daniel_megert'), ('benno_baumgartner', '2007-08-07 04:53:49 EDT', 'benno.baumgartner'), ('markus_keller', '2007-08-07 04:53:49 EDT', 'benno.baumgartner'), ('RESOLVED', '2007-08-08 12:05:32 EDT', 'markus.kell.r'), ('FIXED', '2007-08-08 12:05:32 EDT', 'markus.kell.r'), ('3.4 M1', '2007-08-08 12:05:32 EDT', 'markus.kell.r'), ('REOPENED', '2007-08-08 13:19:29 EDT', 'markus.kell.r'), ('---', '2007-08-08 13:19:29 EDT', 'markus.kell.r'), ('3.4 M2', '2007-08-08 13:19:29 EDT', 'markus.kell.r'), ('RESOLVED', '2007-08-14 09:38:06 EDT', 'markus.kell.r'), ('FIXED', '2007-08-14 09:38:06 EDT', 'markus.kell.r'), ('VERIFIED', '2007-09-18 08:15:07 EDT', 'daniel_megert'), ('metatech', '2008-07-31 13:18:49 EDT', 'markus.kell.r')]</t>
  </si>
  <si>
    <t>2007-08-14 09:53:49 EDT</t>
  </si>
  <si>
    <t>2007-08-07 04:41 EDT</t>
  </si>
  <si>
    <t>2007-08-07 04:57:00 EDT</t>
  </si>
  <si>
    <t>[('CREATED', '2007-08-07 04:41 EDT'), ('benno_baumgartner', '2007-08-07 04:57:00 EDT', 'benno.baumgartner'), ('[refactoring scripts] Create Refactoring Script log message is useless', '2007-08-07 04:57:00 EDT', 'benno.baumgartner'), ('markus_keller', '2007-08-14 09:53:31 EDT', 'markus.kell.r'), ('markus_keller', '2007-08-14 09:53:31 EDT', 'markus.kell.r'), ('3.4 M2', '2007-08-14 09:53:31 EDT', 'markus.kell.r'), ('RESOLVED', '2007-08-14 09:53:49 EDT', 'markus.kell.r'), ('FIXED', '2007-08-14 09:53:49 EDT', 'markus.kell.r'), (nan, '2007-08-14 09:53:49 EDT', 'markus.kell.r')]</t>
  </si>
  <si>
    <t>2007-08-08 08:56:01 EDT</t>
  </si>
  <si>
    <t>2007-08-09 04:32:32 EDT</t>
  </si>
  <si>
    <t>2007-08-08 08:50:33 EDT</t>
  </si>
  <si>
    <t>2007-08-07 04:46 EDT</t>
  </si>
  <si>
    <t>2007-08-07 05:26:30 EDT</t>
  </si>
  <si>
    <t>[('CREATED', '2007-08-07 04:46 EDT'), ('benno_baumgartner', '2007-08-07 05:26:30 EDT', 'benno.baumgartner'), ('benno_baumgartner', '2007-08-07 05:26:30 EDT', 'benno.baumgartner'), ('3.4 M1', '2007-08-07 11:17:46 EDT', 'benno.baumgartner'), ('RESOLVED', '2007-08-08 06:22:40 EDT', 'benno.baumgartner'), ('FIXED', '2007-08-08 06:22:40 EDT', 'benno.baumgartner'), ('[dnd] Move of PackageDeclaration, ImportContainer, ImportDeclaration fails', '2007-08-08 06:22:40 EDT', 'benno.baumgartner'), ('REOPENED', '2007-08-08 08:50:33 EDT', 'benno.baumgartner'), ('---', '2007-08-08 08:50:33 EDT', 'benno.baumgartner'), ('FIXED', '2007-08-08 08:56:01 EDT', 'benno.baumgartner'), ('RESOLVED', '2007-08-08 08:56:01 EDT', 'benno.baumgartner'), ('VERIFIED', '2007-08-09 04:32:32 EDT', 'benno.baumgartner')]</t>
  </si>
  <si>
    <t>2007-08-07 04:50 EDT</t>
  </si>
  <si>
    <t>2007-08-07 07:06:01 EDT</t>
  </si>
  <si>
    <t>2019-11-18 12:18:39 EST</t>
  </si>
  <si>
    <t>[('CREATED', '2007-08-07 04:50 EDT'), ('benno_baumgartner', '2007-08-07 07:06:01 EDT', 'benno.baumgartner'), ('markus_keller', '2007-08-07 07:06:01 EDT', 'benno.baumgartner'), ('stalebug', '2019-11-18 12:18:39 EST', 'genie')]</t>
  </si>
  <si>
    <t>2007-08-07 05:25 EDT</t>
  </si>
  <si>
    <t>2007-08-07 07:00:04 EDT</t>
  </si>
  <si>
    <t>2020-09-04 12:08:44 EDT</t>
  </si>
  <si>
    <t>[('CREATED', '2007-08-07 05:25 EDT'), ('benno_baumgartner', '2007-08-07 07:00:04 EDT', 'benno.baumgartner'), ('markus_keller', '2007-08-07 07:00:04 EDT', 'benno.baumgartner'), ('minor', '2007-08-07 07:00:04 EDT', 'benno.baumgartner'), ('stalebug', '2020-09-04 12:08:44 EDT', 'genie')]</t>
  </si>
  <si>
    <t>2007-08-08 10:03:11 EDT</t>
  </si>
  <si>
    <t>2007-08-09 04:37:14 EDT</t>
  </si>
  <si>
    <t>2007-08-07 06:31 EDT</t>
  </si>
  <si>
    <t>2007-08-07 06:33:05 EDT</t>
  </si>
  <si>
    <t>[('CREATED', '2007-08-07 06:31 EDT'), ('markus_keller', '2007-08-07 06:33:05 EDT', 'benno.baumgartner'), ("[rename] JME when renaming sub package: 'package' does not exist", '2007-08-07 06:33:05 EDT', 'benno.baumgartner'), ('RESOLVED', '2007-08-08 10:03:11 EDT', 'markus.kell.r'), ('FIXED', '2007-08-08 10:03:11 EDT', 'markus.kell.r'), ('3.4 M1', '2007-08-08 10:03:11 EDT', 'markus.kell.r'), ('VERIFIED', '2007-08-09 04:37:14 EDT', 'daniel_megert'), ('daniel_megert', '2007-08-09 04:37:14 EDT', 'daniel_megert')]</t>
  </si>
  <si>
    <t>2007-08-13 10:37:53 EDT</t>
  </si>
  <si>
    <t>2007-08-07 08:59 EDT</t>
  </si>
  <si>
    <t>2007-08-07 09:22:35 EDT</t>
  </si>
  <si>
    <t>[('CREATED', '2007-08-07 08:59 EDT'), ('benno_baumgartner', '2007-08-07 09:22:35 EDT', 'benno.baumgartner'), ('benno_baumgartner', '2007-08-07 11:11:30 EDT', 'benno.baumgartner'), ('3.4 M2', '2007-08-07 11:11:30 EDT', 'benno.baumgartner'), ('RESOLVED', '2007-08-13 10:37:53 EDT', 'benno.baumgartner'), ('FIXED', '2007-08-13 10:37:53 EDT', 'benno.baumgartner')]</t>
  </si>
  <si>
    <t>2007-08-07 09:28:37 EDT</t>
  </si>
  <si>
    <t>[('CREATED', '2007-08-07 08:59 EDT'), ('benno_baumgartner', '2007-08-07 09:28:37 EDT', 'benno.baumgartner'), ('RESOLVED', '2007-08-07 09:28:37 EDT', 'benno.baumgartner'), ('WONTFIX', '2007-08-07 09:28:37 EDT', 'benno.baumgartner')]</t>
  </si>
  <si>
    <t>2007-08-08 12:19:31 EDT</t>
  </si>
  <si>
    <t>2007-08-09 08:39:03 EDT</t>
  </si>
  <si>
    <t>2007-08-07 11:10:35 EDT</t>
  </si>
  <si>
    <t>[('CREATED', '2007-08-07 08:59 EDT'), ('benno_baumgartner', '2007-08-07 11:10:35 EDT', 'benno.baumgartner'), ('karsten_becker', '2007-08-07 11:10:35 EDT', 'benno.baumgartner'), ('major', '2007-08-07 11:10:35 EDT', 'benno.baumgartner'), ('3.4 M1', '2007-08-07 11:10:35 EDT', 'benno.baumgartner'), ('markus_keller', '2007-08-07 12:10:37 EDT', 'eclipse'), ('1', '2007-08-08 09:42:38 EDT', 'eclipse'), ('1', '2007-08-08 10:31:53 EDT', 'eclipse'), ('1', '2007-08-08 11:39:11 EDT', 'eclipse'), ('1', '2007-08-08 12:17:49 EDT', 'benno.baumgartner'), ('RESOLVED', '2007-08-08 12:19:31 EDT', 'benno.baumgartner'), ('FIXED', '2007-08-08 12:19:31 EDT', 'benno.baumgartner'), ('VERIFIED', '2007-08-09 08:39:03 EDT', 'benno.baumgartner')]</t>
  </si>
  <si>
    <t>2007-08-16 09:50:31 EDT</t>
  </si>
  <si>
    <t>2007-08-08 03:52 EDT</t>
  </si>
  <si>
    <t>2007-08-08 04:14:18 EDT</t>
  </si>
  <si>
    <t>[('CREATED', '2007-08-08 03:52 EDT'), ('benno_baumgartner', '2007-08-08 04:14:18 EDT', 'benno.baumgartner'), ('karsten_becker', '2007-08-08 04:14:18 EDT', 'benno.baumgartner'), ('3.4 M1', '2007-08-08 04:14:18 EDT', 'benno.baumgartner'), ('3.4 M2', '2007-08-08 12:21:39 EDT', 'benno.baumgartner'), ('1', '2007-08-10 10:51:11 EDT', 'eclipse'), ('martin_aeschlimann', '2007-08-14 04:35:09 EDT', 'benno.baumgartner'), ('FIXED', '2007-08-16 09:50:31 EDT', 'martinae'), ('RESOLVED', '2007-08-16 09:50:31 EDT', 'martinae'), ('contributed', '2007-08-16 09:50:31 EDT', 'martinae')]</t>
  </si>
  <si>
    <t>2007-08-17 06:41:49 EDT</t>
  </si>
  <si>
    <t>2007-08-13 12:07:06 EDT</t>
  </si>
  <si>
    <t>2007-08-14 07:56:58 EDT</t>
  </si>
  <si>
    <t>2007-08-08 03:57 EDT</t>
  </si>
  <si>
    <t>2007-08-08 04:54:07 EDT</t>
  </si>
  <si>
    <t>[('CREATED', '2007-08-08 03:57 EDT'), ('benno_baumgartner', '2007-08-08 04:54:07 EDT', 'benno.baumgartner'), ('karsten_becker', '2007-08-08 04:54:07 EDT', 'benno.baumgartner'), ('martin_aeschlimann', '2007-08-13 12:07:06 EDT', 'martinae'), ('RESOLVED', '2007-08-13 12:07:06 EDT', 'martinae'), ('WONTFIX', '2007-08-13 12:07:06 EDT', 'martinae'), ('REOPENED', '2007-08-14 07:56:58 EDT', 'martinae'), ('---', '2007-08-14 07:56:58 EDT', 'martinae'), ('NEW', '2007-08-17 06:25:51 EDT', 'martinae'), ('martin_aeschlimann', '2007-08-17 06:25:51 EDT', 'martinae'), ('RESOLVED', '2007-08-17 06:41:49 EDT', 'martinae'), ('FIXED', '2007-08-17 06:41:49 EDT', 'martinae'), ('3.4 M2', '2007-08-17 06:41:49 EDT', 'martinae')]</t>
  </si>
  <si>
    <t>2007-08-09 06:24:12 EDT</t>
  </si>
  <si>
    <t>2007-08-09 17:19:05 EDT</t>
  </si>
  <si>
    <t>2007-08-09 04:43 EDT</t>
  </si>
  <si>
    <t>2007-08-09 05:05:09 EDT</t>
  </si>
  <si>
    <t>[('CREATED', '2007-08-09 04:43 EDT'), ('benno_baumgartner, karsten_becker', '2007-08-09 05:05:09 EDT', 'benno.baumgartner'), ('markus_keller', '2007-08-09 05:05:09 EDT', 'benno.baumgartner'), ('RESOLVED', '2007-08-09 06:24:12 EDT', 'markus.kell.r'), ('FIXED', '2007-08-09 06:24:12 EDT', 'markus.kell.r'), ('3.4 M1', '2007-08-09 06:24:12 EDT', 'markus.kell.r'), ('VERIFIED', '2007-08-09 17:19:05 EDT', 'benno.baumgartner')]</t>
  </si>
  <si>
    <t>RESOLVED  DUPLICATE  of bug 158008</t>
  </si>
  <si>
    <t>2007-08-09 08:02:15 EDT</t>
  </si>
  <si>
    <t>2007-08-09 06:07 EDT</t>
  </si>
  <si>
    <t>2007-08-09 07:33:48 EDT</t>
  </si>
  <si>
    <t>[('CREATED', '2007-08-09 06:07 EDT'), ('daniel_megert', '2007-08-09 07:33:48 EDT', 'daniel_megert'), ('jdt-ui-inbox', '2007-08-09 07:33:48 EDT', 'daniel_megert'), ('UI', '2007-08-09 07:33:48 EDT', 'daniel_megert'), ('benno_baumgartner', '2007-08-09 08:02:15 EDT', 'benno.baumgartner'), ('RESOLVED', '2007-08-09 08:02:15 EDT', 'benno.baumgartner'), ('DUPLICATE', '2007-08-09 08:02:15 EDT', 'benno.baumgartner')]</t>
  </si>
  <si>
    <t>2007-08-09 09:50 EDT</t>
  </si>
  <si>
    <t>2007-08-17 11:20:09 EDT</t>
  </si>
  <si>
    <t>2009-03-16 04:14:41 EDT</t>
  </si>
  <si>
    <t>[('CREATED', '2007-08-09 09:50 EDT'), ('[extract class] should be available when I select (multiple) fields in Outline', '2007-08-17 11:20:09 EDT', 'martinae'), ('daniel_megert', '2009-03-16 04:14:41 EDT', 'daniel_megert'), ('ASSIGNED', '2009-03-16 04:14:41 EDT', 'daniel_megert')]</t>
  </si>
  <si>
    <t>RESOLVED  DUPLICATE  of bug 174829</t>
  </si>
  <si>
    <t>2009-05-04 06:06:47 EDT</t>
  </si>
  <si>
    <t>2007-08-14 05:53 EDT</t>
  </si>
  <si>
    <t>2007-08-14 08:06:43 EDT</t>
  </si>
  <si>
    <t>[('CREATED', '2007-08-14 05:53 EDT'), ('martin_aeschlimann', '2007-08-14 08:06:43 EDT', 'martinae'), ('ASSIGNED', '2007-08-14 08:06:43 EDT', 'martinae'), ('markus_keller', '2009-05-04 06:06:47 EDT', 'markus.kell.r'), ('RESOLVED', '2009-05-04 06:06:47 EDT', 'markus.kell.r'), ('DUPLICATE', '2009-05-04 06:06:47 EDT', 'markus.kell.r')]</t>
  </si>
  <si>
    <t>2007-08-14 14:48 EDT</t>
  </si>
  <si>
    <t>2007-08-15 05:50:38 EDT</t>
  </si>
  <si>
    <t>2020-01-01 14:41:53 EST</t>
  </si>
  <si>
    <t>[('CREATED', '2007-08-14 14:48 EDT'), ('martin_aeschlimann', '2007-08-15 05:50:38 EDT', 'martinae'), ('[actions] RefactorActionGroup needs public constructor and overridable initAction(..)', '2007-08-15 05:50:38 EDT', 'martinae'), ('stalebug', '2020-01-01 14:41:53 EST', 'genie')]</t>
  </si>
  <si>
    <t>2007-08-15 02:56 EDT</t>
  </si>
  <si>
    <t>2007-08-15 05:31:16 EDT</t>
  </si>
  <si>
    <t>2019-12-05 18:06:28 EST</t>
  </si>
  <si>
    <t>[('CREATED', '2007-08-15 02:56 EDT'), ('martin_aeschlimann', '2007-08-15 05:31:16 EDT', 'martinae'), ('benno_baumgartner', '2007-08-15 05:31:16 EDT', 'martinae'), ('[reorg] move CU should create non existing package', '2007-08-15 05:31:16 EDT', 'martinae'), ('jdt-ui-inbox', '2008-07-16 10:07:59 EDT', 'benno.baumgartner'), ('ASSIGNED', '2008-07-16 10:08:12 EDT', 'benno.baumgartner'), ('benno_baumgartner', '2008-07-16 10:08:12 EDT', 'benno.baumgartner'), ('stalebug', '2019-12-05 18:06:28 EST', 'genie')]</t>
  </si>
  <si>
    <t>RESOLVED  DUPLICATE  of bug 196635</t>
  </si>
  <si>
    <t>2007-08-15 07:17:48 EDT</t>
  </si>
  <si>
    <t>2007-08-15 07:01 EDT</t>
  </si>
  <si>
    <t>2007-08-15 07:11:10 EDT</t>
  </si>
  <si>
    <t>[('CREATED', '2007-08-15 07:01 EDT'), ('jdt-ui-inbox', '2007-08-15 07:11:10 EDT', 'frederic_fusier'), ('UI', '2007-08-15 07:11:10 EDT', 'frederic_fusier'), ('martin_aeschlimann', '2007-08-15 07:17:48 EDT', 'martinae'), ('RESOLVED', '2007-08-15 07:17:48 EDT', 'martinae'), ('DUPLICATE', '2007-08-15 07:17:48 EDT', 'martinae')]</t>
  </si>
  <si>
    <t>2007-08-16 03:15 EDT</t>
  </si>
  <si>
    <t>2007-08-16 05:02:05 EDT</t>
  </si>
  <si>
    <t>2010-12-21 08:30:02 EST</t>
  </si>
  <si>
    <t>[('CREATED', '2007-08-16 03:15 EDT'), ('jdt-ui-inbox', '2007-08-16 05:02:05 EDT', 'jerome_lanneluc'), ('UI', '2007-08-16 05:02:05 EDT', 'jerome_lanneluc'), ('[refactoring] [dc] convert int-constants to Java5-enums', '2007-08-16 05:54:22 EDT', 'martinae'), ('martin_aeschlimann, khatchad', '2007-08-16 05:54:22 EDT', 'martinae'), ('ASSIGNED', '2007-08-16 05:54:22 EDT', 'martinae'), ('helpwanted', '2007-08-16 05:54:22 EDT', 'martinae'), ('[refactoring] [dcr] convert int-constants to Java5-enums', '2007-08-17 12:12:10 EDT', 'martinae'), ('benno_baumgartner', '2007-12-23 09:27:12 EST', 'benno.baumgartner'), ('daniel_megert', '2008-01-28 04:03:36 EST', 'daniel_megert'), ('pending Martin', '2008-01-28 04:03:36 EST', 'daniel_megert'), (nan, '2008-08-13 06:40:35 EDT', 'daniel_megert'), ('b.muskalla', '2008-11-03 17:45:41 EST', 'b.muskalla'), ('[refactoring] convert int-constants to Java5-enums', '2010-11-04 06:44:54 EDT', 'daniel_megert'), ('markus_keller', '2010-11-29 10:22:28 EST', 'markus.kell.r'), ('deepak.azad', '2010-12-21 08:30:02 EST', 'deepakazad')]</t>
  </si>
  <si>
    <t>2007-08-17 08:53:15 EDT</t>
  </si>
  <si>
    <t>2007-08-16 21:34 EDT</t>
  </si>
  <si>
    <t>2007-08-17 03:59:17 EDT</t>
  </si>
  <si>
    <t>2017-10-09 16:30:10 EDT</t>
  </si>
  <si>
    <t>stephan.herrmann</t>
  </si>
  <si>
    <t>[('CREATED', '2007-08-16 21:34 EDT'), ('alex_blewitt', '2007-08-17 03:59:17 EDT', 'alex.blewitt'), ('[rename] Renaming packages across source folders', '2007-08-17 05:13:59 EDT', 'martinae'), ('martin_aeschlimann, markus_keller', '2007-08-17 05:13:59 EDT', 'martinae'), ('RESOLVED', '2007-08-17 08:53:15 EDT', 'markus.kell.r'), ('DUPLICATE', '2007-08-17 08:53:15 EDT', 'markus.kell.r'), ('gradimirsancanin', '2017-10-08 18:20:34 EDT', 'gradimirsancanin'), ('stephan.herrmann', '2017-10-09 16:30:10 EDT', 'stephan.herrmann')]</t>
  </si>
  <si>
    <t>2007-08-20 10:06:46 EDT</t>
  </si>
  <si>
    <t>2007-08-20 09:32 EDT</t>
  </si>
  <si>
    <t>2007-08-20 09:47:32 EDT</t>
  </si>
  <si>
    <t>[('CREATED', '2007-08-20 09:32 EDT'), ('Olivier_Thomann', '2007-08-20 09:47:32 EDT', 'Olivier_Thomann'), ('jdt-ui-inbox', '2007-08-20 09:47:32 EDT', 'Olivier_Thomann'), ('UI', '2007-08-20 09:47:32 EDT', 'Olivier_Thomann'), ('martin_aeschlimann', '2007-08-20 10:06:46 EDT', 'martinae'), ('RESOLVED', '2007-08-20 10:06:46 EDT', 'martinae'), ('WONTFIX', '2007-08-20 10:06:46 EDT', 'martinae')]</t>
  </si>
  <si>
    <t>2020-01-22 04:14:56 EST</t>
  </si>
  <si>
    <t>2007-08-20 10:50 EDT</t>
  </si>
  <si>
    <t>2007-08-21 06:04:32 EDT</t>
  </si>
  <si>
    <t>[('CREATED', '2007-08-20 10:50 EDT'), ('martin_aeschlimann', '2007-08-21 06:04:32 EDT', 'martinae'), ('[refactoring] Refactor preview panels do not use editor background color', '2007-08-21 06:04:32 EDT', 'martinae'), ('stalebug', '2020-01-22 04:14:56 EST', 'genie'), ('CLOSED', '2020-01-22 04:14:56 EST', 'genie'), ('WONTFIX', '2020-01-22 04:14:56 EST', 'genie')]</t>
  </si>
  <si>
    <t>211491 (view as bug list)</t>
  </si>
  <si>
    <t>2008-05-15 12:28:42 EDT</t>
  </si>
  <si>
    <t>2008-05-19 06:19:16 EDT</t>
  </si>
  <si>
    <t>2007-08-20 12:55 EDT</t>
  </si>
  <si>
    <t>2007-08-20 12:57:37 EDT</t>
  </si>
  <si>
    <t>[('CREATED', '2007-08-20 12:55 EDT'), ('Olivier_Thomann', '2007-08-20 12:57:37 EDT', 'Olivier_Thomann'), ('jdt-ui-inbox', '2007-08-20 12:57:37 EDT', 'Olivier_Thomann'), ('UI', '2007-08-20 12:57:37 EDT', 'Olivier_Thomann'), ('martin_aeschlimann', '2007-08-21 06:14:45 EDT', 'martinae'), ('[pull up] final method in interface makes uncompilable code', '2007-08-21 06:14:45 EDT', 'martinae'), ('3.4', '2007-08-21 06:14:45 EDT', 'martinae'), ('gubespam', '2007-11-30 04:42:46 EST', 'martinae'), ('markus_keller', '2008-05-15 10:36:12 EDT', 'martinae'), ('martin_aeschlimann', '2008-05-15 10:36:12 EDT', 'martinae'), ('3.4 RC1', '2008-05-15 10:36:12 EDT', 'martinae'), ('review?(markus_keller)', '2008-05-15 10:36:12 EDT', 'martinae'), ('RESOLVED', '2008-05-15 12:28:42 EDT', 'markus.kell.r'), ('FIXED', '2008-05-15 12:28:42 EDT', 'markus.kell.r'), ('review+', '2008-05-15 12:28:42 EDT', 'markus.kell.r'), ('benno_baumgartner', '2008-05-19 05:55:38 EDT', 'benno.baumgartner'), ('VERIFIED', '2008-05-19 06:19:16 EDT', 'benno.baumgartner')]</t>
  </si>
  <si>
    <t>2007-08-21 12:02 EDT</t>
  </si>
  <si>
    <t>2007-08-21 12:32:32 EDT</t>
  </si>
  <si>
    <t>2008-12-11 03:15:19 EST</t>
  </si>
  <si>
    <t>[('CREATED', '2007-08-21 12:02 EDT'), ('martin_aeschlimann', '2007-08-21 12:32:32 EDT', 'martinae'), ('ASSIGNED', '2007-08-21 12:32:32 EDT', 'martinae'), ('P5', '2007-08-21 12:32:32 EDT', 'martinae'), ('gubespam', '2008-12-10 18:17:00 EST', 'gubespam'), ('daniel_megert', '2008-12-11 03:15:19 EST', 'daniel_megert')]</t>
  </si>
  <si>
    <t>2020-02-24 04:16:00 EST</t>
  </si>
  <si>
    <t>2007-08-21 22:31 EDT</t>
  </si>
  <si>
    <t>2007-08-22 04:01:38 EDT</t>
  </si>
  <si>
    <t>[('CREATED', '2007-08-21 22:31 EDT'), ('martin_aeschlimann', '2007-08-22 04:01:38 EDT', 'martinae'), ('ASSIGNED', '2007-08-22 04:01:38 EDT', 'martinae'), ('[move method] Move method refactoring appends unnecessary argument', '2007-08-22 04:01:38 EDT', 'martinae'), ('CLOSED', '2020-02-24 04:16:00 EST', 'genie'), ('stalebug', '2020-02-24 04:16:00 EST', 'genie'), ('WONTFIX', '2020-02-24 04:16:00 EST', 'genie')]</t>
  </si>
  <si>
    <t>200819 (view as bug list)</t>
  </si>
  <si>
    <t>2007-08-22 09:18:51 EDT</t>
  </si>
  <si>
    <t>2007-08-22 09:01 EDT</t>
  </si>
  <si>
    <t>2007-08-22 09:18:15 EDT</t>
  </si>
  <si>
    <t>[('CREATED', '2007-08-22 09:01 EDT'), ('kmoir', '2007-08-22 09:18:15 EDT', 'kim.moir'), ('RESOLVED', '2007-08-22 09:18:51 EDT', 'martinae'), ('FIXED', '2007-08-22 09:18:51 EDT', 'martinae'), ('[introduce factory] chkpii error in build N20070822-0010', '2007-08-22 09:18:51 EDT', 'martinae'), ('3.4 M2', '2007-08-22 09:18:51 EDT', 'martinae'), ('martin_aeschlimann', '2007-08-22 09:18:51 EDT', 'martinae')]</t>
  </si>
  <si>
    <t>RESOLVED  DUPLICATE  of bug 200818</t>
  </si>
  <si>
    <t>2007-08-22 09:05 EDT</t>
  </si>
  <si>
    <t>2007-08-22 09:05:56 EDT</t>
  </si>
  <si>
    <t>kim.moir</t>
  </si>
  <si>
    <t>[('CREATED', '2007-08-22 09:05 EDT'), ('3.4', '2007-08-22 09:05:56 EDT', 'kim.moir'), ('RESOLVED', '2007-08-22 09:18:15 EDT', 'kim.moir'), ('DUPLICATE', '2007-08-22 09:18:15 EDT', 'kim.moir')]</t>
  </si>
  <si>
    <t>2007-08-27 11:26 EDT</t>
  </si>
  <si>
    <t>2007-08-27 11:49:32 EDT</t>
  </si>
  <si>
    <t>[('CREATED', '2007-08-27 11:26 EDT'), ('jdt-ui-inbox', '2007-08-27 11:49:32 EDT', 'frederic_fusier'), ('UI', '2007-08-27 11:49:32 EDT', 'frederic_fusier'), ('RESOLVED', '2007-08-27 11:57:01 EDT', 'martinae'), ('DUPLICATE', '2007-08-27 11:57:01 EDT', 'martinae'), ('martin_aeschlimann', '2007-08-27 11:57:01 EDT', 'martinae')]</t>
  </si>
  <si>
    <t>2007-08-28 12:59:51 EDT</t>
  </si>
  <si>
    <t>2007-09-06 04:58:24 EDT</t>
  </si>
  <si>
    <t>2007-08-28 09:24 EDT</t>
  </si>
  <si>
    <t>2007-08-28 09:26:55 EDT</t>
  </si>
  <si>
    <t>[('CREATED', '2007-08-28 09:24 EDT'), ('markus_keller', '2007-08-28 09:26:55 EDT', 'martinae'), ('daniel_megert', '2007-08-28 10:54:49 EDT', 'daniel_megert'), ('1', '2007-08-28 11:46:39 EDT', 'martinae'), ('1', '2007-08-28 12:45:28 EDT', 'markus.kell.r'), ('RESOLVED', '2007-08-28 12:59:51 EDT', 'markus.kell.r'), ('FIXED', '2007-08-28 12:59:51 EDT', 'markus.kell.r'), ('3.3.1', '2007-08-28 12:59:51 EDT', 'markus.kell.r'), ('benno_baumgartner', '2007-09-06 04:13:55 EDT', 'benno.baumgartner'), ('VERIFIED', '2007-09-06 04:58:24 EDT', 'benno.baumgartner')]</t>
  </si>
  <si>
    <t>RESOLVED  DUPLICATE  of bug 185214</t>
  </si>
  <si>
    <t>82827 (view as bug list)</t>
  </si>
  <si>
    <t>2009-01-09 12:27:41 EST</t>
  </si>
  <si>
    <t>2007-08-29 09:11:14 EDT</t>
  </si>
  <si>
    <t>2007-08-28 11:24 EDT</t>
  </si>
  <si>
    <t>2007-08-28 11:27:24 EDT</t>
  </si>
  <si>
    <t>[('CREATED', '2007-08-28 11:24 EDT'), ('Olivier_Thomann', '2007-08-28 11:27:24 EDT', 'Olivier_Thomann'), ('jdt-ui-inbox', '2007-08-28 11:27:24 EDT', 'Olivier_Thomann'), ('UI', '2007-08-28 11:27:24 EDT', 'Olivier_Thomann'), ('martin_aeschlimann', '2007-08-29 03:30:50 EDT', 'martinae'), ('RESOLVED', '2007-08-29 03:30:50 EDT', 'martinae'), ('DUPLICATE', '2007-08-29 03:30:50 EDT', 'martinae'), ("[inline] Refactor inline doesn't handle unchecked generic type (cast) operation", '2007-08-29 03:30:50 EDT', 'martinae'), ('REOPENED', '2007-08-29 09:11:14 EDT', 'hudsonr'), ('---', '2007-08-29 09:11:14 EDT', 'hudsonr'), ("[inline] Refactor inline doesn't handle implicit casts", '2007-08-29 09:11:14 EDT', 'hudsonr'), ('markus_keller', '2007-08-29 09:15:54 EDT', 'martinae'), ('RESOLVED', '2009-01-09 12:27:41 EST', 'markus.kell.r'), ('DUPLICATE', '2009-01-09 12:27:41 EST', 'markus.kell.r')]</t>
  </si>
  <si>
    <t>2007-10-04 10:23:19 EDT</t>
  </si>
  <si>
    <t>2007-08-30 04:46 EDT</t>
  </si>
  <si>
    <t>2007-10-04 10:23:35 EDT</t>
  </si>
  <si>
    <t>[('CREATED', '2007-08-30 04:46 EDT'), ('3.4 M3', '2007-10-04 10:23:19 EDT', 'martinae'), ('martin_aeschlimann', '2007-10-04 10:23:19 EDT', 'martinae'), ('RESOLVED', '2007-10-04 10:23:19 EDT', 'martinae'), ('WORKSFORME', '2007-10-04 10:23:19 EDT', 'martinae'), ('[pull up] NPE on Pull Up refactoring', '2007-10-04 10:23:35 EDT', 'martinae')]</t>
  </si>
  <si>
    <t>2008-04-24 12:49:02 EDT</t>
  </si>
  <si>
    <t>2007-08-31 08:09 EDT</t>
  </si>
  <si>
    <t>2007-08-31 08:11:24 EDT</t>
  </si>
  <si>
    <t>[('CREATED', '2007-08-31 08:09 EDT'), ('martin_aeschlimann', '2007-08-31 08:11:24 EDT', 'martinae'), ('[surround with try/catch] Avoid dialog in sourround with try/catch refactoring', '2007-08-31 08:11:24 EDT', 'martinae'), ('3.4', '2007-08-31 08:11:24 EDT', 'martinae'), ('martin_aeschlimann', '2008-04-24 12:42:46 EDT', 'martinae'), ('3.4 M7', '2008-04-24 12:42:46 EDT', 'martinae'), ('RESOLVED', '2008-04-24 12:49:02 EDT', 'martinae'), ('FIXED', '2008-04-24 12:49:02 EDT', 'martinae')]</t>
  </si>
  <si>
    <t>202245</t>
  </si>
  <si>
    <t>2007-09-17 11:39:50 EDT</t>
  </si>
  <si>
    <t>2007-09-04 06:58 EDT</t>
  </si>
  <si>
    <t>2007-09-05 04:41:17 EDT</t>
  </si>
  <si>
    <t>[('CREATED', '2007-09-04 06:58 EDT'), ('202245', '2007-09-05 04:41:17 EDT', 'benno.baumgartner'), ('RESOLVED', '2007-09-17 11:39:50 EDT', 'benno.baumgartner'), ('FIXED', '2007-09-17 11:39:50 EDT', 'benno.baumgartner'), ('3.4 M2', '2007-09-17 11:39:50 EDT', 'benno.baumgartner')]</t>
  </si>
  <si>
    <t>RESOLVED  DUPLICATE  of bug 302396</t>
  </si>
  <si>
    <t>2008-03-11 11:37:46 EDT</t>
  </si>
  <si>
    <t>2010-02-10 07:09:21 EST</t>
  </si>
  <si>
    <t>2007-10-17 12:39:18 EDT</t>
  </si>
  <si>
    <t>2007-09-10 09:50 EDT</t>
  </si>
  <si>
    <t>2007-09-10 10:18:43 EDT</t>
  </si>
  <si>
    <t>[('CREATED', '2007-09-10 09:50 EDT'), ('martin_aeschlimann', '2007-09-10 10:18:43 EDT', 'martinae'), ('RESOLVED', '2007-09-17 07:19:58 EDT', 'martinae'), ('WORKSFORME', '2007-09-17 07:19:58 EDT', 'martinae'), ('---', '2007-10-17 12:39:18 EDT', 'Tod_Creasey'), ('REOPENED', '2007-10-17 12:39:18 EDT', 'Tod_Creasey'), ('RESOLVED', '2008-03-11 11:37:46 EDT', 'martinae'), ('WORKSFORME', '2008-03-11 11:37:46 EDT', 'martinae'), ('markus_keller', '2010-02-10 07:09:21 EST', 'markus.kell.r'), ('DUPLICATE', '2010-02-10 07:09:21 EST', 'markus.kell.r')]</t>
  </si>
  <si>
    <t>203262</t>
  </si>
  <si>
    <t>2007-09-17 07:18:04 EDT</t>
  </si>
  <si>
    <t>2007-09-13 11:00 EDT</t>
  </si>
  <si>
    <t>2007-09-13 11:05:07 EDT</t>
  </si>
  <si>
    <t>[('CREATED', '2007-09-13 11:00 EDT'), ('3.4', '2007-09-13 11:05:07 EDT', 'kim.moir'), ('martin_aeschlimann', '2007-09-17 07:18:04 EDT', 'martinae'), ('RESOLVED', '2007-09-17 07:18:04 EDT', 'martinae'), ('FIXED', '2007-09-17 07:18:04 EDT', 'martinae'), ('3.4 M2', '2007-09-17 07:18:04 EDT', 'martinae')]</t>
  </si>
  <si>
    <t>2007-09-18 08:14 EDT</t>
  </si>
  <si>
    <t>2007-09-19 05:44:15 EDT</t>
  </si>
  <si>
    <t>2019-03-21 12:28:30 EDT</t>
  </si>
  <si>
    <t>[('CREATED', '2007-09-18 08:14 EDT'), ('markus_keller', '2007-09-19 05:44:15 EDT', 'markus.kell.r'), ('markus_keller', '2007-09-19 05:44:15 EDT', 'markus.kell.r'), ('3.4 M3', '2007-09-19 05:44:15 EDT', 'markus.kell.r'), ('3.4 M4', '2007-10-26 09:34:13 EDT', 'markus.kell.r'), ('3.4 M5', '2007-12-11 13:27:06 EST', 'markus.kell.r'), (nan, '2008-02-04 13:22:34 EST', 'markus.kell.r'), ('ASSIGNED', '2008-02-04 13:22:34 EST', 'markus.kell.r'), ('3.4 M6', '2008-02-04 13:22:34 EST', 'markus.kell.r'), ('3.4 M7', '2008-03-18 13:07:55 EDT', 'markus.kell.r'), ('3.4 RC1', '2008-04-25 10:57:41 EDT', 'markus.kell.r'), ('martin_aeschlimann', '2008-05-16 04:38:12 EDT', 'martinae'), ('martin_aeschlimann', '2008-05-16 04:38:12 EDT', 'martinae'), ('NEW', '2008-05-16 04:38:12 EDT', 'martinae'), ('3.4 RC2', '2008-05-16 04:38:12 EDT', 'martinae'), ('---', '2008-05-21 05:53:39 EDT', 'martinae'), ('[refactoring scripts] Importing exported refactoring scripts fails', '2008-07-07 05:55:09 EDT', 'martinae'), ('jdt-ui-inbox', '2009-01-23 11:09:37 EST', 'daniel_megert'), ('ASSIGNED', '2009-01-23 11:22:41 EST', 'daniel_megert'), ('stalebug', '2019-03-21 02:26:17 EDT', 'genie'), (nan, '2019-03-21 12:28:30 EDT', 'daniel_megert')]</t>
  </si>
  <si>
    <t>2007-10-08 07:13:33 EDT</t>
  </si>
  <si>
    <t>2008-01-24 04:51:33 EST</t>
  </si>
  <si>
    <t>2007-09-24 10:13 EDT</t>
  </si>
  <si>
    <t>2007-10-02 12:35:10 EDT</t>
  </si>
  <si>
    <t>[('CREATED', '2007-09-24 10:13 EDT'), ('martin_aeschlimann', '2007-10-02 12:35:10 EDT', 'martinae'), ("[pull up] NPE in PullUp Refactoring when selecting 'Add Required'", '2007-10-02 12:35:10 EDT', 'martinae'), ('3.4', '2007-10-02 12:35:10 EDT', 'martinae'), ('martin_aeschlimann', '2007-10-04 06:53:48 EDT', 'martinae'), ('3.3.2', '2007-10-04 06:54:40 EDT', 'martinae'), ('RESOLVED', '2007-10-08 07:13:33 EDT', 'martinae'), ('FIXED', '2007-10-08 07:13:33 EDT', 'martinae'), ('pmc_approved?(philippe_mulet)', '2007-11-14 11:41:21 EST', 'martinae'), ('philippe_mulet', '2007-11-16 09:16:59 EST', 'philippe_mulet'), ('pmc_approved+', '2007-11-16 09:16:59 EST', 'philippe_mulet'), ('VERIFIED', '2008-01-24 04:51:33 EST', 'benno.baumgartner')]</t>
  </si>
  <si>
    <t>CLOSED  DUPLICATE  of bug 83329</t>
  </si>
  <si>
    <t>2013-07-23 08:19:47 EDT</t>
  </si>
  <si>
    <t>2007-09-25 07:11 EDT</t>
  </si>
  <si>
    <t>2007-09-25 09:13:02 EDT</t>
  </si>
  <si>
    <t>[('CREATED', '2007-09-25 07:11 EDT'), ('martin_aeschlimann', '2007-09-25 09:13:02 EDT', 'martinae'), ('markus_keller', '2007-09-25 09:13:02 EDT', 'martinae'), ('minor', '2007-09-25 09:13:02 EDT', 'martinae'), ('[inline] Inline Method - checkFinalConditions too strict', '2007-09-25 09:13:02 EDT', 'martinae'), ('DUPLICATE', '2013-07-23 08:19:47 EDT', 'markus.kell.r'), ('CLOSED', '2013-07-23 08:19:47 EDT', 'markus.kell.r')]</t>
  </si>
  <si>
    <t>2007-09-26 09:22:12 EDT</t>
  </si>
  <si>
    <t>2007-10-02 06:14:23 EDT</t>
  </si>
  <si>
    <t>2007-09-26 00:48 EDT</t>
  </si>
  <si>
    <t>2007-09-26 00:49:18 EDT</t>
  </si>
  <si>
    <t>[('CREATED', '2007-09-26 00:48 EDT'), ('tochenliqun', '2007-09-26 00:49:18 EDT', 'eclipse_xu'), ('RESOLVED', '2007-09-26 09:22:12 EDT', 'martinae'), ('FIXED', '2007-09-26 09:22:12 EDT', 'martinae'), ('[change method signature] Logical error in restoreSelection of ChangeParametersControl', '2007-09-26 09:22:12 EDT', 'martinae'), ('3.4 M3', '2007-09-26 09:22:12 EDT', 'martinae'), ('martin_aeschlimann, markus_keller', '2007-09-26 09:22:12 EDT', 'martinae'), ('VERIFIED', '2007-10-02 06:14:23 EDT', 'markus.kell.r')]</t>
  </si>
  <si>
    <t>2007-09-28 09:31:37 EDT</t>
  </si>
  <si>
    <t>2007-09-27 19:02 EDT</t>
  </si>
  <si>
    <t>[('CREATED', '2007-09-27 19:02 EDT'), ('[refactoring] Rename Field dialog incorrect syntax highlighting of Javadocs', '2007-09-28 09:31:37 EDT', 'martinae'), ('martin_aeschlimann', '2007-09-28 09:31:37 EDT', 'martinae'), ('RESOLVED', '2007-09-28 09:31:37 EDT', 'martinae'), ('WORKSFORME', '2007-09-28 09:31:37 EDT', 'martinae')]</t>
  </si>
  <si>
    <t>2007-09-28 16:18 EDT</t>
  </si>
  <si>
    <t>2007-10-01 04:26:22 EDT</t>
  </si>
  <si>
    <t>2008-11-29 13:41:07 EST</t>
  </si>
  <si>
    <t>[('CREATED', '2007-09-28 16:18 EDT'), ('martin_aeschlimann', '2007-10-01 04:26:22 EDT', 'martinae'), ('ASSIGNED', '2007-10-01 04:26:22 EDT', 'martinae'), ('helpwanted', '2007-10-01 04:26:22 EDT', 'martinae'), ('P5', '2007-10-01 04:26:22 EDT', 'martinae'), ('[convert anonymous] Convert Class to Top Level Type', '2007-10-01 04:26:22 EDT', 'martinae'), ('mn', '2008-11-29 13:41:07 EST', 'mn')]</t>
  </si>
  <si>
    <t>RESOLVED  DUPLICATE  of bug 205308</t>
  </si>
  <si>
    <t>2007-10-03 12:31:11 EDT</t>
  </si>
  <si>
    <t>2007-10-03 12:22 EDT</t>
  </si>
  <si>
    <t>[('CREATED', '2007-10-03 12:22 EDT'), ('RESOLVED', '2007-10-03 12:31:11 EDT', 'benno.baumgartner'), ('DUPLICATE', '2007-10-03 12:31:11 EDT', 'benno.baumgartner')]</t>
  </si>
  <si>
    <t>2007-10-08 06:59:00 EDT</t>
  </si>
  <si>
    <t>2008-01-24 05:31:03 EST</t>
  </si>
  <si>
    <t>2007-10-08 06:07 EDT</t>
  </si>
  <si>
    <t>2007-10-08 06:07:54 EDT</t>
  </si>
  <si>
    <t>[('CREATED', '2007-10-08 06:07 EDT'), ('3.3.2', '2007-10-08 06:07:54 EDT', 'martinae'), ('RESOLVED', '2007-10-08 06:59:00 EDT', 'martinae'), ('FIXED', '2007-10-08 06:59:00 EDT', 'martinae'), ('pmc_approved?(philippe_mulet)', '2007-11-14 11:39:15 EST', 'martinae'), ('philippe_mulet', '2007-11-15 11:18:18 EST', 'philippe_mulet'), ('pmc_approved+', '2007-11-15 11:18:18 EST', 'philippe_mulet'), ('benno_baumgartner', '2008-01-24 05:23:18 EST', 'benno.baumgartner'), ('VERIFIED', '2008-01-24 05:31:03 EST', 'benno.baumgartner')]</t>
  </si>
  <si>
    <t>206064</t>
  </si>
  <si>
    <t>2007-10-10 12:48:45 EDT</t>
  </si>
  <si>
    <t>2007-10-09 08:03 EDT</t>
  </si>
  <si>
    <t>2007-10-09 08:04:02 EDT</t>
  </si>
  <si>
    <t>2007-10-11 12:47:23 EDT</t>
  </si>
  <si>
    <t>pwebster</t>
  </si>
  <si>
    <t>[('CREATED', '2007-10-09 08:03 EDT'), ('mdelder', '2007-10-09 08:04:02 EDT', 'martinae'), ('1', '2007-10-10 12:37:04 EDT', 'martinae'), ('RESOLVED', '2007-10-10 12:48:45 EDT', 'martinae'), ('FIXED', '2007-10-10 12:48:45 EDT', 'martinae'), ('3.4 M3', '2007-10-10 12:48:45 EDT', 'martinae'), ('206064', '2007-10-11 12:47:23 EDT', 'pwebster')]</t>
  </si>
  <si>
    <t>2007-10-10 12:54 EDT</t>
  </si>
  <si>
    <t>2007-10-11 02:27:50 EDT</t>
  </si>
  <si>
    <t>2019-06-29 02:09:01 EDT</t>
  </si>
  <si>
    <t>[('CREATED', '2007-10-10 12:54 EDT'), ('jdt-ui-inbox', '2007-10-11 02:27:50 EDT', 'jerome_lanneluc'), ('UI', '2007-10-11 02:27:50 EDT', 'jerome_lanneluc'), ('martin_aeschlimann', '2007-10-11 04:27:09 EDT', 'martinae'), ('[refactoring] Delete action invokes refactoring framework but does not show preview', '2007-10-11 04:27:09 EDT', 'martinae'), ('daniel_megert, markus_keller', '2008-08-25 07:23:27 EDT', 'markus.kell.r'), ('ASSIGNED', '2008-08-25 09:08:31 EDT', 'daniel_megert'), ('All', '2008-08-25 09:08:31 EDT', 'daniel_megert'), ('All', '2008-08-25 09:08:31 EDT', 'daniel_megert'), ('stalebug', '2019-06-29 02:09:01 EDT', 'genie')]</t>
  </si>
  <si>
    <t>RESOLVED  DUPLICATE  of bug 190188</t>
  </si>
  <si>
    <t>2007-10-12 07:12:34 EDT</t>
  </si>
  <si>
    <t>2007-10-11 06:59 EDT</t>
  </si>
  <si>
    <t>2007-10-11 06:59:26 EDT</t>
  </si>
  <si>
    <t>[('CREATED', '2007-10-11 06:59 EDT'), ('markus_keller', '2007-10-11 06:59:26 EDT', 'martinae'), ('3.4', '2007-10-11 06:59:59 EDT', 'martinae'), ('benno_baumgartner', '2007-10-12 07:12:34 EDT', 'benno.baumgartner'), ('RESOLVED', '2007-10-12 07:12:34 EDT', 'benno.baumgartner'), ('DUPLICATE', '2007-10-12 07:12:34 EDT', 'benno.baumgartner')]</t>
  </si>
  <si>
    <t>2007-11-01 12:57:29 EDT</t>
  </si>
  <si>
    <t>2007-10-11 07:18 EDT</t>
  </si>
  <si>
    <t>2007-10-11 07:18:47 EDT</t>
  </si>
  <si>
    <t>2008-04-17 12:07:20 EDT</t>
  </si>
  <si>
    <t>[('CREATED', '2007-10-11 07:18 EDT'), ('markus_keller', '2007-10-11 07:18:47 EDT', 'martinae'), ('3.4', '2007-10-11 07:18:47 EDT', 'martinae'), ('RESOLVED', '2007-11-01 12:57:29 EDT', 'markus.kell.r'), ('FIXED', '2007-11-01 12:57:29 EDT', 'markus.kell.r'), ('3.3 M4', '2007-11-01 12:57:29 EDT', 'markus.kell.r'), ('BrianMiller', '2008-02-06 10:32:06 EST', 'Brian.Miller'), ('3.4 M4', '2008-04-17 12:07:20 EDT', 'markus.kell.r')]</t>
  </si>
  <si>
    <t>206064 206604</t>
  </si>
  <si>
    <t>2007-10-18 11:24:39 EDT</t>
  </si>
  <si>
    <t>2007-10-18 10:51:57 EDT</t>
  </si>
  <si>
    <t>2007-10-11 13:52 EDT</t>
  </si>
  <si>
    <t>2007-10-11 17:08:02 EDT</t>
  </si>
  <si>
    <t>2007-11-02 10:52:36 EDT</t>
  </si>
  <si>
    <t>[('CREATED', '2007-10-11 13:52 EDT'), ('remy.suen', '2007-10-11 17:08:02 EDT', 'remy.suen'), ('1', '2007-10-12 15:12:31 EDT', 'pwebster'), ('1', '2007-10-15 15:21:57 EDT', 'pwebster'), ('1', '2007-10-16 09:42:50 EDT', 'pwebster'), ('206604', '2007-10-17 07:52:18 EDT', 'pwebster'), ('RESOLVED', '2007-10-17 08:54:39 EDT', 'martinae'), ('FIXED', '2007-10-17 08:54:39 EDT', 'martinae'), ('3.4 M3', '2007-10-17 08:54:39 EDT', 'martinae'), ('REOPENED', '2007-10-18 10:51:57 EDT', 'pwebster'), ('---', '2007-10-18 10:51:57 EDT', 'pwebster'), ('FIXED', '2007-10-18 11:24:39 EDT', 'pwebster'), ('RESOLVED', '2007-10-18 11:24:39 EDT', 'pwebster'), ('206064', '2007-11-02 10:52:36 EDT', 'martinae')]</t>
  </si>
  <si>
    <t>2007-10-15 10:30:55 EDT</t>
  </si>
  <si>
    <t>2007-10-12 11:38 EDT</t>
  </si>
  <si>
    <t>2007-10-15 10:30:41 EDT</t>
  </si>
  <si>
    <t>[('CREATED', '2007-10-12 11:38 EDT'), ('martin_aeschlimann', '2007-10-15 10:30:41 EDT', 'martinae'), ('3.4 M3', '2007-10-15 10:30:41 EDT', 'martinae'), ('RESOLVED', '2007-10-15 10:30:55 EDT', 'martinae'), ('FIXED', '2007-10-15 10:30:55 EDT', 'martinae'), ('206064', '2007-11-02 10:52:36 EDT', 'martinae')]</t>
  </si>
  <si>
    <t>CLOSED  DUPLICATE  of bug 160609</t>
  </si>
  <si>
    <t>2010-05-18 09:50:02 EDT</t>
  </si>
  <si>
    <t>2007-10-16 16:08 EDT</t>
  </si>
  <si>
    <t>2007-10-17 05:35:48 EDT</t>
  </si>
  <si>
    <t>[('CREATED', '2007-10-16 16:08 EDT'), ('martin_aeschlimann, markus_keller', '2007-10-17 05:35:48 EDT', 'martinae'), ('[rename] Exception when doing Java refactoring', '2007-10-17 05:35:48 EDT', 'martinae'), ('CLOSED', '2010-05-18 09:50:02 EDT', 'daniel_megert'), ('daniel_megert', '2010-05-18 09:50:02 EDT', 'daniel_megert'), ('DUPLICATE', '2010-05-18 09:50:02 EDT', 'daniel_megert')]</t>
  </si>
  <si>
    <t>206071</t>
  </si>
  <si>
    <t>2007-10-18 12:20:06 EDT</t>
  </si>
  <si>
    <t>2007-10-17 07:52 EDT</t>
  </si>
  <si>
    <t>[('CREATED', '2007-10-17 07:52 EDT'), ('FIXED', '2007-10-18 12:20:06 EDT', 'martinae'), ('3.4 M3', '2007-10-18 12:20:06 EDT', 'martinae'), ('RESOLVED', '2007-10-18 12:20:06 EDT', 'martinae')]</t>
  </si>
  <si>
    <t>2020-03-05 17:34:48 EST</t>
  </si>
  <si>
    <t>2007-10-18 10:55 EDT</t>
  </si>
  <si>
    <t>2007-10-18 11:07:19 EDT</t>
  </si>
  <si>
    <t>[('CREATED', '2007-10-18 10:55 EDT'), ('jdt-ui-inbox', '2007-10-18 11:07:19 EDT', 'jerome_lanneluc'), ('UI', '2007-10-18 11:07:19 EDT', 'jerome_lanneluc'), ('3.3.1', '2007-10-19 07:03:25 EDT', 'karsten.silz'), ('markus_keller', '2007-10-19 07:55:09 EDT', 'martinae'), ('[change method signature] incorrect visibility after changing base class', '2007-10-19 07:55:09 EDT', 'martinae'), ('martin_aeschlimann', '2007-10-19 07:55:09 EDT', 'martinae'), ('CLOSED', '2020-03-05 17:34:48 EST', 'genie'), ('stalebug', '2020-03-05 17:34:48 EST', 'genie'), ('WONTFIX', '2020-03-05 17:34:48 EST', 'genie')]</t>
  </si>
  <si>
    <t>2007-10-24 10:07:53 EDT</t>
  </si>
  <si>
    <t>2007-10-23 11:51 EDT</t>
  </si>
  <si>
    <t>2007-10-24 10:07:36 EDT</t>
  </si>
  <si>
    <t>[('CREATED', '2007-10-23 11:51 EDT'), ('[name guessing] Refactor "Extract local variable" for parameter value should suggest the name of the parameter for the local variable', '2007-10-24 10:07:36 EDT', 'martinae'), ('3.4 M3', '2007-10-24 10:07:36 EDT', 'martinae'), ('martin_aeschlimann', '2007-10-24 10:07:36 EDT', 'martinae'), ('martin_aeschlimann', '2007-10-24 10:07:53 EDT', 'martinae'), ('RESOLVED', '2007-10-24 10:07:53 EDT', 'martinae'), ('FIXED', '2007-10-24 10:07:53 EDT', 'martinae'), ('markus_keller', '2007-10-24 10:43:53 EDT', 'martinae')]</t>
  </si>
  <si>
    <t>2007-10-24 07:08:40 EDT</t>
  </si>
  <si>
    <t>2007-10-24 04:28 EDT</t>
  </si>
  <si>
    <t>2007-10-24 06:42:05 EDT</t>
  </si>
  <si>
    <t>[('CREATED', '2007-10-24 04:28 EDT'), ('daniel_megert', '2007-10-24 06:42:05 EDT', 'daniel_megert'), ('RESOLVED', '2007-10-24 07:08:40 EDT', 'martinae'), ('FIXED', '2007-10-24 07:08:40 EDT', 'martinae'), ('3.4 M3', '2007-10-24 07:08:40 EDT', 'martinae')]</t>
  </si>
  <si>
    <t>2007-10-26 04:36:06 EDT</t>
  </si>
  <si>
    <t>2007-10-25 14:13 EDT</t>
  </si>
  <si>
    <t>2007-10-26 02:49:32 EDT</t>
  </si>
  <si>
    <t>[('CREATED', '2007-10-25 14:13 EDT'), ('daniel_megert', '2007-10-26 02:49:32 EDT', 'daniel_megert'), ('jdt-ui-inbox', '2007-10-26 02:49:32 EDT', 'daniel_megert'), ('UI', '2007-10-26 02:49:32 EDT', 'daniel_megert'), ('JDT', '2007-10-26 02:49:32 EDT', 'daniel_megert'), ('martin_aeschlimann', '2007-10-26 04:18:59 EDT', 'martinae'), ('martin_aeschlimann', '2007-10-26 04:18:59 EDT', 'martinae'), ('[move member type] Moving enum from one class to another adds public modifier', '2007-10-26 04:18:59 EDT', 'martinae'), ('RESOLVED', '2007-10-26 04:36:06 EDT', 'martinae'), ('FIXED', '2007-10-26 04:36:06 EDT', 'martinae')]</t>
  </si>
  <si>
    <t>2007-10-29 04:44:40 EDT</t>
  </si>
  <si>
    <t>2007-10-26 11:07 EDT</t>
  </si>
  <si>
    <t>[('CREATED', '2007-10-26 11:07 EDT'), ('RESOLVED', '2007-10-29 04:44:40 EDT', 'martinae'), ('WONTFIX', '2007-10-29 04:44:40 EDT', 'martinae'), ('[extract constant] Extract constant should update NLS comments', '2007-10-29 04:44:40 EDT', 'martinae'), ('martin_aeschlimann', '2007-10-29 04:44:40 EDT', 'martinae')]</t>
  </si>
  <si>
    <t>2007-10-31 04:28 EDT</t>
  </si>
  <si>
    <t>2007-10-31 04:48:36 EDT</t>
  </si>
  <si>
    <t>2007-10-31 07:38:33 EDT</t>
  </si>
  <si>
    <t>[('CREATED', '2007-10-31 04:28 EDT'), ('jdt-ui-inbox', '2007-10-31 04:48:36 EDT', 'frederic_fusier'), ('UI', '2007-10-31 04:48:36 EDT', 'frederic_fusier'), ('ASSIGNED', '2007-10-31 07:38:33 EDT', 'martinae'), ('[move] warn for class and package collissions', '2007-10-31 07:38:33 EDT', 'martinae'), ('martin_aeschlimann', '2007-10-31 07:38:33 EDT', 'martinae'), ('enhancement', '2007-10-31 07:38:33 EDT', 'martinae')]</t>
  </si>
  <si>
    <t>2007-11-19 09:30:22 EST</t>
  </si>
  <si>
    <t>2007-11-02 06:44 EDT</t>
  </si>
  <si>
    <t>[('CREATED', '2007-11-02 06:44 EDT'), ('martin_aeschlimann', '2007-11-19 09:30:22 EST', 'martinae'), ('RESOLVED', '2007-11-19 09:30:22 EST', 'martinae'), ('DUPLICATE', '2007-11-19 09:30:22 EST', 'martinae')]</t>
  </si>
  <si>
    <t>208683 (view as bug list)</t>
  </si>
  <si>
    <t>2007-11-07 04:29:22 EST</t>
  </si>
  <si>
    <t>2007-11-06 22:14 EST</t>
  </si>
  <si>
    <t>2007-11-07 06:49:34 EST</t>
  </si>
  <si>
    <t>remy.suen</t>
  </si>
  <si>
    <t>[('CREATED', '2007-11-06 22:14 EST'), ("[ltk] the 'delete resource' dialog is not keyboard friendly.", '2007-11-07 04:29:22 EST', 'martinae'), ('3.4 M4', '2007-11-07 04:29:22 EST', 'martinae'), ('martin_aeschlimann', '2007-11-07 04:29:22 EST', 'martinae'), ('RESOLVED', '2007-11-07 04:29:22 EST', 'martinae'), ('FIXED', '2007-11-07 04:29:22 EST', 'martinae'), ('remy.suen', '2007-11-07 06:49:34 EST', 'remy.suen')]</t>
  </si>
  <si>
    <t>RESOLVED  DUPLICATE  of bug 194997</t>
  </si>
  <si>
    <t>2007-11-12 12:26:59 EST</t>
  </si>
  <si>
    <t>2007-11-09 04:42 EST</t>
  </si>
  <si>
    <t>[('CREATED', '2007-11-09 04:42 EST'), ('martin_aeschlimann', '2007-11-12 12:26:59 EST', 'martinae'), ('RESOLVED', '2007-11-12 12:26:59 EST', 'martinae'), ('DUPLICATE', '2007-11-12 12:26:59 EST', 'martinae')]</t>
  </si>
  <si>
    <t>2008-01-07 08:30:14 EST</t>
  </si>
  <si>
    <t>2008-01-24 06:12:30 EST</t>
  </si>
  <si>
    <t>2007-11-12 09:58 EST</t>
  </si>
  <si>
    <t>2007-11-12 10:13:57 EST</t>
  </si>
  <si>
    <t>[('CREATED', '2007-11-12 09:58 EST'), ('markus_keller', '2007-11-12 10:13:57 EST', 'martinae'), ('martin_aeschlimann', '2007-11-12 10:13:57 EST', 'martinae'), ('ASSIGNED', '2007-11-13 05:44:15 EST', 'markus.kell.r'), ('3.3.2', '2007-11-13 05:44:15 EST', 'markus.kell.r'), ('pmc_approved?(philippe_mulet)', '2007-11-14 11:38:11 EST', 'martinae'), ('philippe_mulet', '2007-11-14 12:54:45 EST', 'philippe_mulet'), ('pmc_approved+', '2007-11-14 12:54:45 EST', 'philippe_mulet'), ('RESOLVED', '2008-01-07 08:30:14 EST', 'markus.kell.r'), ('FIXED', '2008-01-07 08:30:14 EST', 'markus.kell.r'), ('daniel_megert', '2008-01-24 06:04:36 EST', 'daniel_megert'), ('VERIFIED', '2008-01-24 06:12:30 EST', 'daniel_megert')]</t>
  </si>
  <si>
    <t>2007-11-13 04:36:18 EST</t>
  </si>
  <si>
    <t>2007-11-12 17:53 EST</t>
  </si>
  <si>
    <t>2007-11-12 18:00:52 EST</t>
  </si>
  <si>
    <t>[('CREATED', '2007-11-12 17:53 EST'), ('Olivier_Thomann', '2007-11-12 18:00:52 EST', 'Olivier_Thomann'), ('jdt-ui-inbox', '2007-11-12 18:00:52 EST', 'Olivier_Thomann'), ('UI', '2007-11-12 18:00:52 EST', 'Olivier_Thomann'), ('martin_aeschlimann', '2007-11-13 04:36:18 EST', 'martinae'), ('RESOLVED', '2007-11-13 04:36:18 EST', 'martinae'), ('WORKSFORME', '2007-11-13 04:36:18 EST', 'martinae'), ('[rename] Reinstate the rename dialog', '2007-11-13 04:36:18 EST', 'martinae')]</t>
  </si>
  <si>
    <t>2007-11-13 06:04 EST</t>
  </si>
  <si>
    <t>2007-11-13 12:27:45 EST</t>
  </si>
  <si>
    <t>2007-11-13 12:42:43 EST</t>
  </si>
  <si>
    <t>[('CREATED', '2007-11-13 06:04 EST'), ('JDT', '2007-11-13 12:27:45 EST', 'Tod_Creasey'), ('jdt-ui-inbox', '2007-11-13 12:27:45 EST', 'Tod_Creasey'), ('UI', '2007-11-13 12:27:45 EST', 'Tod_Creasey'), ('[ltk] [refactoring] "Next Change" should offer going to next element.', '2007-11-13 12:42:43 EST', 'martinae')]</t>
  </si>
  <si>
    <t>2007-11-15 06:48:01 EST</t>
  </si>
  <si>
    <t>2007-11-14 15:11 EST</t>
  </si>
  <si>
    <t>2007-11-15 04:39:11 EST</t>
  </si>
  <si>
    <t>[('CREATED', '2007-11-14 15:11 EST'), ('daniel_megert', '2007-11-15 04:39:11 EST', 'daniel_megert'), ('martin_aeschlimann', '2007-11-15 05:22:31 EST', 'martinae'), ('markus_keller', '2007-11-15 05:22:31 EST', 'martinae'), ('[rename] Rename refactoring dead end', '2007-11-15 05:22:31 EST', 'martinae'), ('ASSIGNED', '2007-11-15 05:45:01 EST', 'markus.kell.r'), ('3.4 M4', '2007-11-15 05:45:01 EST', 'markus.kell.r'), ('RESOLVED', '2007-11-15 06:48:01 EST', 'markus.kell.r'), ('FIXED', '2007-11-15 06:48:01 EST', 'markus.kell.r'), ('[rename] Rename refactoring dead end with unsaved .java file', '2007-11-15 06:48:01 EST', 'markus.kell.r')]</t>
  </si>
  <si>
    <t>2008-05-15 09:45:52 EDT</t>
  </si>
  <si>
    <t>2008-05-20 03:26:46 EDT</t>
  </si>
  <si>
    <t>2007-11-15 08:46 EST</t>
  </si>
  <si>
    <t>2007-11-15 09:19:53 EST</t>
  </si>
  <si>
    <t>[('CREATED', '2007-11-15 08:46 EST'), ('martin_aeschlimann', '2007-11-15 09:19:53 EST', 'martinae'), ('[push down] NPE in push down refactoring operation', '2007-11-15 09:20:47 EST', 'martinae'), ('3.4', '2007-11-15 09:20:47 EST', 'martinae'), ('ASSIGNED', '2008-05-15 07:17:47 EDT', 'martinae'), ('martin_aeschlimann', '2008-05-15 07:17:47 EDT', 'martinae'), ('benno_baumgartner', '2008-05-15 07:19:35 EDT', 'martinae'), ('3.4 RC1', '2008-05-15 07:19:35 EDT', 'martinae'), ('review?(benno_baumgartner)', '2008-05-15 07:19:35 EDT', 'martinae'), ('review+', '2008-05-15 09:14:26 EDT', 'benno.baumgartner'), ('RESOLVED', '2008-05-15 09:45:52 EDT', 'martinae'), ('FIXED', '2008-05-15 09:45:52 EDT', 'martinae'), ('daniel_megert', '2008-05-20 03:23:18 EDT', 'daniel_megert'), ('VERIFIED', '2008-05-20 03:26:46 EDT', 'daniel_megert')]</t>
  </si>
  <si>
    <t>2020-01-24 17:04:15 EST</t>
  </si>
  <si>
    <t>2020-02-18 14:38:39 EST</t>
  </si>
  <si>
    <t>2007-11-15 14:48 EST</t>
  </si>
  <si>
    <t>2007-11-16 03:29:41 EST</t>
  </si>
  <si>
    <t>[('CREATED', '2007-11-15 14:48 EST'), ('[move] Import to own package not removed', '2007-11-16 03:29:41 EST', 'martinae'), ('martin_aeschlimann', '2007-11-16 03:29:41 EST', 'martinae'), ('jjohnstn', '2020-01-24 13:41:22 EST', 'jjohnstn'), ('jjohnstn', '2020-01-24 13:41:22 EST', 'jjohnstn'), ('4.15 M3', '2020-01-24 13:41:30 EST', 'jjohnstn'), ('https://git.eclipse.org/r/156541', '2020-01-24 14:31:46 EST', 'genie'), ('https://git.eclipse.org/c/jdt/eclipse.jdt.ui.git/commit/?id=85f8be37a89f1e7ca4549d52de700d2874e7d1a4', '2020-01-24 17:03:10 EST', 'genie'), ('FIXED', '2020-01-24 17:04:15 EST', 'jjohnstn'), ('RESOLVED', '2020-01-24 17:04:15 EST', 'jjohnstn'), ('jjohnstn', '2020-01-24 17:04:15 EST', 'jjohnstn'), ('VERIFIED', '2020-02-18 14:38:39 EST', 'jjohnstn')]</t>
  </si>
  <si>
    <t>2008-05-15 11:40:04 EDT</t>
  </si>
  <si>
    <t>2007-11-16 16:26 EST</t>
  </si>
  <si>
    <t>2007-11-16 17:47:49 EST</t>
  </si>
  <si>
    <t>[('CREATED', '2007-11-16 16:26 EST'), ('jdt-ui-inbox', '2007-11-16 17:47:49 EST', 'frederic_fusier'), ('UI', '2007-11-16 17:47:49 EST', 'frederic_fusier'), ('3.4', '2007-11-19 04:25:42 EST', 'martinae'), ('martin_aeschlimann', '2007-11-19 04:25:42 EST', 'martinae'), ('[refactoring scripts] Refactoring script moving files between projects produces exception', '2007-11-19 04:25:42 EST', 'martinae'), ('markus_keller', '2007-11-19 09:24:49 EST', 'martinae'), ('markus_keller', '2008-05-15 11:07:18 EDT', 'markus.kell.r'), ('3.5', '2008-05-15 11:07:18 EDT', 'markus.kell.r'), ('RESOLVED', '2008-05-15 11:40:04 EDT', 'martinae'), ('FIXED', '2008-05-15 11:40:04 EDT', 'martinae'), ('3.4', '2008-05-15 11:40:04 EDT', 'martinae')]</t>
  </si>
  <si>
    <t>2007-11-16 19:30 EST</t>
  </si>
  <si>
    <t>2007-11-19 09:18:48 EST</t>
  </si>
  <si>
    <t>2019-10-29 18:36:16 EDT</t>
  </si>
  <si>
    <t>[('CREATED', '2007-11-16 19:30 EST'), ('UI', '2007-11-19 09:18:48 EST', 'daniel_megert'), ('[quick fix] Self-recursive function: parameter suggestion should first suggest same var as in function declaration', '2007-11-19 09:18:48 EST', 'daniel_megert'), ('daniel_megert', '2007-11-19 09:18:48 EST', 'daniel_megert'), ('jdt-ui-inbox', '2007-11-19 09:18:48 EST', 'daniel_megert'), ('minor', '2007-11-19 09:18:48 EST', 'daniel_megert'), ('stalebug', '2019-10-29 18:36:16 EDT', 'genie')]</t>
  </si>
  <si>
    <t>2007-11-22 03:57:33 EST</t>
  </si>
  <si>
    <t>2007-11-21 18:07 EST</t>
  </si>
  <si>
    <t>2007-11-22 09:43:49 EST</t>
  </si>
  <si>
    <t>[('CREATED', '2007-11-21 18:07 EST'), ('martin_aeschlimann', '2007-11-22 03:57:33 EST', 'martinae'), ('RESOLVED', '2007-11-22 03:57:33 EST', 'martinae'), ('WORKSFORME', '2007-11-22 03:57:33 EST', 'martinae'), ('[actions] Source/Refactoring menu items are failing silently in read-only files', '2007-11-22 03:57:33 EST', 'martinae'), ('daniel_megert', '2007-11-22 09:43:49 EST', 'daniel_megert')]</t>
  </si>
  <si>
    <t>2007-11-29 13:40:59 EST</t>
  </si>
  <si>
    <t>2007-11-26 13:21 EST</t>
  </si>
  <si>
    <t>2007-11-27 04:48:55 EST</t>
  </si>
  <si>
    <t>[('CREATED', '2007-11-26 13:21 EST'), ('jdt-ui-inbox', '2007-11-27 04:48:55 EST', 'jerome_lanneluc'), ('UI', '2007-11-27 04:48:55 EST', 'jerome_lanneluc'), ('[reorg] validateEdit is not called when overriding files with copy action', '2007-11-29 06:53:59 EST', 'martinae'), ('martin_aeschlimann', '2007-11-29 06:53:59 EST', 'martinae'), ('martin_aeschlimann', '2007-11-29 13:38:57 EST', 'martinae'), ('3.4 M4', '2007-11-29 13:38:57 EST', 'martinae'), ('RESOLVED', '2007-11-29 13:40:59 EST', 'martinae'), ('FIXED', '2007-11-29 13:40:59 EST', 'martinae')]</t>
  </si>
  <si>
    <t>190508 216661 (view as bug list)</t>
  </si>
  <si>
    <t>234619</t>
  </si>
  <si>
    <t>2008-05-29 11:15:06 EDT</t>
  </si>
  <si>
    <t>2008-05-30 03:02:58 EDT</t>
  </si>
  <si>
    <t>2007-11-27 04:32 EST</t>
  </si>
  <si>
    <t>2007-11-27 04:53:32 EST</t>
  </si>
  <si>
    <t>[('CREATED', '2007-11-27 04:32 EST'), ('jdt-ui-inbox', '2007-11-27 04:53:32 EST', 'jerome_lanneluc'), ('UI', '2007-11-27 04:53:32 EST', 'jerome_lanneluc'), ('martin_aeschlimann', '2007-11-27 05:01:21 EST', 'martinae'), ('markus_keller', '2007-11-27 05:01:21 EST', 'martinae'), ('daniel_megert', '2008-01-28 04:48:22 EST', 'daniel_megert'), ('major', '2008-01-28 04:48:22 EST', 'daniel_megert'), ('3.4', '2008-01-28 04:48:22 EST', 'daniel_megert'), ('tacpub', '2008-01-28 04:48:30 EST', 'daniel_megert'), ('acabler', '2008-01-28 04:48:43 EST', 'daniel_megert'), ('pebl', '2008-03-14 09:00:39 EDT', 'peblpebl'), ('3.4 RC1', '2008-05-02 10:50:57 EDT', 'martinae'), ('3.4 candidate', '2008-05-16 04:41:49 EDT', 'martinae'), ('3.5', '2008-05-16 04:41:49 EDT', 'martinae'), ('ASSIGNED', '2008-05-28 08:59:04 EDT', 'markus.kell.r'), ('review?(martin_aeschlimann)', '2008-05-28 08:59:04 EDT', 'markus.kell.r'), ('1', '2008-05-29 08:56:14 EDT', 'markus.kell.r'), ('1', '2008-05-29 09:46:44 EDT', 'markus.kell.r'), ('234619', '2008-05-29 09:47:03 EDT', 'markus.kell.r'), ('benno_baumgartner', '2008-05-29 10:10:35 EDT', 'martinae'), (nan, '2008-05-29 10:10:35 EDT', 'martinae'), ('3.4 RC3', '2008-05-29 10:10:35 EDT', 'martinae'), ('review+, review?(benno_baumgartner)', '2008-05-29 10:10:35 EDT', 'martinae'), ('review+', '2008-05-29 11:07:03 EDT', 'benno.baumgartner'), ('FIXED', '2008-05-29 11:15:06 EDT', 'markus.kell.r'), ('RESOLVED', '2008-05-29 11:15:06 EDT', 'markus.kell.r'), ('VERIFIED', '2008-05-30 03:02:58 EDT', 'daniel_megert')]</t>
  </si>
  <si>
    <t>RESOLVED  DUPLICATE  of bug 200580</t>
  </si>
  <si>
    <t>2007-11-30 04:42:46 EST</t>
  </si>
  <si>
    <t>2007-11-29 14:13 EST</t>
  </si>
  <si>
    <t>2007-11-29 14:14:30 EST</t>
  </si>
  <si>
    <t>[('CREATED', '2007-11-29 14:13 EST'), ('normal', '2007-11-29 14:14:30 EST', 'gubespam'), ('Olivier_Thomann', '2007-11-29 14:50:33 EST', 'Olivier_Thomann'), ('jdt-ui-inbox', '2007-11-29 14:50:33 EST', 'Olivier_Thomann'), ('UI', '2007-11-29 14:50:33 EST', 'Olivier_Thomann'), ('martin_aeschlimann', '2007-11-30 04:42:46 EST', 'martinae'), ('RESOLVED', '2007-11-30 04:42:46 EST', 'martinae'), ('DUPLICATE', '2007-11-30 04:42:46 EST', 'martinae'), ('[pull up] Refactor pull-up feature pulls up final modifier', '2007-11-30 04:42:46 EST', 'martinae')]</t>
  </si>
  <si>
    <t>106679 352446 377287 (view as bug list)</t>
  </si>
  <si>
    <t>2011-08-13 10:24:11 EDT</t>
  </si>
  <si>
    <t>2011-09-13 04:13:07 EDT</t>
  </si>
  <si>
    <t>2007-11-29 18:08 EST</t>
  </si>
  <si>
    <t>2007-11-30 02:24:42 EST</t>
  </si>
  <si>
    <t>2012-04-20 09:59:02 EDT</t>
  </si>
  <si>
    <t>[('CREATED', '2007-11-29 18:08 EST'), ('daniel_megert', '2007-11-30 02:24:42 EST', 'daniel_megert'), ('jdt-ui-inbox', '2007-11-30 02:24:42 EST', 'daniel_megert'), ('UI', '2007-11-30 02:24:42 EST', 'daniel_megert'), ('martin_aeschlimann', '2007-11-30 05:04:42 EST', 'martinae'), ('[extract constant] misses case statement expression', '2007-11-30 05:04:42 EST', 'martinae'), ('ankur_sharma', '2011-07-19 09:32:20 EDT', 'deepakazad'), ('deepak.azad', '2011-07-19 09:33:33 EDT', 'deepakazad'), ('deepak.azad', '2011-07-19 09:33:33 EDT', 'deepakazad'), ('bmiller', '2011-07-19 09:35:14 EDT', 'deepakazad'), ('markus_keller', '2011-08-13 10:11:09 EDT', 'deepakazad'), ('RESOLVED', '2011-08-13 10:24:11 EDT', 'deepakazad'), ('FIXED', '2011-08-13 10:24:11 EDT', 'deepakazad'), ('3.8 M2', '2011-08-13 10:24:11 EDT', 'deepakazad'), ('VERIFIED', '2011-09-13 04:13:07 EDT', 'raksha.vasisht'), ('raksha.vasisht', '2011-09-13 04:13:07 EDT', 'raksha.vasisht'), ('lukas.eder', '2012-04-20 09:59:02 EDT', 'deepakazad')]</t>
  </si>
  <si>
    <t>2007-12-06 03:51 EST</t>
  </si>
  <si>
    <t>2007-12-07 08:26:50 EST</t>
  </si>
  <si>
    <t>2020-07-15 13:51:29 EDT</t>
  </si>
  <si>
    <t>[('CREATED', '2007-12-06 03:51 EST'), ('martin_aeschlimann', '2007-12-07 08:26:50 EST', 'martinae'), ('[move member type] Incorrect computation of signature when using Inner class of Generis Type', '2007-12-07 08:26:50 EST', 'martinae'), ('stalebug', '2020-07-15 13:13:28 EDT', 'genie'), ('jjohnstn', '2020-07-15 13:51:29 EDT', 'jjohnstn')]</t>
  </si>
  <si>
    <t>2007-12-10 04:34:16 EST</t>
  </si>
  <si>
    <t>2007-12-07 08:54 EST</t>
  </si>
  <si>
    <t>2007-12-10 04:33:38 EST</t>
  </si>
  <si>
    <t>[('CREATED', '2007-12-07 08:54 EST'), ('benno_baumgartner', '2007-12-10 04:33:38 EST', 'benno.baumgartner'), ('benno_baumgartner', '2007-12-10 04:33:38 EST', 'benno.baumgartner'), ('trivial', '2007-12-10 04:33:38 EST', 'benno.baumgartner'), ('[dnd] NPE if selection of SelectionTransfer is null or not a StructuredSelection', '2007-12-10 04:33:38 EST', 'benno.baumgartner'), ('3.4 M4', '2007-12-10 04:33:38 EST', 'benno.baumgartner'), ('RESOLVED', '2007-12-10 04:34:16 EST', 'benno.baumgartner'), ('FIXED', '2007-12-10 04:34:16 EST', 'benno.baumgartner')]</t>
  </si>
  <si>
    <t>281199 (view as bug list)</t>
  </si>
  <si>
    <t>2008-01-30 12:30:22 EST</t>
  </si>
  <si>
    <t>2007-12-11 04:32 EST</t>
  </si>
  <si>
    <t>2007-12-11 07:54:12 EST</t>
  </si>
  <si>
    <t>2015-08-04 12:29:33 EDT</t>
  </si>
  <si>
    <t>[('CREATED', '2007-12-11 04:32 EST'), ('pwebster', '2007-12-11 07:54:12 EST', 'pwebster'), ('jdt-text-inbox', '2007-12-11 07:54:12 EST', 'pwebster'), ('Text', '2007-12-11 07:54:12 EST', 'pwebster'), ('JDT', '2007-12-11 07:54:12 EST', 'pwebster'), ('daniel_megert', '2007-12-11 08:45:34 EST', 'daniel_megert'), ('jdt-ui-inbox', '2007-12-11 08:45:34 EST', 'daniel_megert'), ('UI', '2007-12-11 08:45:34 EST', 'daniel_megert'), ('martin_aeschlimann', '2007-12-14 05:55:39 EST', 'martinae'), ('RESOLVED', '2008-01-30 12:30:22 EST', 'martinae'), ('WORKSFORME', '2008-01-30 12:30:22 EST', 'martinae'), ('benno.baumgartner', '2015-08-04 12:29:33 EDT', 'markus.kell.r')]</t>
  </si>
  <si>
    <t>2007-12-17 01:56 EST</t>
  </si>
  <si>
    <t>2007-12-17 04:42:24 EST</t>
  </si>
  <si>
    <t>2018-11-15 05:20:39 EST</t>
  </si>
  <si>
    <t>[('CREATED', '2007-12-17 01:56 EST'), ('martin_aeschlimann', '2007-12-17 04:42:24 EST', 'martinae'), ('markus_keller', '2007-12-17 04:42:24 EST', 'martinae'), ('[rename] Renaming a local variable does not check for hiding by field of anonymous class', '2007-12-17 04:42:24 EST', 'martinae'), ('stalebug', '2018-11-15 05:20:39 EST', 'genie')]</t>
  </si>
  <si>
    <t>2008-02-22 05:35:13 EST</t>
  </si>
  <si>
    <t>2007-12-20 15:37 EST</t>
  </si>
  <si>
    <t>2007-12-21 04:31:37 EST</t>
  </si>
  <si>
    <t>2008-02-22 06:13:22 EST</t>
  </si>
  <si>
    <t>[('CREATED', '2007-12-20 15:37 EST'), ('martin_aeschlimann', '2007-12-21 04:31:37 EST', 'martinae'), ('benno_baumgartner', '2007-12-21 04:31:37 EST', 'martinae'), ('daniel_megert', '2008-01-07 08:24:30 EST', 'daniel_megert'), ('[jar exporter] create ANT build file for current settings', '2008-01-07 08:24:30 EST', 'daniel_megert'), ('1', '2008-01-15 12:05:30 EST', 'ferenc.hechler'), ('1', '2008-01-17 10:16:55 EST', 'ferenc.hechler'), ('1', '2008-01-24 17:10:04 EST', 'ferenc.hechler'), ('1', '2008-01-24 17:35:28 EST', 'ferenc.hechler'), ('1', '2008-01-25 18:54:10 EST', 'ferenc.hechler'), ('1', '2008-01-28 14:20:20 EST', 'ferenc.hechler'), ('1', '2008-01-29 09:50:15 EST', 'benno.baumgartner'), ('3.4 M6', '2008-01-30 11:43:30 EST', 'benno.baumgartner'), ('philippe_mulet', '2008-02-05 12:45:42 EST', 'philippe_mulet'), ('RESOLVED', '2008-02-22 05:35:13 EST', 'benno.baumgartner'), ('FIXED', '2008-02-22 05:35:13 EST', 'benno.baumgartner'), ('contributed', '2008-02-22 06:13:22 EST', 'benno.baumgartner')]</t>
  </si>
  <si>
    <t>2007-12-29 08:35:46 EST</t>
  </si>
  <si>
    <t>2007-12-28 10:12 EST</t>
  </si>
  <si>
    <t>2007-12-28 19:05:29 EST</t>
  </si>
  <si>
    <t>2008-01-08 06:06:44 EST</t>
  </si>
  <si>
    <t>[('CREATED', '2007-12-28 10:12 EST'), ('Olivier_Thomann', '2007-12-28 19:05:29 EST', 'Olivier_Thomann'), ('jdt-ui-inbox', '2007-12-28 19:05:29 EST', 'Olivier_Thomann'), ('UI', '2007-12-28 19:05:29 EST', 'Olivier_Thomann'), ('daniel_megert', '2007-12-29 08:35:46 EST', 'daniel_megert'), ('RESOLVED', '2007-12-29 08:35:46 EST', 'daniel_megert'), ('INVALID', '2007-12-29 08:35:46 EST', 'daniel_megert'), ('[refactoring] Java class rename refactoring partly circumvents IFileBufferListeners', '2007-12-29 08:36:18 EST', 'daniel_megert'), ('markus_keller', '2008-01-07 09:53:33 EST', 'daniel_megert'), ('pending Markus', '2008-01-07 09:53:33 EST', 'daniel_megert'), ('jerome_lanneluc', '2008-01-07 11:36:57 EST', 'markus.kell.r'), (nan, '2008-01-08 06:06:44 EST', 'daniel_megert')]</t>
  </si>
  <si>
    <t>2020-04-23 00:52:59 EDT</t>
  </si>
  <si>
    <t>2007-12-30 16:14 EST</t>
  </si>
  <si>
    <t>2007-12-31 06:24:18 EST</t>
  </si>
  <si>
    <t>[('CREATED', '2007-12-30 16:14 EST'), ('UI', '2007-12-31 06:24:18 EST', 'frederic_fusier'), ('jdt-ui-inbox', '2007-12-31 06:24:18 EST', 'frederic_fusier'), ('[reorg] errors when deleting nested projects', '2008-01-07 12:57:16 EST', 'daniel_megert'), ('daniel_megert', '2008-01-08 09:23:26 EST', 'daniel_megert'), ('ASSIGNED', '2008-01-08 09:23:26 EST', 'daniel_megert'), ('WONTFIX', '2020-04-23 00:52:59 EDT', 'genie'), ('stalebug', '2020-04-23 00:52:59 EDT', 'genie'), ('CLOSED', '2020-04-23 00:52:59 EDT', 'genie')]</t>
  </si>
  <si>
    <t>2019-02-21 05:52:35 EST</t>
  </si>
  <si>
    <t>2007-12-31 19:09 EST</t>
  </si>
  <si>
    <t>2008-01-07 12:26:19 EST</t>
  </si>
  <si>
    <t>2019-02-21 05:52:45 EST</t>
  </si>
  <si>
    <t>[('CREATED', '2007-12-31 19:09 EST'), ('markus_keller', '2008-01-07 12:26:19 EST', 'daniel_megert'), ("[move static members] Can't move static member into nested enum.", '2008-01-07 12:26:19 EST', 'daniel_megert'), ('daniel_megert', '2008-01-07 12:26:19 EST', 'daniel_megert'), ('stalebug', '2019-02-20 19:21:11 EST', 'genie'), ('RESOLVED', '2019-02-21 05:52:35 EST', 'daniel_megert'), ('All', '2019-02-21 05:52:35 EST', 'daniel_megert'), ('WORKSFORME', '2019-02-21 05:52:35 EST', 'daniel_megert'), ('All', '2019-02-21 05:52:35 EST', 'daniel_megert'), (nan, '2019-02-21 05:52:35 EST', 'daniel_megert'), ('markus.kell.r', '2019-02-21 05:52:45 EST', 'daniel_megert'), ('jdt-ui-inbox', '2019-02-21 05:52:45 EST', 'daniel_megert')]</t>
  </si>
  <si>
    <t>2008-01-08 05:46:21 EST</t>
  </si>
  <si>
    <t>2008-01-08 03:34 EST</t>
  </si>
  <si>
    <t>[('CREATED', '2008-01-08 03:34 EST'), ('daniel_megert', '2008-01-08 05:46:21 EST', 'daniel_megert'), ('RESOLVED', '2008-01-08 05:46:21 EST', 'daniel_megert'), ('WONTFIX', '2008-01-08 05:46:21 EST', 'daniel_megert'), ('[JUnit][type wizards] Add option to creation unit tests automatically.', '2008-01-08 05:46:21 EST', 'daniel_megert')]</t>
  </si>
  <si>
    <t>RESOLVED  DUPLICATE  of bug 68902</t>
  </si>
  <si>
    <t>2008-01-21 05:40:28 EST</t>
  </si>
  <si>
    <t>2008-01-18 12:29 EST</t>
  </si>
  <si>
    <t>2008-01-18 12:29:21 EST</t>
  </si>
  <si>
    <t>[('CREATED', '2008-01-18 12:29 EST'), ('enhancement', '2008-01-18 12:29:21 EST', 'nikolaymetchev'), ('daniel_megert', '2008-01-21 05:36:47 EST', 'daniel_megert'), ('ASSIGNED', '2008-01-21 05:36:47 EST', 'daniel_megert'), ('All', '2008-01-21 05:36:47 EST', 'daniel_megert'), ('All', '2008-01-21 05:36:47 EST', 'daniel_megert'), ('[refactoring] add Change generic class Signature refactoring', '2008-01-21 05:36:47 EST', 'daniel_megert'), ('RESOLVED', '2008-01-21 05:40:28 EST', 'daniel_megert'), ('DUPLICATE', '2008-01-21 05:40:28 EST', 'daniel_megert')]</t>
  </si>
  <si>
    <t>2008-01-21 05:07 EST</t>
  </si>
  <si>
    <t>2008-01-21 06:24:06 EST</t>
  </si>
  <si>
    <t>2016-05-13 02:46:07 EDT</t>
  </si>
  <si>
    <t>peter</t>
  </si>
  <si>
    <t>[('CREATED', '2008-01-21 05:07 EST'), ('jdt-ui-inbox', '2008-01-21 06:24:06 EST', 'frederic_fusier'), ('UI', '2008-01-21 06:24:06 EST', 'frederic_fusier'), ('daniel_megert', '2008-01-21 06:38:58 EST', 'daniel_megert'), ('enhancement', '2008-01-21 06:38:58 EST', 'daniel_megert'), ('ASSIGNED', '2008-01-21 06:38:58 EST', 'daniel_megert'), ('[ltk] Missing API to access changed name proposal for refactoring [LTK]', '2008-01-21 06:38:58 EST', 'daniel_megert'), ('tamas.kis', '2008-01-22 03:51:02 EST', 'tamas.kis'), ('[ltk] Missing API to access changes/participants being in progress [LTK]', '2008-01-22 03:51:02 EST', 'tamas.kis'), ('peter', '2016-05-13 02:46:07 EDT', 'peter')]</t>
  </si>
  <si>
    <t>2010-04-01 11:16:10 EDT</t>
  </si>
  <si>
    <t>2008-01-25 14:56 EST</t>
  </si>
  <si>
    <t>2008-01-25 15:05:09 EST</t>
  </si>
  <si>
    <t>[('CREATED', '2008-01-25 14:56 EST'), ('Olivier_Thomann', '2008-01-25 15:05:09 EST', 'Olivier_Thomann'), ('jdt-ui-inbox', '2008-01-25 15:05:09 EST', 'Olivier_Thomann'), ('UI', '2008-01-25 15:05:09 EST', 'Olivier_Thomann'), ('daniel_megert', '2008-01-28 04:41:00 EST', 'daniel_megert'), ('markus_keller', '2008-01-28 04:41:00 EST', 'daniel_megert'), ('[infer type arguments] NullPointerException when inferring generic arguments', '2008-01-28 04:41:00 EST', 'daniel_megert'), ('3.4', '2008-01-28 04:44:25 EST', 'daniel_megert'), ('martin_aeschlimann', '2008-05-18 05:12:00 EDT', 'martinae'), ('3.4 candidate', '2008-05-18 05:12:00 EDT', 'martinae'), ('---', '2008-05-18 05:12:00 EDT', 'martinae'), ('ASSIGNED', '2008-08-13 06:30:44 EDT', 'daniel_megert'), (nan, '2008-08-13 06:30:44 EDT', 'daniel_megert'), ('3.5', '2008-08-13 06:30:44 EDT', 'daniel_megert'), ('3.4', '2008-08-13 06:30:44 EDT', 'daniel_megert'), ('b.muskalla', '2008-10-25 11:54:07 EDT', 'b.muskalla'), ('eclipse', '2009-02-21 16:48:58 EST', 'eclipse'), ('---', '2009-04-30 13:26:15 EDT', 'markus.kell.r'), ('fix candidate', '2010-04-01 02:39:39 EDT', 'daniel_megert'), ('RESOLVED', '2010-04-01 11:16:10 EDT', 'markus.kell.r'), ('FIXED', '2010-04-01 11:16:10 EDT', 'markus.kell.r'), ('3.6 M7', '2010-04-01 11:16:10 EDT', 'markus.kell.r'), (nan, '2010-04-01 11:16:10 EDT', 'markus.kell.r')]</t>
  </si>
  <si>
    <t>2008-01-28 04:48:30 EST</t>
  </si>
  <si>
    <t>2008-01-25 20:20 EST</t>
  </si>
  <si>
    <t>2008-01-28 04:49:14 EST</t>
  </si>
  <si>
    <t>[('CREATED', '2008-01-25 20:20 EST'), ('daniel_megert', '2008-01-28 04:48:30 EST', 'daniel_megert'), ('RESOLVED', '2008-01-28 04:48:30 EST', 'daniel_megert'), ('DUPLICATE', '2008-01-28 04:48:30 EST', 'daniel_megert'), ('[infer type arguments] UnsupportedOperationException in generics inference', '2008-01-28 04:49:14 EST', 'daniel_megert')]</t>
  </si>
  <si>
    <t>2008-01-30 13:39:48 EST</t>
  </si>
  <si>
    <t>2008-01-27 07:24 EST</t>
  </si>
  <si>
    <t>2008-01-27 09:15:20 EST</t>
  </si>
  <si>
    <t>[('CREATED', '2008-01-27 07:24 EST'), ('bugzilla', '2008-01-27 09:15:20 EST', 'bugzilla'), ('jdt-core-inbox', '2008-01-28 09:54:41 EST', 'pwebster'), ('Core', '2008-01-28 09:54:41 EST', 'pwebster'), ('JDT', '2008-01-28 09:54:41 EST', 'pwebster'), ('Olivier_Thomann', '2008-01-29 00:02:55 EST', 'Olivier_Thomann'), ('jdt-ui-inbox', '2008-01-29 00:02:55 EST', 'Olivier_Thomann'), ('UI', '2008-01-29 00:02:55 EST', 'Olivier_Thomann'), ('martin_aeschlimann', '2008-01-30 12:44:49 EST', 'martinae'), ('markus_keller', '2008-01-30 12:44:49 EST', 'martinae'), ('[rename] Eclipse complains about capitalization of final fields', '2008-01-30 12:44:49 EST', 'martinae'), ('WONTFIX', '2008-01-30 13:39:48 EST', 'markus.kell.r'), ('RESOLVED', '2008-01-30 13:39:48 EST', 'markus.kell.r')]</t>
  </si>
  <si>
    <t>283330 (view as bug list)</t>
  </si>
  <si>
    <t>2020-01-19 04:44:03 EST</t>
  </si>
  <si>
    <t>2008-01-28 19:41 EST</t>
  </si>
  <si>
    <t>2009-09-22 05:57:08 EDT</t>
  </si>
  <si>
    <t>[('CREATED', '2008-01-28 19:41 EST'), ('ASSIGNED', '2009-09-22 05:57:08 EDT', 'markus.kell.r'), ('markus_keller', '2009-09-22 05:57:08 EDT', 'markus.kell.r'), ('mauromol', '2009-11-05 04:15:42 EST', 'mauromol'), ('WONTFIX', '2020-01-19 04:44:03 EST', 'genie'), ('stalebug', '2020-01-19 04:44:03 EST', 'genie'), ('CLOSED', '2020-01-19 04:44:03 EST', 'genie')]</t>
  </si>
  <si>
    <t>89804</t>
  </si>
  <si>
    <t>2020-01-26 11:53:11 EST</t>
  </si>
  <si>
    <t>2008-01-30 12:30 EST</t>
  </si>
  <si>
    <t>2008-01-31 11:30:04 EST</t>
  </si>
  <si>
    <t>[('CREATED', '2008-01-30 12:30 EST'), ('[performance] Too many performance tests have only one measure', '2008-01-31 11:30:04 EST', 'martinae'), ('martin_aeschlimann', '2008-01-31 11:30:04 EST', 'martinae'), ('daniel_megert', '2008-08-13 07:03:54 EDT', 'daniel_megert'), ('ASSIGNED', '2008-08-13 07:03:54 EDT', 'daniel_megert'), ('3.5', '2008-08-13 07:03:54 EDT', 'daniel_megert'), ('markus_keller', '2009-03-31 09:11:33 EDT', 'daniel_megert'), ('NEW', '2009-03-31 09:11:33 EDT', 'daniel_megert'), ('3.5 M7', '2009-03-31 09:11:33 EDT', 'daniel_megert'), ('270824', '2009-04-01 13:04:37 EDT', 'frederic_fusier'), ('89804', '2009-04-06 12:09:38 EDT', 'markus.kell.r'), ('ASSIGNED', '2009-04-06 12:09:38 EDT', 'markus.kell.r'), (nan, '2009-04-16 04:42:33 EDT', 'markus.kell.r'), ('---', '2009-04-16 04:42:33 EDT', 'markus.kell.r'), ('stalebug', '2020-01-26 11:53:11 EST', 'genie'), ('CLOSED', '2020-01-26 11:53:11 EST', 'genie'), ('WONTFIX', '2020-01-26 11:53:11 EST', 'genie')]</t>
  </si>
  <si>
    <t>2008-02-01 08:33 EST</t>
  </si>
  <si>
    <t>2008-02-04 05:50:14 EST</t>
  </si>
  <si>
    <t>[('CREATED', '2008-02-01 08:33 EST'), ('ASSIGNED', '2008-02-04 05:50:14 EST', 'martinae'), ('helpwanted', '2008-02-04 05:50:14 EST', 'martinae'), ('[refactoring] [drc] automatically replace qualification with import', '2008-02-04 05:50:14 EST', 'martinae'), ('martin_aeschlimann', '2008-02-04 05:50:14 EST', 'martinae')]</t>
  </si>
  <si>
    <t>2008-02-07 11:18:10 EST</t>
  </si>
  <si>
    <t>2008-02-05 05:50 EST</t>
  </si>
  <si>
    <t>2008-02-05 06:32:52 EST</t>
  </si>
  <si>
    <t>[('CREATED', '2008-02-05 05:50 EST'), ('frederic_fusier', '2008-02-05 06:32:52 EST', 'frederic_fusier'), ('martin_aeschlimann', '2008-02-05 06:34:13 EST', 'martinae'), ('3.4 M5', '2008-02-05 06:34:13 EST', 'martinae'), ('[extract local] NPE when trying to extract local variable', '2008-02-06 03:35:37 EST', 'martinae'), ('3.4 M6', '2008-02-06 10:58:49 EST', 'martinae'), ('martin_aeschlimann', '2008-02-07 11:16:33 EST', 'martinae'), ('RESOLVED', '2008-02-07 11:18:10 EST', 'martinae'), ('FIXED', '2008-02-07 11:18:10 EST', 'martinae')]</t>
  </si>
  <si>
    <t>2008-02-06 03:40:23 EST</t>
  </si>
  <si>
    <t>2008-02-05 11:10 EST</t>
  </si>
  <si>
    <t>2008-02-05 11:13:52 EST</t>
  </si>
  <si>
    <t>[('CREATED', '2008-02-05 11:10 EST'), ('jdt-ui-inbox', '2008-02-05 11:13:52 EST', 'jerome_lanneluc'), ('UI', '2008-02-05 11:13:52 EST', 'jerome_lanneluc'), ('martin_aeschlimann', '2008-02-06 03:40:23 EST', 'martinae'), ('RESOLVED', '2008-02-06 03:40:23 EST', 'martinae'), ('DUPLICATE', '2008-02-06 03:40:23 EST', 'martinae'), ("[extract local] doesn't correctly extract variables from a loop", '2008-02-06 03:40:23 EST', 'martinae')]</t>
  </si>
  <si>
    <t>2008-05-15 10:05:34 EDT</t>
  </si>
  <si>
    <t>2008-05-19 10:49:59 EDT</t>
  </si>
  <si>
    <t>2008-02-06 18:59 EST</t>
  </si>
  <si>
    <t>2008-02-07 04:56:40 EST</t>
  </si>
  <si>
    <t>[('CREATED', '2008-02-06 18:59 EST'), ('martin_aeschlimann', '2008-02-07 04:56:40 EST', 'martinae'), ('[extract constant] Original literal not replaced when constant extracted within overriden enum.', '2008-02-07 04:56:40 EST', 'martinae'), ('3.4', '2008-02-07 04:56:40 EST', 'martinae'), ('review?(markus_keller)', '2008-05-15 06:42:32 EDT', 'martinae'), ('markus_keller', '2008-05-15 06:42:32 EDT', 'martinae'), ('martin_aeschlimann', '2008-05-15 06:42:49 EDT', 'martinae'), ('3.4 RC1', '2008-05-15 06:42:49 EDT', 'martinae'), ('1', '2008-05-15 06:44:35 EDT', 'martinae'), ('review+', '2008-05-15 09:16:42 EDT', 'markus.kell.r'), ('RESOLVED', '2008-05-15 10:05:34 EDT', 'martinae'), ('FIXED', '2008-05-15 10:05:34 EDT', 'martinae'), ('VERIFIED', '2008-05-19 10:49:59 EDT', 'martinae')]</t>
  </si>
  <si>
    <t>2020-02-13 16:52:06 EST</t>
  </si>
  <si>
    <t>2008-02-08 15:51 EST</t>
  </si>
  <si>
    <t>2008-02-08 15:57:56 EST</t>
  </si>
  <si>
    <t>[('CREATED', '2008-02-08 15:51 EST'), ('nospam', '2008-02-08 15:57:56 EST', 'nospam'), ('remy.suen', '2008-02-08 16:21:50 EST', 'remy.suen'), ('jdt-ui-inbox', '2008-02-11 04:03:43 EST', 'jerome_lanneluc'), ('UI', '2008-02-11 04:03:43 EST', 'jerome_lanneluc'), ('ASSIGNED', '2008-02-11 09:52:18 EST', 'martinae'), ('[convert local] reference to getClass() is updated wrong', '2008-02-11 09:52:18 EST', 'martinae'), ('martin_aeschlimann', '2008-02-11 09:52:18 EST', 'martinae'), ('CLOSED', '2020-02-13 16:52:06 EST', 'genie'), ('stalebug', '2020-02-13 16:52:06 EST', 'genie'), ('WONTFIX', '2020-02-13 16:52:06 EST', 'genie')]</t>
  </si>
  <si>
    <t>242252 (view as bug list)</t>
  </si>
  <si>
    <t>218500</t>
  </si>
  <si>
    <t>2008-07-15 04:02:54 EDT</t>
  </si>
  <si>
    <t>2008-02-09 23:41 EST</t>
  </si>
  <si>
    <t>2008-02-11 09:10:12 EST</t>
  </si>
  <si>
    <t>2008-07-28 18:24:32 EDT</t>
  </si>
  <si>
    <t>[('CREATED', '2008-02-09 23:41 EST'), ('martin_aeschlimann', '2008-02-11 09:10:12 EST', 'martinae'), ('218500', '2008-02-11 09:10:12 EST', 'martinae'), ('[extract method] ExtractTempWizard gives ArrayIndexOutOfBoundsException', '2008-02-11 09:10:12 EST', 'martinae'), ('Olivier_Thomann', '2008-07-14 15:04:17 EDT', 'Olivier_Thomann'), ('daniel_megert', '2008-07-15 04:02:32 EDT', 'daniel_megert'), ('[extract local] Extract Local gives ArrayIndexOutOfBoundsException', '2008-07-15 04:02:32 EDT', 'daniel_megert'), ('daniel_megert', '2008-07-15 04:02:32 EDT', 'daniel_megert'), ('RESOLVED', '2008-07-15 04:02:54 EDT', 'daniel_megert'), ('FIXED', '2008-07-15 04:02:54 EDT', 'daniel_megert'), ('markus_keller', '2008-07-28 18:24:32 EDT', 'markus.kell.r'), ('3.5 M1', '2008-07-28 18:24:32 EDT', 'markus.kell.r')]</t>
  </si>
  <si>
    <t>333226 355286 (view as bug list)</t>
  </si>
  <si>
    <t>2008-02-12 08:39 EST</t>
  </si>
  <si>
    <t>2008-02-12 08:41:13 EST</t>
  </si>
  <si>
    <t>2011-10-24 06:03:27 EDT</t>
  </si>
  <si>
    <t>[('CREATED', '2008-02-12 08:39 EST'), ('Olivier_Thomann', '2008-02-12 08:41:13 EST', 'Olivier_Thomann'), ('jdt-ui-inbox', '2008-02-12 08:41:13 EST', 'Olivier_Thomann'), ('UI', '2008-02-12 08:41:13 EST', 'Olivier_Thomann'), ('All', '2008-02-12 08:41:13 EST', 'Olivier_Thomann'), ('All', '2008-02-12 08:41:13 EST', 'Olivier_Thomann'), ('martin_aeschlimann', '2008-02-12 10:18:44 EST', 'martinae'), ('martin_aeschlimann', '2008-02-12 10:18:44 EST', 'martinae'), ('[quick assist] [dcr] move declaration outside of try-catch', '2008-02-12 10:18:44 EST', 'martinae'), ('jdt-ui-inbox', '2009-01-23 11:18:12 EST', 'daniel_megert'), ('ASSIGNED', '2009-01-23 11:36:27 EST', 'daniel_megert'), ('[quick assist] move declaration outside of try-catch', '2010-11-04 06:44:50 EDT', 'daniel_megert'), ('daniel_megert', '2010-11-04 06:44:50 EDT', 'daniel_megert'), ('deepak.azad', '2010-11-11 14:27:31 EST', 'deepakazad'), ('markus_keller', '2010-11-15 05:30:02 EST', 'markus.kell.r'), ('writetosethu', '2010-12-27 05:23:43 EST', 'deepakazad'), ('[quick assist] Split declaration and move declaration to immediate outer block', '2011-10-18 21:51:02 EDT', 'deepakazad'), ('samarjit.samanta', '2011-10-18 21:51:23 EDT', 'deepakazad'), ('fix candidate', '2011-10-24 06:03:27 EDT', 'markus.kell.r')]</t>
  </si>
  <si>
    <t>2008-02-25 06:41:18 EST</t>
  </si>
  <si>
    <t>2008-03-25 18:31:24 EDT</t>
  </si>
  <si>
    <t>2008-02-15 19:15 EST</t>
  </si>
  <si>
    <t>2008-02-15 22:36:50 EST</t>
  </si>
  <si>
    <t>[('CREATED', '2008-02-15 19:15 EST'), ('Olivier_Thomann', '2008-02-15 22:36:50 EST', 'Olivier_Thomann'), ('jdt-ui-inbox', '2008-02-15 22:36:50 EST', 'Olivier_Thomann'), ('UI', '2008-02-15 22:36:50 EST', 'Olivier_Thomann'), ('martin_aeschlimann', '2008-02-18 06:42:10 EST', 'martinae'), ('benno_baumgartner', '2008-02-18 06:42:10 EST', 'martinae'), ('[clean up] Source --&gt; Clean Up Removes Valid Code', '2008-02-18 06:42:10 EST', 'martinae'), ('[clean up] Remove static accesses through instances may remove code with side-effects', '2008-02-20 05:02:48 EST', 'benno.baumgartner'), ('3.4 M6', '2008-02-20 05:02:48 EST', 'benno.baumgartner'), ('1', '2008-02-25 06:39:26 EST', 'benno.baumgartner'), ('RESOLVED', '2008-02-25 06:41:18 EST', 'benno.baumgartner'), ('FIXED', '2008-02-25 06:41:18 EST', 'benno.baumgartner'), ('VERIFIED', '2008-03-25 18:31:24 EDT', 'martinae')]</t>
  </si>
  <si>
    <t>224732 237439 (view as bug list)</t>
  </si>
  <si>
    <t>2009-01-06 10:32:59 EST</t>
  </si>
  <si>
    <t>2008-02-19 20:31 EST</t>
  </si>
  <si>
    <t>2008-02-19 20:32:45 EST</t>
  </si>
  <si>
    <t>2009-06-01 10:16:19 EDT</t>
  </si>
  <si>
    <t>[('CREATED', '2008-02-19 20:31 EST'), ('1', '2008-02-19 20:32:45 EST', 'ferenc.hechler'), ('1', '2008-02-21 03:08:32 EST', 'ferenc.hechler'), ('1', '2008-02-21 03:10:35 EST', 'ferenc.hechler'), ('1', '2008-02-22 11:22:20 EST', 'ferenc.hechler'), ('1', '2008-02-22 11:23:19 EST', 'ferenc.hechler'), ('1', '2008-02-22 11:24:25 EST', 'ferenc.hechler'), ('1', '2008-02-22 11:25:42 EST', 'ferenc.hechler'), ('1', '2008-02-22 11:29:00 EST', 'ferenc.hechler'), ('1', '2008-02-22 16:48:01 EST', 'ferenc.hechler'), ('1', '2008-02-22 16:48:01 EST', 'ferenc.hechler'), ('1', '2008-02-23 09:48:53 EST', 'ferenc.hechler'), ('1', '2008-02-23 09:50:13 EST', 'ferenc.hechler'), ('1', '2008-02-23 10:06:48 EST', 'ferenc.hechler'), ('1', '2008-02-23 17:40:38 EST', 'ferenc.hechler'), ('1', '2008-03-13 12:21:24 EDT', 'ferenc.hechler'), ('3.5', '2008-03-18 06:36:45 EDT', 'benno.baumgartner'), ('david_fire4', '2008-06-27 09:07:26 EDT', 'benno.baumgartner'), ('[jar exporter] add Jar-in-Jar ClassLoader option', '2008-06-27 09:08:27 EDT', 'benno.baumgartner'), ('1', '2008-07-03 11:04:48 EDT', 'benno.baumgartner'), ('1', '2008-07-03 11:04:48 EDT', 'benno.baumgartner'), ('ferenc.hechler', '2008-07-03 13:58:10 EDT', 'ferenc.hechler'), ('daniel_megert', '2008-07-07 12:16:24 EDT', 'daniel_megert'), ('benno_baumgartner', '2008-07-07 12:16:24 EDT', 'daniel_megert'), ('1', '2008-07-18 18:14:53 EDT', 'ferenc.hechler'), ('1', '2008-07-22 15:40:15 EDT', 'ferenc.hechler'), ('1', '2008-07-28 12:56:30 EDT', 'ferenc.hechler'), ('rbiehn', '2008-07-28 12:59:00 EDT', 'ferenc.hechler'), ('1', '2008-07-29 05:24:28 EDT', 'ferenc.hechler'), ('1', '2008-08-03 17:25:15 EDT', 'ferenc.hechler'), ('1', '2008-08-04 14:08:19 EDT', 'ferenc.hechler'), ('1', '2008-08-05 06:19:30 EDT', 'ferenc.hechler'), ('1', '2008-08-18 16:38:33 EDT', 'ferenc.hechler'), ('1', '2008-08-19 03:37:54 EDT', 'ferenc.hechler'), ('1', '2008-08-19 14:07:49 EDT', 'ferenc.hechler'), ('1', '2008-08-22 10:07:30 EDT', 'ferenc.hechler'), ('1', '2008-08-22 10:10:28 EDT', 'ferenc.hechler'), ('1', '2008-08-22 17:43:50 EDT', 'ferenc.hechler'), ('1', '2008-08-25 02:48:41 EDT', 'ferenc.hechler'), ('mlists', '2008-08-27 09:20:56 EDT', 'mlists'), ('1', '2008-09-16 19:56:26 EDT', 'ferenc.hechler'), ('zx', '2008-10-09 18:17:22 EDT', 'caniszczyk'), ('3.5 M4', '2008-10-30 10:17:43 EDT', 'daniel_megert'), ('3.5 M5', '2008-12-09 11:52:30 EST', 'daniel_megert'), ('1', '2009-01-06 10:20:18 EST', 'benno.baumgartner'), ('1', '2009-01-06 10:20:18 EST', 'benno.baumgartner'), ('RESOLVED', '2009-01-06 10:32:59 EST', 'benno.baumgartner'), ('FIXED', '2009-01-06 10:32:59 EST', 'benno.baumgartner'), ('contributed', '2009-01-06 10:34:09 EST', 'benno.baumgartner'), (nan, '2009-01-06 10:40:08 EST', 'benno.baumgartner'), ('iplog+', '2009-01-06 10:40:08 EST', 'benno.baumgartner'), ('john_arthorne', '2009-06-01 10:05:35 EDT', 'john.arthorne'), (nan, '2009-06-01 10:05:35 EDT', 'john.arthorne'), ('iplog+', '2009-06-01 10:16:19 EDT', 'daniel_megert')]</t>
  </si>
  <si>
    <t>RESOLVED  DUPLICATE  of bug 102527</t>
  </si>
  <si>
    <t>2008-02-22 05:42:59 EST</t>
  </si>
  <si>
    <t>2008-02-20 12:08 EST</t>
  </si>
  <si>
    <t>2008-02-21 07:56:35 EST</t>
  </si>
  <si>
    <t>[('CREATED', '2008-02-20 12:08 EST'), ('remy.suen', '2008-02-21 07:56:35 EST', 'remy.suen'), ('martin_aeschlimann', '2008-02-22 05:42:59 EST', 'martinae'), ('RESOLVED', '2008-02-22 05:42:59 EST', 'martinae'), ('DUPLICATE', '2008-02-22 05:42:59 EST', 'martinae')]</t>
  </si>
  <si>
    <t>2008-05-14 12:25:39 EDT</t>
  </si>
  <si>
    <t>2008-02-22 09:46 EST</t>
  </si>
  <si>
    <t>2008-02-25 12:31:54 EST</t>
  </si>
  <si>
    <t>[('CREATED', '2008-02-22 09:46 EST'), ('martin_aeschlimann', '2008-02-25 12:31:54 EST', 'martinae'), ('[reorg] Move refactoring fails with errors', '2008-02-25 12:31:54 EST', 'martinae'), ('3.4', '2008-02-25 12:31:54 EST', 'martinae'), ('benno_baumgartner', '2008-05-14 12:25:39 EDT', 'benno.baumgartner'), ('RESOLVED', '2008-05-14 12:25:39 EDT', 'benno.baumgartner'), ('WORKSFORME', '2008-05-14 12:25:39 EDT', 'benno.baumgartner')]</t>
  </si>
  <si>
    <t>2008-02-25 04:21:41 EST</t>
  </si>
  <si>
    <t>2008-02-23 15:34 EST</t>
  </si>
  <si>
    <t>2008-02-25 03:26:04 EST</t>
  </si>
  <si>
    <t>[('CREATED', '2008-02-23 15:34 EST'), ('jdt-ui-inbox', '2008-02-25 03:26:04 EST', 'daniel_megert'), ('UI', '2008-02-25 03:26:04 EST', 'daniel_megert'), ('martin_aeschlimann', '2008-02-25 04:21:41 EST', 'martinae'), ('RESOLVED', '2008-02-25 04:21:41 EST', 'martinae'), ('DUPLICATE', '2008-02-25 04:21:41 EST', 'martinae'), ('[move member type] "Convert Member Type to Top Level" introduces compile error', '2008-02-25 04:21:41 EST', 'martinae')]</t>
  </si>
  <si>
    <t>2008-02-25 09:57 EST</t>
  </si>
  <si>
    <t>2008-02-26 06:57:18 EST</t>
  </si>
  <si>
    <t>2019-10-31 15:35:49 EDT</t>
  </si>
  <si>
    <t>[('CREATED', '2008-02-25 09:57 EST'), ('jdt-ui-inbox', '2008-02-26 06:57:18 EST', 'jerome_lanneluc'), ('UI', '2008-02-26 06:57:18 EST', 'jerome_lanneluc'), ('stalebug', '2019-10-31 15:35:49 EDT', 'genie')]</t>
  </si>
  <si>
    <t>2018-09-14 06:24:00 EDT</t>
  </si>
  <si>
    <t>2008-02-25 19:14 EST</t>
  </si>
  <si>
    <t>2008-02-26 03:31:22 EST</t>
  </si>
  <si>
    <t>luke.hutch</t>
  </si>
  <si>
    <t>[('CREATED', '2008-02-25 19:14 EST'), ('jdt-ui-inbox', '2008-02-26 03:31:22 EST', 'daniel_megert'), ('UI', '2008-02-26 03:31:22 EST', 'daniel_megert'), ('martin_aeschlimann', '2008-02-26 03:40:18 EST', 'martinae'), ('enhancement', '2008-02-26 03:40:18 EST', 'martinae'), ('ASSIGNED', '2008-02-26 03:40:18 EST', 'martinae'), ('P5', '2008-02-26 03:40:18 EST', 'martinae'), ('[change method signature] should allow modification of all methods overloaded with same name', '2008-02-26 03:40:18 EST', 'martinae'), ('INVALID', '2018-09-14 06:24:00 EDT', 'luke.hutch'), ('CLOSED', '2018-09-14 06:24:00 EDT', 'luke.hutch')]</t>
  </si>
  <si>
    <t>2008-03-03 13:08:06 EST</t>
  </si>
  <si>
    <t>2008-02-27 22:13 EST</t>
  </si>
  <si>
    <t>2008-02-28 05:58:08 EST</t>
  </si>
  <si>
    <t>[('CREATED', '2008-02-27 22:13 EST'), ('trivial', '2008-02-28 05:58:08 EST', 'daniel_megert'), ('3.4 M6', '2008-02-28 05:58:08 EST', 'daniel_megert'), ('daniel_megert', '2008-02-28 05:58:08 EST', 'daniel_megert'), ('martin_aeschlimann', '2008-03-03 13:08:06 EST', 'martinae'), ('RESOLVED', '2008-03-03 13:08:06 EST', 'martinae'), ('FIXED', '2008-03-03 13:08:06 EST', 'martinae')]</t>
  </si>
  <si>
    <t>2008-02-29 12:05:01 EST</t>
  </si>
  <si>
    <t>2008-02-29 10:14 EST</t>
  </si>
  <si>
    <t>2008-02-29 10:40:31 EST</t>
  </si>
  <si>
    <t>2008-02-29 12:20:51 EST</t>
  </si>
  <si>
    <t>[('CREATED', '2008-02-29 10:14 EST'), ('martin_aeschlimann', '2008-02-29 10:40:31 EST', 'martinae'), ('WORKSFORME', '2008-02-29 12:05:01 EST', 'martinae'), ('RESOLVED', '2008-02-29 12:05:01 EST', 'martinae'), ('[reorg]Move refactoring failed to find one of the effected classes', '2008-02-29 12:20:51 EST', 'martinae')]</t>
  </si>
  <si>
    <t>2008-03-03 09:11 EST</t>
  </si>
  <si>
    <t>2008-03-03 09:14:34 EST</t>
  </si>
  <si>
    <t>2010-12-15 07:57:32 EST</t>
  </si>
  <si>
    <t>[('CREATED', '2008-03-03 09:11 EST'), ('ASSIGNED', '2008-03-03 09:14:34 EST', 'martinae'), ('helpwanted', '2008-03-03 09:14:34 EST', 'martinae'), ('[quick fix] Split field initialization', '2008-03-03 09:14:34 EST', 'martinae'), ('martin_aeschlimann', '2008-03-03 09:14:34 EST', 'martinae'), ('deepak.azad', '2010-12-15 07:57:32 EST', 'deepakazad')]</t>
  </si>
  <si>
    <t>2020-01-20 15:55:54 EST</t>
  </si>
  <si>
    <t>2008-03-10 05:31 EDT</t>
  </si>
  <si>
    <t>2008-03-10 05:41:07 EDT</t>
  </si>
  <si>
    <t>[('CREATED', '2008-03-10 05:31 EDT'), ('jdt-ui-inbox', '2008-03-10 05:41:07 EDT', 'frederic_fusier'), ('UI', '2008-03-10 05:41:07 EDT', 'frederic_fusier'), ('ASSIGNED', '2008-03-10 06:48:35 EDT', 'martinae'), ('[extract superclass] abstract declaration does not import exception', '2008-03-10 06:48:35 EDT', 'martinae'), ('martin_aeschlimann', '2008-03-10 06:48:35 EDT', 'martinae'), ('WONTFIX', '2020-01-20 15:55:54 EST', 'genie'), ('stalebug', '2020-01-20 15:55:54 EST', 'genie'), ('CLOSED', '2020-01-20 15:55:54 EST', 'genie')]</t>
  </si>
  <si>
    <t>2008-03-12 10:34:51 EDT</t>
  </si>
  <si>
    <t>2008-03-11 10:38 EDT</t>
  </si>
  <si>
    <t>2008-03-11 10:42:28 EDT</t>
  </si>
  <si>
    <t>[('CREATED', '2008-03-11 10:38 EDT'), ('Olivier_Thomann', '2008-03-11 10:42:28 EDT', 'Olivier_Thomann'), ('jdt-ui-inbox', '2008-03-11 10:42:28 EDT', 'Olivier_Thomann'), ('UI', '2008-03-11 10:42:28 EDT', 'Olivier_Thomann'), ('martin_aeschlimann', '2008-03-11 10:56:36 EDT', 'martinae'), ('benno_baumgartner', '2008-03-11 10:56:36 EDT', 'martinae'), ('[clean up] NPE when "Quick Fix" called for "raw type usage" warning', '2008-03-11 10:56:36 EDT', 'martinae'), ('3.4 M6', '2008-03-11 13:02:28 EDT', 'benno.baumgartner'), ('RESOLVED', '2008-03-12 10:34:51 EDT', 'benno.baumgartner'), ('WORKSFORME', '2008-03-12 10:34:51 EDT', 'benno.baumgartner')]</t>
  </si>
  <si>
    <t>2008-03-12 09:27:25 EDT</t>
  </si>
  <si>
    <t>2008-03-12 03:40 EDT</t>
  </si>
  <si>
    <t>2008-03-12 09:26:28 EDT</t>
  </si>
  <si>
    <t>[('CREATED', '2008-03-12 03:40 EDT'), ('martin_aeschlimann', '2008-03-12 09:26:28 EDT', 'martinae'), ('martin_aeschlimann', '2008-03-12 09:26:28 EDT', 'martinae'), ('[refactoring] Image leak in CreateTextFilePreviewer.setText()', '2008-03-12 09:26:28 EDT', 'martinae'), ('3.4 M6', '2008-03-12 09:26:28 EDT', 'martinae'), ('RESOLVED', '2008-03-12 09:27:25 EDT', 'martinae'), ('FIXED', '2008-03-12 09:27:25 EDT', 'martinae')]</t>
  </si>
  <si>
    <t>222743 (view as bug list)</t>
  </si>
  <si>
    <t>2008-03-12 10:27:56 EDT</t>
  </si>
  <si>
    <t>2008-03-12 07:30 EDT</t>
  </si>
  <si>
    <t>2008-03-12 10:26:10 EDT</t>
  </si>
  <si>
    <t>2008-03-14 09:10:12 EDT</t>
  </si>
  <si>
    <t>[('CREATED', '2008-03-12 07:30 EDT'), ('benno_baumgartner', '2008-03-12 10:26:10 EDT', 'benno.baumgartner'), ('ASSIGNED', '2008-03-12 10:26:10 EDT', 'benno.baumgartner'), ('RESOLVED', '2008-03-12 10:27:56 EDT', 'benno.baumgartner'), ('FIXED', '2008-03-12 10:27:56 EDT', 'benno.baumgartner'), ('3.4 M6', '2008-03-12 10:27:56 EDT', 'benno.baumgartner'), ('pebl', '2008-03-14 09:10:12 EDT', 'benno.baumgartner')]</t>
  </si>
  <si>
    <t>2008-03-12 12:41:14 EDT</t>
  </si>
  <si>
    <t>2008-03-12 11:46 EDT</t>
  </si>
  <si>
    <t>2008-03-12 11:49:04 EDT</t>
  </si>
  <si>
    <t>[('CREATED', '2008-03-12 11:46 EDT'), ('Olivier_Thomann', '2008-03-12 11:49:04 EDT', 'Olivier_Thomann'), ('jdt-ui-inbox', '2008-03-12 11:49:04 EDT', 'Olivier_Thomann'), ('UI', '2008-03-12 11:49:04 EDT', 'Olivier_Thomann'), ('martin_aeschlimann', '2008-03-12 12:41:14 EDT', 'martinae'), ('RESOLVED', '2008-03-12 12:41:14 EDT', 'martinae'), ('WONTFIX', '2008-03-12 12:41:14 EDT', 'martinae')]</t>
  </si>
  <si>
    <t>2008-04-24 10:06:14 EDT</t>
  </si>
  <si>
    <t>2008-03-13 11:54 EDT</t>
  </si>
  <si>
    <t>2008-03-26 12:16:12 EDT</t>
  </si>
  <si>
    <t>[('CREATED', '2008-03-13 11:54 EDT'), ('martin_aeschlimann', '2008-03-26 12:16:12 EDT', 'martinae'), ('[encapsulate field] SelfEncapsulateFieldRefactoring should use templates, respect extra dimensions etc...', '2008-03-26 12:16:12 EDT', 'martinae'), ('3.4 M7', '2008-03-26 12:16:12 EDT', 'martinae'), ('martin_aeschlimann', '2008-04-24 09:52:14 EDT', 'martinae'), ('RESOLVED', '2008-04-24 10:06:14 EDT', 'martinae'), ('FIXED', '2008-04-24 10:06:14 EDT', 'martinae')]</t>
  </si>
  <si>
    <t>2008-03-14 00:55 EDT</t>
  </si>
  <si>
    <t>2008-03-19 23:47:39 EDT</t>
  </si>
  <si>
    <t>2008-04-04 10:52:53 EDT</t>
  </si>
  <si>
    <t>[('CREATED', '2008-03-14 00:55 EDT'), ('lynnlee78', '2008-03-19 23:47:39 EDT', 'lynnlee78'), ('jdt-ui-inbox', '2008-03-20 06:18:40 EDT', 'jerome_lanneluc'), ('UI', '2008-03-20 06:18:40 EDT', 'jerome_lanneluc'), ('enhancement', '2008-04-04 10:52:53 EDT', 'martinae'), ('ASSIGNED', '2008-04-04 10:52:53 EDT', 'martinae'), ('P5', '2008-04-04 10:52:53 EDT', 'martinae'), ('[quick fix] import the origin package after changing package for class', '2008-04-04 10:52:53 EDT', 'martinae'), ('martin_aeschlimann', '2008-04-04 10:52:53 EDT', 'martinae')]</t>
  </si>
  <si>
    <t>RESOLVED  DUPLICATE  of bug 222392</t>
  </si>
  <si>
    <t>2008-03-14 08:55 EDT</t>
  </si>
  <si>
    <t>2008-03-14 09:01:46 EDT</t>
  </si>
  <si>
    <t>[('CREATED', '2008-03-14 08:55 EDT'), ('martin_aeschlimann', '2008-03-14 09:01:46 EDT', 'martinae'), ('markus_keller', '2008-03-14 09:01:46 EDT', 'martinae'), ('[infer type arguments] NPE in refactoring generics', '2008-03-14 09:01:46 EDT', 'martinae'), ('DUPLICATE', '2008-03-14 09:10:12 EDT', 'benno.baumgartner'), ('benno_baumgartner', '2008-03-14 09:10:12 EDT', 'benno.baumgartner'), ('RESOLVED', '2008-03-14 09:10:12 EDT', 'benno.baumgartner')]</t>
  </si>
  <si>
    <t>RESOLVED  DUPLICATE  of bug 123098</t>
  </si>
  <si>
    <t>2008-03-17 10:07:35 EDT</t>
  </si>
  <si>
    <t>2008-03-15 08:56 EDT</t>
  </si>
  <si>
    <t>[('CREATED', '2008-03-15 08:56 EDT'), ('markus_keller', '2008-03-17 10:07:35 EDT', 'markus.kell.r'), ('RESOLVED', '2008-03-17 10:07:35 EDT', 'markus.kell.r'), ('DUPLICATE', '2008-03-17 10:07:35 EDT', 'markus.kell.r')]</t>
  </si>
  <si>
    <t>2008-04-07 07:10:39 EDT</t>
  </si>
  <si>
    <t>2008-03-21 07:20 EDT</t>
  </si>
  <si>
    <t>2008-03-21 07:21:09 EDT</t>
  </si>
  <si>
    <t>2008-04-07 07:13:47 EDT</t>
  </si>
  <si>
    <t>[('CREATED', '2008-03-21 07:20 EDT'), ('3.4', '2008-03-21 07:21:09 EDT', 'daniel_megert'), ('martin_aeschlimann', '2008-04-07 07:10:32 EDT', 'martinae'), ('martin_aeschlimann', '2008-04-07 07:10:32 EDT', 'martinae'), ('3.3 M7', '2008-04-07 07:10:32 EDT', 'martinae'), ('RESOLVED', '2008-04-07 07:10:39 EDT', 'martinae'), ('FIXED', '2008-04-07 07:10:39 EDT', 'martinae'), ('3.4 M7', '2008-04-07 07:13:47 EDT', 'daniel_megert')]</t>
  </si>
  <si>
    <t>2008-03-25 06:04:42 EDT</t>
  </si>
  <si>
    <t>2008-03-23 17:54 EDT</t>
  </si>
  <si>
    <t>2008-03-23 18:31:10 EDT</t>
  </si>
  <si>
    <t>[('CREATED', '2008-03-23 17:54 EDT'), ('jdt-ui-inbox', '2008-03-23 18:31:10 EDT', 'frederic_fusier'), ('UI', '2008-03-23 18:31:10 EDT', 'frederic_fusier'), ('martin_aeschlimann', '2008-03-24 06:50:11 EDT', 'martinae'), ('markus_keller', '2008-03-24 06:50:11 EDT', 'martinae'), ('[generalize type] Attempt refactoring "Generalize Declared Type"', '2008-03-24 06:50:11 EDT', 'martinae'), ('RESOLVED', '2008-03-25 06:04:42 EDT', 'markus.kell.r'), ('DUPLICATE', '2008-03-25 06:04:42 EDT', 'markus.kell.r')]</t>
  </si>
  <si>
    <t>2008-03-25 09:24:10 EDT</t>
  </si>
  <si>
    <t>2008-03-24 08:17 EDT</t>
  </si>
  <si>
    <t>2008-03-24 14:14:15 EDT</t>
  </si>
  <si>
    <t>[('CREATED', '2008-03-24 08:17 EDT'), ('martin_aeschlimann', '2008-03-24 14:14:15 EDT', 'martinae'), ('kscheglov', '2008-03-24 15:49:29 EDT', 'Konstantin.Scheglov'), ('RESOLVED', '2008-03-25 09:24:10 EDT', 'martinae'), ('INVALID', '2008-03-25 09:24:10 EDT', 'martinae')]</t>
  </si>
  <si>
    <t>2008-03-25 23:53 EDT</t>
  </si>
  <si>
    <t>2008-03-26 12:51:30 EDT</t>
  </si>
  <si>
    <t>2019-09-28 02:08:16 EDT</t>
  </si>
  <si>
    <t>[('CREATED', '2008-03-25 23:53 EDT'), ('kim_horne', '2008-03-26 12:51:30 EDT', 'eclipse'), ('JDT', '2008-04-03 08:37:56 EDT', 'pwebster'), ('pwebster', '2008-04-03 08:37:56 EDT', 'pwebster'), ('jdt-ui-inbox', '2008-04-03 08:37:56 EDT', 'pwebster'), ('UI', '2008-04-03 08:37:56 EDT', 'pwebster'), ('martin_aeschlimann', '2008-04-08 10:47:45 EDT', 'martinae'), ('markus_keller', '2008-04-08 10:47:45 EDT', 'martinae'), ('[ltk] Error display on delete refactoring failure does not allow error reasons to be copied', '2008-04-08 10:47:45 EDT', 'martinae'), ('stalebug', '2019-09-28 02:08:16 EDT', 'genie')]</t>
  </si>
  <si>
    <t>2008-03-27 12:43:13 EDT</t>
  </si>
  <si>
    <t>2008-03-28 04:16:39 EDT</t>
  </si>
  <si>
    <t>2008-03-27 11:34 EDT</t>
  </si>
  <si>
    <t>2008-03-27 11:45:08 EDT</t>
  </si>
  <si>
    <t>[('CREATED', '2008-03-27 11:34 EDT'), ('3.4 M6', '2008-03-27 11:45:08 EDT', 'markus.kell.r'), ('daniel_megert, markus_keller', '2008-03-27 11:45:08 EDT', 'markus.kell.r'), ('markus_keller', '2008-03-27 11:45:08 EDT', 'markus.kell.r'), ('[create on paste] IAE when pasting string into empty Package Explorer', '2008-03-27 11:45:08 EDT', 'markus.kell.r'), ('RESOLVED', '2008-03-27 12:43:13 EDT', 'markus.kell.r'), ('FIXED', '2008-03-27 12:43:13 EDT', 'markus.kell.r'), ('VERIFIED', '2008-03-28 04:16:39 EDT', 'daniel_megert')]</t>
  </si>
  <si>
    <t>2008-04-17 10:42:05 EDT</t>
  </si>
  <si>
    <t>2008-03-31 10:55 EDT</t>
  </si>
  <si>
    <t>2008-03-31 11:01:20 EDT</t>
  </si>
  <si>
    <t>[('CREATED', '2008-03-31 10:55 EDT'), ('Olivier_Thomann', '2008-03-31 11:01:20 EDT', 'Olivier_Thomann'), ('jdt-ui-inbox', '2008-03-31 11:01:20 EDT', 'Olivier_Thomann'), ('UI', '2008-03-31 11:01:20 EDT', 'Olivier_Thomann'), ('martin_aeschlimann', '2008-04-01 04:48:40 EDT', 'martinae'), ('3.4', '2008-04-01 04:48:40 EDT', 'martinae'), ('susan_franklin', '2008-04-08 10:47:01 EDT', 'martinae'), ('martin_aeschlimann', '2008-04-17 10:39:48 EDT', 'martinae'), ('3.4 M7', '2008-04-17 10:39:48 EDT', 'martinae'), ('RESOLVED', '2008-04-17 10:42:05 EDT', 'martinae'), ('FIXED', '2008-04-17 10:42:05 EDT', 'martinae'), ('[ltk] EmptyStackException from RefactoringHistoryService', '2008-04-17 10:42:05 EDT', 'martinae')]</t>
  </si>
  <si>
    <t>2008-10-15 05:53:43 EDT</t>
  </si>
  <si>
    <t>2008-03-31 13:49 EDT</t>
  </si>
  <si>
    <t>2008-03-31 13:57:17 EDT</t>
  </si>
  <si>
    <t>[('CREATED', '2008-03-31 13:49 EDT'), ('kscheglov', '2008-03-31 13:57:17 EDT', 'Konstantin.Scheglov'), ('martin_aeschlimann', '2008-04-01 04:59:26 EDT', 'martinae'), ('ASSIGNED', '2008-04-01 04:59:26 EDT', 'martinae'), ('[api] make CompilationUnitChange API', '2008-04-01 04:59:26 EDT', 'martinae'), ('3.5', '2008-04-01 04:59:26 EDT', 'martinae'), ('daniel_megert', '2008-08-13 05:45:25 EDT', 'daniel_megert'), ('---', '2008-08-13 05:45:25 EDT', 'daniel_megert'), ('markus_keller', '2008-10-15 05:53:18 EDT', 'markus.kell.r'), ('markus_keller', '2008-10-15 05:53:18 EDT', 'markus.kell.r'), ('NEW', '2008-10-15 05:53:18 EDT', 'markus.kell.r'), ('3.5 M3', '2008-10-15 05:53:18 EDT', 'markus.kell.r'), ('RESOLVED', '2008-10-15 05:53:43 EDT', 'markus.kell.r'), ('FIXED', '2008-10-15 05:53:43 EDT', 'markus.kell.r')]</t>
  </si>
  <si>
    <t>2008-03-31 13:52 EDT</t>
  </si>
  <si>
    <t>2008-03-31 13:57:49 EDT</t>
  </si>
  <si>
    <t>2013-08-19 10:21:14 EDT</t>
  </si>
  <si>
    <t>kaloyan</t>
  </si>
  <si>
    <t>[('CREATED', '2008-03-31 13:52 EDT'), ('kscheglov', '2008-03-31 13:57:49 EDT', 'Konstantin.Scheglov'), ('martin_aeschlimann', '2008-04-01 05:04:54 EDT', 'martinae'), ('[api] make CreateTextFileChange API', '2008-04-01 05:04:54 EDT', 'martinae'), ('ASSIGNED', '2008-04-03 04:07:57 EDT', 'martinae'), ('[api] make CreateFileChange API', '2008-04-03 04:07:57 EDT', 'martinae'), ('3.5', '2008-04-03 04:07:57 EDT', 'martinae'), ('daniel_megert', '2008-08-13 05:46:02 EDT', 'daniel_megert'), ('---', '2008-08-13 05:46:02 EDT', 'daniel_megert'), ('kaloyan.r, markus_keller', '2013-08-14 10:37:22 EDT', 'markus.kell.r'), ('[ltk][api] make CreateFileChange API', '2013-08-14 10:37:22 EDT', 'markus.kell.r'), ('review?(markus_keller)', '2013-08-15 03:25:43 EDT', 'daniel_megert'), (nan, '2013-08-15 09:33:55 EDT', 'markus.kell.r'), ('1', '2013-08-16 07:03:04 EDT', 'kaloyan'), ('1', '2013-08-19 10:21:14 EDT', 'kaloyan')]</t>
  </si>
  <si>
    <t>2008-04-02 06:07:55 EDT</t>
  </si>
  <si>
    <t>2008-04-01 23:38 EDT</t>
  </si>
  <si>
    <t>2008-04-01 23:45:52 EDT</t>
  </si>
  <si>
    <t>[('CREATED', '2008-04-01 23:38 EDT'), ('jdt-ui-inbox', '2008-04-01 23:45:52 EDT', 'john.arthorne'), ('UI', '2008-04-01 23:45:52 EDT', 'john.arthorne'), ('JDT', '2008-04-01 23:45:52 EDT', 'john.arthorne'), ('martin_aeschlimann', '2008-04-02 06:02:05 EDT', 'martinae'), ('martin_aeschlimann', '2008-04-02 06:02:05 EDT', 'martinae'), ('[ltk] Error on seeing refactor hisotory of a project name', '2008-04-02 06:02:05 EDT', 'martinae'), ('3.4 M7', '2008-04-02 06:07:55 EDT', 'martinae'), ('RESOLVED', '2008-04-02 06:07:55 EDT', 'martinae'), ('FIXED', '2008-04-02 06:07:55 EDT', 'martinae')]</t>
  </si>
  <si>
    <t>2008-04-04 05:18 EDT</t>
  </si>
  <si>
    <t>2008-04-04 05:26:05 EDT</t>
  </si>
  <si>
    <t>2011-08-31 15:55:03 EDT</t>
  </si>
  <si>
    <t>eclipse.dserodio</t>
  </si>
  <si>
    <t>[('CREATED', '2008-04-04 05:18 EDT'), ('mike.haller', '2008-04-04 05:26:05 EDT', 'mike.haller'), ('jdt-ui-inbox', '2008-04-04 06:00:54 EDT', 'frederic_fusier'), ('UI', '2008-04-04 06:00:54 EDT', 'frederic_fusier'), ('martin_aeschlimann', '2008-04-08 05:37:26 EDT', 'martinae'), ('[extract method] support extraction to existing / new class', '2008-04-08 05:37:26 EDT', 'martinae'), ('mike.haller', '2008-04-13 05:19:06 EDT', 'mike.haller'), ('deepak.azad', '2010-09-02 03:03:30 EDT', 'deepakazad'), ('ASSIGNED', '2010-09-07 05:42:39 EDT', 'markus.kell.r'), ('markus_keller', '2010-09-07 05:42:39 EDT', 'markus.kell.r'), ('eclipse.*.dserodio', '2011-08-31 15:55:03 EDT', 'eclipse.dserodio')]</t>
  </si>
  <si>
    <t>2008-04-10 16:12 EDT</t>
  </si>
  <si>
    <t>2008-04-10 17:13:12 EDT</t>
  </si>
  <si>
    <t>2008-04-11 13:21:45 EDT</t>
  </si>
  <si>
    <t>dj.houghton</t>
  </si>
  <si>
    <t>[('CREATED', '2008-04-10 16:12 EDT'), ('remy.suen', '2008-04-10 17:13:12 EDT', 'remy.suen'), ('nitind', '2008-04-10 17:22:38 EDT', 'thatnitind'), ('Boris_Bokowski', '2008-04-11 00:49:21 EDT', 'bokowski'), ('martin_aeschlimann', '2008-04-11 05:29:57 EDT', 'martinae'), ('david_williams', '2008-04-11 10:56:23 EDT', 'david_williams'), ('emoffatt', '2008-04-11 11:07:28 EDT', 'emoffatt'), ('Olivier_Thomann', '2008-04-11 11:18:13 EDT', 'Olivier_Thomann'), ('dj_houghton', '2008-04-11 13:21:45 EDT', 'dj.houghton')]</t>
  </si>
  <si>
    <t>2008-04-14 13:48:32 EDT</t>
  </si>
  <si>
    <t>2008-04-12 14:18 EDT</t>
  </si>
  <si>
    <t>2008-04-14 04:54:16 EDT</t>
  </si>
  <si>
    <t>[('CREATED', '2008-04-12 14:18 EDT'), ('markus_keller', '2008-04-14 04:54:16 EDT', 'martinae'), ('[rename] Not all refs linked in live rename when initiated from constructor name', '2008-04-14 04:54:16 EDT', 'martinae'), ('martin_aeschlimann', '2008-04-14 04:54:16 EDT', 'martinae'), ('RESOLVED', '2008-04-14 13:48:32 EDT', 'markus.kell.r'), ('FIXED', '2008-04-14 13:48:32 EDT', 'markus.kell.r'), ('3.4 M7', '2008-04-14 13:48:32 EDT', 'markus.kell.r')]</t>
  </si>
  <si>
    <t>CLOSED  DUPLICATE  of bug 198921</t>
  </si>
  <si>
    <t>2011-11-08 11:37:32 EST</t>
  </si>
  <si>
    <t>2008-04-14 09:28 EDT</t>
  </si>
  <si>
    <t>[('CREATED', '2008-04-14 09:28 EDT'), ('CLOSED', '2011-11-08 11:37:32 EST', 'markus.kell.r'), ('DUPLICATE', '2011-11-08 11:37:32 EST', 'markus.kell.r')]</t>
  </si>
  <si>
    <t>2008-04-14 17:42 EDT</t>
  </si>
  <si>
    <t>2008-04-16 15:50:09 EDT</t>
  </si>
  <si>
    <t>2019-11-01 02:45:52 EDT</t>
  </si>
  <si>
    <t>[('CREATED', '2008-04-14 17:42 EDT'), ('emoffatt', '2008-04-16 15:50:09 EDT', 'emoffatt'), ('JDT', '2008-04-18 16:03:53 EDT', 'emoffatt'), ('jdt-ui-inbox', '2008-04-18 16:03:53 EDT', 'emoffatt'), ('UI', '2008-04-18 16:03:53 EDT', 'emoffatt'), ('martin_aeschlimann', '2008-04-21 05:21:25 EDT', 'martinae'), ("[package explorer] status bar description not updated when selected's label changes", '2008-05-07 04:37:18 EDT', 'martinae'), ('stalebug', '2019-11-01 02:45:52 EDT', 'genie')]</t>
  </si>
  <si>
    <t>2008-04-17 10:43:15 EDT</t>
  </si>
  <si>
    <t>2008-04-16 10:35 EDT</t>
  </si>
  <si>
    <t>2008-04-17 04:15:52 EDT</t>
  </si>
  <si>
    <t>[('CREATED', '2008-04-16 10:35 EDT'), ('martin_aeschlimann', '2008-04-17 04:15:52 EDT', 'martinae'), ('RESOLVED', '2008-04-17 10:43:15 EDT', 'martinae'), ('WORKSFORME', '2008-04-17 10:43:15 EDT', 'martinae'), ("[quick fix] Add a 'Store parameter in Field' refactoring.", '2008-04-17 10:43:15 EDT', 'martinae')]</t>
  </si>
  <si>
    <t>2008-04-24 05:43:09 EDT</t>
  </si>
  <si>
    <t>2008-04-24 02:16:53 EDT</t>
  </si>
  <si>
    <t>2008-04-19 01:11 EDT</t>
  </si>
  <si>
    <t>2008-04-22 06:55:39 EDT</t>
  </si>
  <si>
    <t>[('CREATED', '2008-04-19 01:11 EDT'), ('3.4 M7', '2008-04-22 06:55:39 EDT', 'martinae'), ('martin_aeschlimann', '2008-04-22 06:55:39 EDT', 'martinae'), ('martin_aeschlimann', '2008-04-22 06:55:39 EDT', 'martinae'), ('[move method] Move Method Passes Unnecessary Parameter', '2008-04-22 06:55:39 EDT', 'martinae'), ('RESOLVED', '2008-04-22 06:56:42 EDT', 'martinae'), ('FIXED', '2008-04-22 06:56:42 EDT', 'martinae'), ('[move method] does not qualify field access', '2008-04-22 06:58:39 EDT', 'martinae'), ('REOPENED', '2008-04-24 02:16:53 EDT', 'joshua'), ('---', '2008-04-24 02:16:53 EDT', 'joshua'), ('minor', '2008-04-24 05:32:28 EDT', 'martinae'), ('---', '2008-04-24 05:32:28 EDT', 'martinae'), ('RESOLVED', '2008-04-24 05:43:09 EDT', 'martinae'), ('FIXED', '2008-04-24 05:43:09 EDT', 'martinae'), ('3.4 M7', '2008-04-24 05:43:09 EDT', 'martinae')]</t>
  </si>
  <si>
    <t>2008-04-24 05:41 EDT</t>
  </si>
  <si>
    <t>2008-04-24 05:44:08 EDT</t>
  </si>
  <si>
    <t>2019-09-19 14:32:04 EDT</t>
  </si>
  <si>
    <t>[('CREATED', '2008-04-24 05:41 EDT'), ('joshua', '2008-04-24 05:44:08 EDT', 'martinae'), ('erlend.k', '2014-03-02 14:09:35 EST', 'erlend.k'), ('ASSIGNED', '2014-04-16 07:11:34 EDT', 'daniel_megert'), ('daniel_megert', '2014-04-16 07:11:34 EDT', 'daniel_megert'), ('stalebug', '2019-09-19 14:32:04 EDT', 'genie')]</t>
  </si>
  <si>
    <t>2009-09-29 10:28:27 EDT</t>
  </si>
  <si>
    <t>2008-04-25 13:57 EDT</t>
  </si>
  <si>
    <t>2008-04-26 06:12:08 EDT</t>
  </si>
  <si>
    <t>[('CREATED', '2008-04-25 13:57 EDT'), ('daniel_megert', '2008-04-26 06:12:08 EDT', 'daniel_megert'), ('jdt-ui-inbox', '2008-04-26 06:12:08 EDT', 'daniel_megert'), ('UI', '2008-04-26 06:12:08 EDT', 'daniel_megert'), ('martin_aeschlimann', '2008-04-28 13:19:58 EDT', 'martinae'), ('[move member type] New file template is not applied when a new class is created.', '2008-04-28 13:19:58 EDT', 'martinae'), ('markus_keller', '2008-05-13 12:39:24 EDT', 'markus.kell.r'), ('RESOLVED', '2009-09-29 10:28:27 EDT', 'daniel_megert'), ('WORKSFORME', '2009-09-29 10:28:27 EDT', 'daniel_megert')]</t>
  </si>
  <si>
    <t>2008-07-03 06:13:01 EDT</t>
  </si>
  <si>
    <t>2008-04-25 16:31 EDT</t>
  </si>
  <si>
    <t>2008-07-16 05:42:36 EDT</t>
  </si>
  <si>
    <t>[('CREATED', '2008-04-25 16:31 EDT'), ('martin_aeschlimann', '2008-07-03 06:13:01 EDT', 'martinae'), ('RESOLVED', '2008-07-03 06:13:01 EDT', 'martinae'), ('contributed', '2008-07-03 06:13:01 EDT', 'martinae'), ('FIXED', '2008-07-03 06:13:01 EDT', 'martinae'), ('3.5 M1', '2008-07-03 06:13:01 EDT', 'martinae'), ('iplog+', '2008-07-16 05:37:25 EDT', 'daniel_megert'), ('daniel_megert', '2008-07-16 05:42:36 EDT', 'daniel_megert'), (nan, '2008-07-16 05:42:36 EDT', 'daniel_megert')]</t>
  </si>
  <si>
    <t>2008-05-07 04:38:52 EDT</t>
  </si>
  <si>
    <t>2008-04-26 05:39 EDT</t>
  </si>
  <si>
    <t>2008-04-26 06:58:20 EDT</t>
  </si>
  <si>
    <t>[('CREATED', '2008-04-26 05:39 EDT'), ('dj_houghton', '2008-04-26 06:58:20 EDT', 'dj.houghton'), ('jdt-ui-inbox', '2008-04-26 06:58:20 EDT', 'dj.houghton'), ('UI', '2008-04-26 06:58:20 EDT', 'dj.houghton'), ('JDT', '2008-04-26 06:58:20 EDT', 'dj.houghton'), ('remy.suen', '2008-04-27 19:43:34 EDT', 'remy.suen'), ('martin_aeschlimann', '2008-05-07 04:38:52 EDT', 'martinae'), ('RESOLVED', '2008-05-07 04:38:52 EDT', 'martinae'), ('INVALID', '2008-05-07 04:38:52 EDT', 'martinae'), ('[rename] method rename', '2008-05-07 04:38:52 EDT', 'martinae')]</t>
  </si>
  <si>
    <t>2008-04-26 18:59 EDT</t>
  </si>
  <si>
    <t>2008-04-26 19:04:05 EDT</t>
  </si>
  <si>
    <t>2019-09-16 12:36:32 EDT</t>
  </si>
  <si>
    <t>[('CREATED', '2008-04-26 18:59 EDT'), ('[pull up] refactoring changes references to enum types in sibling classes inappropriately', '2008-04-26 19:04:05 EDT', 'eclipse.20080417'), ('daniel_megert', '2008-04-27 13:21:12 EDT', 'daniel_megert'), ('jdt-ui-inbox', '2008-04-27 13:21:12 EDT', 'daniel_megert'), ('UI', '2008-04-27 13:21:12 EDT', 'daniel_megert'), ('stalebug', '2019-09-16 12:36:32 EDT', 'genie')]</t>
  </si>
  <si>
    <t>2008-04-29 22:32 EDT</t>
  </si>
  <si>
    <t>2008-04-30 04:16:03 EDT</t>
  </si>
  <si>
    <t>2014-02-05 02:01:39 EST</t>
  </si>
  <si>
    <t>[('CREATED', '2008-04-29 22:32 EDT'), ('benno_baumgartner', '2008-04-30 04:16:03 EDT', 'benno.baumgartner'), ('martin_aeschlimann', '2008-04-30 06:45:36 EDT', 'martinae'), ('[code style] configure if new fields should be final by default', '2008-04-30 06:45:36 EDT', 'martinae'), ('P4', '2008-05-01 07:15:02 EDT', 'martinae'), ('robin', '2014-02-04 11:13:29 EST', 'robin'), ('ASSIGNED', '2014-02-05 02:01:39 EST', 'noopur_gupta')]</t>
  </si>
  <si>
    <t>RESOLVED  DUPLICATE  of bug 199013</t>
  </si>
  <si>
    <t>2008-04-30 02:32:18 EDT</t>
  </si>
  <si>
    <t>2008-04-30 02:19 EDT</t>
  </si>
  <si>
    <t>2008-04-30 02:32:02 EDT</t>
  </si>
  <si>
    <t>[('CREATED', '2008-04-30 02:19 EDT'), ('daniel_megert', '2008-04-30 02:32:02 EDT', 'daniel_megert'), ('jdt-ui-inbox', '2008-04-30 02:32:02 EDT', 'daniel_megert'), ('UI', '2008-04-30 02:32:02 EDT', 'daniel_megert'), ('JDT', '2008-04-30 02:32:02 EDT', 'daniel_megert'), ('DUPLICATE', '2008-04-30 02:32:18 EDT', 'daniel_megert'), ('RESOLVED', '2008-04-30 02:32:18 EDT', 'daniel_megert')]</t>
  </si>
  <si>
    <t>CLOSED  DUPLICATE  of bug 318433</t>
  </si>
  <si>
    <t>2010-07-28 10:42:15 EDT</t>
  </si>
  <si>
    <t>2008-05-01 14:39 EDT</t>
  </si>
  <si>
    <t>2008-05-01 14:43:41 EDT</t>
  </si>
  <si>
    <t>[('CREATED', '2008-05-01 14:39 EDT'), ('Olivier_Thomann', '2008-05-01 14:43:41 EDT', 'Olivier_Thomann'), ('jdt-ui-inbox', '2008-05-01 14:43:41 EDT', 'Olivier_Thomann'), ('UI', '2008-05-01 14:43:41 EDT', 'Olivier_Thomann'), ('martin_aeschlimann', '2008-05-01 17:06:09 EDT', 'martinae'), ('markus_keller', '2008-05-01 17:06:09 EDT', 'martinae'), ('[infer type arguments] NPE with "Add type parameters to Iterator" quick fix', '2008-05-01 17:06:09 EDT', 'martinae'), ('DUPLICATE', '2010-07-28 10:42:15 EDT', 'daniel_megert'), ('CLOSED', '2010-07-28 10:42:15 EDT', 'daniel_megert'), ('daniel_megert', '2010-07-28 10:42:15 EDT', 'daniel_megert')]</t>
  </si>
  <si>
    <t>229654 (view as bug list)</t>
  </si>
  <si>
    <t>2008-05-06 05:46:06 EDT</t>
  </si>
  <si>
    <t>2008-05-20 04:14:12 EDT</t>
  </si>
  <si>
    <t>2008-05-02 09:37 EDT</t>
  </si>
  <si>
    <t>2008-05-05 06:15:26 EDT</t>
  </si>
  <si>
    <t>[('CREATED', '2008-05-02 09:37 EDT'), ('tomerm', '2008-05-05 06:15:26 EDT', 'daniel_megert'), ('review?(benno_baumgartner)', '2008-05-05 06:30:07 EDT', 'martinae'), ('229654', '2008-05-05 06:30:54 EDT', 'martinae'), ('benno_baumgartner', '2008-05-05 09:14:47 EDT', 'benno.baumgartner'), ('review+', '2008-05-05 09:14:47 EDT', 'benno.baumgartner'), ('martin_aeschlimann', '2008-05-06 05:04:49 EDT', 'martinae'), ('[bidi] Use BasicElementLabels to support BIDI', '2008-05-06 05:04:49 EDT', 'martinae'), ('3.4 RC1', '2008-05-06 05:46:06 EDT', 'martinae'), ('RESOLVED', '2008-05-06 05:46:06 EDT', 'martinae'), ('FIXED', '2008-05-06 05:46:06 EDT', 'martinae'), ('markus_keller', '2008-05-19 09:36:16 EDT', 'markus.kell.r'), ('VERIFIED', '2008-05-20 04:14:12 EDT', 'markus.kell.r')]</t>
  </si>
  <si>
    <t>2011-03-04 13:57:36 EST</t>
  </si>
  <si>
    <t>2008-05-05 12:24 EDT</t>
  </si>
  <si>
    <t>2008-05-06 10:38:36 EDT</t>
  </si>
  <si>
    <t>[('CREATED', '2008-05-05 12:24 EDT'), ('ASSIGNED', '2008-05-06 10:38:36 EDT', 'markus.kell.r'), ('3.5', '2008-05-06 10:38:36 EDT', 'markus.kell.r'), ('daniel_megert', '2009-04-30 08:40:27 EDT', 'daniel_megert'), ('3.6', '2009-04-30 08:40:27 EDT', 'daniel_megert'), ('markus_keller', '2010-04-08 11:09:46 EDT', 'markus.kell.r'), ('3.7', '2010-04-08 11:09:46 EDT', 'markus.kell.r'), ('api', '2010-04-08 11:09:46 EDT', 'markus.kell.r'), ('3.7 M1', '2010-06-21 06:32:41 EDT', 'markus.kell.r'), ('3.7 M2', '2010-08-04 08:59:36 EDT', 'markus.kell.r'), ('3.7 M3', '2010-09-12 15:55:59 EDT', 'markus.kell.r'), ('3.7 M4', '2010-10-25 10:47:23 EDT', 'markus.kell.r'), ('3.7 M5', '2010-12-05 12:01:46 EST', 'markus.kell.r'), ('3.7 M6', '2011-01-24 15:36:14 EST', 'markus.kell.r'), ('RESOLVED', '2011-03-04 13:57:36 EST', 'markus.kell.r'), ('FIXED', '2011-03-04 13:57:36 EST', 'markus.kell.r')]</t>
  </si>
  <si>
    <t>2008-05-06 06:20 EDT</t>
  </si>
  <si>
    <t>2008-05-06 09:43:37 EDT</t>
  </si>
  <si>
    <t>2019-11-05 11:37:30 EST</t>
  </si>
  <si>
    <t>[('CREATED', '2008-05-06 06:20 EDT'), ('martin_aeschlimann, markus_keller', '2008-05-06 09:43:37 EDT', 'martinae'), ('stalebug', '2019-11-05 11:37:30 EST', 'genie')]</t>
  </si>
  <si>
    <t>2008-11-10 05:03:49 EST</t>
  </si>
  <si>
    <t>2008-05-08 00:40 EDT</t>
  </si>
  <si>
    <t>2008-05-08 15:16:56 EDT</t>
  </si>
  <si>
    <t>[('CREATED', '2008-05-08 00:40 EDT'), ('jdt-ui-inbox', '2008-05-08 15:16:56 EDT', 'frederic_fusier'), ('UI', '2008-05-08 15:16:56 EDT', 'frederic_fusier'), ('martin_aeschlimann', '2008-05-09 03:52:57 EDT', 'martinae'), ('[pull up] Pull Up refactoring makes private variables package access for Interface', '2008-05-09 03:52:57 EDT', 'martinae'), ('RESOLVED', '2008-11-10 05:03:49 EST', 'markus.kell.r'), ('DUPLICATE', '2008-11-10 05:03:49 EST', 'markus.kell.r'), ('markus_keller', '2008-11-10 05:03:49 EST', 'markus.kell.r')]</t>
  </si>
  <si>
    <t>2008-05-09 08:30 EDT</t>
  </si>
  <si>
    <t>2008-05-22 05:43:28 EDT</t>
  </si>
  <si>
    <t>2020-07-25 07:36:01 EDT</t>
  </si>
  <si>
    <t>[('CREATED', '2008-05-09 08:30 EDT'), ('martin_aeschlimann', '2008-05-22 05:43:28 EDT', 'martinae'), ('[move] changes behaviour in presence of subclassing [refactoring]', '2008-05-22 05:43:28 EDT', 'martinae'), ('ASSIGNED', '2008-05-23 06:40:21 EDT', 'martinae'), ('[move type] changes behaviour in presence of subclassing', '2008-05-23 06:40:21 EDT', 'martinae'), ('stalebug', '2020-07-25 07:36:01 EDT', 'genie')]</t>
  </si>
  <si>
    <t>2009-08-02 12:11:42 EDT</t>
  </si>
  <si>
    <t>2008-05-12 10:29 EDT</t>
  </si>
  <si>
    <t>2008-05-12 11:53:53 EDT</t>
  </si>
  <si>
    <t>james.synge</t>
  </si>
  <si>
    <t>[('CREATED', '2008-05-12 10:29 EDT'), ('UI', '2008-05-12 11:53:53 EDT', 'jerome_lanneluc'), ('jdt-ui-inbox', '2008-05-12 11:53:53 EDT', 'jerome_lanneluc'), ('markus_keller', '2009-06-21 17:04:40 EDT', 'markus.kell.r'), ('ASSIGNED', '2009-06-21 17:04:40 EDT', 'markus.kell.r'), ('[extract method] Ambiguous return value, but only one local variable is used after block', '2009-06-21 17:04:40 EDT', 'markus.kell.r'), ('bmuskalla', '2009-08-02 09:02:18 EDT', 'b.muskalla'), ('NEW', '2009-08-02 09:02:18 EDT', 'b.muskalla'), ('RESOLVED', '2009-08-02 12:11:42 EDT', 'james.synge'), ('WORKSFORME', '2009-08-02 12:11:42 EDT', 'james.synge')]</t>
  </si>
  <si>
    <t>2008-05-16 06:52:47 EDT</t>
  </si>
  <si>
    <t>2008-05-12 12:26 EDT</t>
  </si>
  <si>
    <t>2008-05-12 13:00:20 EDT</t>
  </si>
  <si>
    <t>[('CREATED', '2008-05-12 12:26 EDT'), ('bogofilter+eclipse.org', '2008-05-12 13:00:20 EDT', 'bogofilter+eclipse.org'), ('daniel_megert', '2008-05-12 13:03:10 EDT', 'daniel_megert'), ('jdt-core-inbox', '2008-05-12 13:03:10 EDT', 'daniel_megert'), ('Core', '2008-05-12 13:03:10 EDT', 'daniel_megert'), ('JDT', '2008-05-12 13:03:10 EDT', 'daniel_megert'), ('jerome_lanneluc', '2008-05-15 07:19:13 EDT', 'jerome_lanneluc'), ('jdt-ui-inbox', '2008-05-16 02:06:43 EDT', 'jerome_lanneluc'), ('UI', '2008-05-16 02:06:43 EDT', 'jerome_lanneluc'), ('martin_aeschlimann', '2008-05-16 06:52:47 EDT', 'martinae'), ('RESOLVED', '2008-05-16 06:52:47 EDT', 'martinae'), ('WONTFIX', '2008-05-16 06:52:47 EDT', 'martinae')]</t>
  </si>
  <si>
    <t>2008-05-15 03:55:42 EDT</t>
  </si>
  <si>
    <t>2008-05-14 13:28 EDT</t>
  </si>
  <si>
    <t>2008-05-14 17:11:52 EDT</t>
  </si>
  <si>
    <t>[('CREATED', '2008-05-14 13:28 EDT'), ('jdt-ui-inbox', '2008-05-14 17:11:52 EDT', 'jerome_lanneluc'), ('UI', '2008-05-14 17:11:52 EDT', 'jerome_lanneluc'), ('martin_aeschlimann', '2008-05-15 03:55:42 EDT', 'martinae'), ('RESOLVED', '2008-05-15 03:55:42 EDT', 'martinae'), ('WONTFIX', '2008-05-15 03:55:42 EDT', 'martinae')]</t>
  </si>
  <si>
    <t>2008-05-22 11:48:17 EDT</t>
  </si>
  <si>
    <t>2008-05-23 12:20:00 EDT</t>
  </si>
  <si>
    <t>2008-05-15 09:20 EDT</t>
  </si>
  <si>
    <t>2008-05-22 08:42:46 EDT</t>
  </si>
  <si>
    <t>[('CREATED', '2008-05-15 09:20 EDT'), ('benno_baumgartner, martin_aeschlimann', '2008-05-22 08:42:46 EDT', 'martinae'), ('martin_aeschlimann', '2008-05-22 08:42:46 EDT', 'martinae'), ('3.4 RC2', '2008-05-22 08:42:46 EDT', 'martinae'), ('review?(benno_baumgartner)', '2008-05-22 08:42:46 EDT', 'martinae'), ('review?(markus_keller)', '2008-05-22 08:43:15 EDT', 'martinae'), ('review+', '2008-05-22 09:39:30 EDT', 'markus.kell.r'), ('review+', '2008-05-22 10:48:39 EDT', 'benno.baumgartner'), ('RESOLVED', '2008-05-22 11:48:17 EDT', 'martinae'), ('FIXED', '2008-05-22 11:48:17 EDT', 'martinae'), ('[extract constant] AFE when extracting constant in Enum constant body', '2008-05-22 11:48:17 EDT', 'martinae'), ('VERIFIED', '2008-05-23 12:20:00 EDT', 'markus.kell.r')]</t>
  </si>
  <si>
    <t>232702 (view as bug list)</t>
  </si>
  <si>
    <t>2008-05-23 10:40:55 EDT</t>
  </si>
  <si>
    <t>2008-05-15 15:48 EDT</t>
  </si>
  <si>
    <t>2008-05-16 06:26:14 EDT</t>
  </si>
  <si>
    <t>[('CREATED', '2008-05-15 15:48 EDT'), ('martin_aeschlimann', '2008-05-16 06:26:14 EDT', 'martinae'), ('daniel_megert', '2008-05-16 12:21:34 EDT', 'daniel_megert'), ('INVALID', '2008-05-23 10:40:55 EDT', 'martinae'), ('RESOLVED', '2008-05-23 10:40:55 EDT', 'martinae')]</t>
  </si>
  <si>
    <t>2008-05-17 10:56 EDT</t>
  </si>
  <si>
    <t>2008-05-18 12:09:15 EDT</t>
  </si>
  <si>
    <t>2008-05-19 03:46:45 EDT</t>
  </si>
  <si>
    <t>[('CREATED', '2008-05-17 10:56 EDT'), ('daniel_megert', '2008-05-18 12:09:15 EDT', 'daniel_megert'), ('jdt-ui-inbox', '2008-05-18 12:09:15 EDT', 'daniel_megert'), ('UI', '2008-05-18 12:09:15 EDT', 'daniel_megert'), ("[move static members] Add option 'create new class'", '2008-05-19 03:46:45 EDT', 'martinae'), ('martin_aeschlimann', '2008-05-19 03:46:45 EDT', 'martinae'), ('ASSIGNED', '2008-05-19 03:46:45 EDT', 'martinae')]</t>
  </si>
  <si>
    <t>118032</t>
  </si>
  <si>
    <t>2008-05-22 05:30:40 EDT</t>
  </si>
  <si>
    <t>2008-05-17 11:09 EDT</t>
  </si>
  <si>
    <t>2008-05-18 12:20:41 EDT</t>
  </si>
  <si>
    <t>[('CREATED', '2008-05-17 11:09 EDT'), ('daniel_megert', '2008-05-18 12:20:41 EDT', 'daniel_megert'), ('jdt-ui-inbox', '2008-05-18 12:20:41 EDT', 'daniel_megert'), ('UI', '2008-05-18 12:20:41 EDT', 'daniel_megert'), ('martin_aeschlimann', '2008-05-19 03:59:33 EDT', 'martinae'), ('WONTFIX', '2008-05-22 05:30:40 EDT', 'martinae'), ('[move method] Refactor move to a method local instance', '2008-05-22 05:30:40 EDT', 'martinae'), ('118032', '2008-05-22 05:30:40 EDT', 'martinae'), ('RESOLVED', '2008-05-22 05:30:40 EDT', 'martinae')]</t>
  </si>
  <si>
    <t>2019-09-19 12:18:54 EDT</t>
  </si>
  <si>
    <t>2008-05-19 04:53 EDT</t>
  </si>
  <si>
    <t>2019-09-19 06:04:26 EDT</t>
  </si>
  <si>
    <t>[('CREATED', '2008-05-19 04:53 EDT'), ('stalebug', '2019-09-19 06:04:26 EDT', 'genie'), ('RESOLVED', '2019-09-19 12:18:54 EDT', 'stephan.herrmann'), ('stephan.herrmann', '2019-09-19 12:18:54 EDT', 'stephan.herrmann'), ('WONTFIX', '2019-09-19 12:18:54 EDT', 'stephan.herrmann'), (nan, '2019-09-19 12:18:54 EDT', 'stephan.herrmann'), ('4.14 M1', '2019-09-19 12:18:54 EDT', 'stephan.herrmann'), ('stephan.herrmann', '2019-09-19 12:18:54 EDT', 'stephan.herrmann')]</t>
  </si>
  <si>
    <t>263602 315888 451726 (view as bug list)</t>
  </si>
  <si>
    <t>2020-02-28 02:53:18 EST</t>
  </si>
  <si>
    <t>2008-05-19 05:03 EDT</t>
  </si>
  <si>
    <t>2008-05-19 05:21:17 EDT</t>
  </si>
  <si>
    <t>[('CREATED', '2008-05-19 05:03 EDT'), ('benno_baumgartner', '2008-05-19 05:21:17 EDT', 'benno.baumgartner'), ('philippe_mulet', '2008-05-19 08:48:03 EDT', 'philippe_mulet'), ('martin_aeschlimann', '2008-05-23 09:56:27 EDT', 'martinae'), ('ASSIGNED', '2008-05-23 09:56:27 EDT', 'martinae'), ('[infer type arguments] Add type parameters quick fix fails with error', '2008-05-23 09:56:27 EDT', 'martinae'), ('steven.bethard', '2009-02-09 07:02:04 EST', 'daniel_megert'), ('markus_keller', '2009-02-09 07:12:24 EST', 'markus.kell.r'), ('markus_keller', '2009-02-09 07:12:24 EST', 'markus.kell.r'), ('NEW', '2009-02-09 07:12:24 EST', 'markus.kell.r'), ('3.5', '2009-02-09 07:12:24 EST', 'markus.kell.r'), ('remy.suen', '2009-02-09 08:46:47 EST', 'remy.suen'), ('ASSIGNED', '2009-04-30 13:25:50 EDT', 'markus.kell.r'), ('---', '2009-04-30 13:25:50 EDT', 'markus.kell.r'), ('philippe.marschall', '2010-06-07 03:20:05 EDT', 'daniel_megert'), ('error-reports-inbox', '2014-11-20 07:02:31 EST', 'noopur_gupta'), ('stalebug', '2020-02-28 02:53:18 EST', 'genie'), ('CLOSED', '2020-02-28 02:53:18 EST', 'genie'), ('WONTFIX', '2020-02-28 02:53:18 EST', 'genie')]</t>
  </si>
  <si>
    <t>RESOLVED  DUPLICATE  of bug 428965</t>
  </si>
  <si>
    <t>2014-02-24 20:16:22 EST</t>
  </si>
  <si>
    <t>2008-05-19 06:08 EDT</t>
  </si>
  <si>
    <t>2008-12-01 10:35:40 EST</t>
  </si>
  <si>
    <t>[('CREATED', '2008-05-19 06:08 EDT'), ('mn', '2008-12-01 10:35:40 EST', 'mn'), ('daniel_megert', '2008-12-03 06:20:31 EST', 'daniel_megert'), ('ASSIGNED', '2008-12-03 06:20:31 EST', 'daniel_megert'), ('RESOLVED', '2014-02-24 20:16:22 EST', 'manju656'), ('manju_mathew', '2014-02-24 20:16:22 EST', 'manju656'), ('DUPLICATE', '2014-02-24 20:16:22 EST', 'manju656')]</t>
  </si>
  <si>
    <t>424799 433691 436271 (view as bug list)</t>
  </si>
  <si>
    <t>2019-04-10 10:56:56 EDT</t>
  </si>
  <si>
    <t>2019-04-10 16:04:45 EDT</t>
  </si>
  <si>
    <t>2019-04-03 08:36:05 EDT</t>
  </si>
  <si>
    <t>2008-05-20 04:53 EDT</t>
  </si>
  <si>
    <t>2014-01-02 03:05:05 EST</t>
  </si>
  <si>
    <t>[('CREATED', '2008-05-20 04:53 EDT'), ('ivanov-jr', '2014-01-02 03:05:05 EST', 'noopur_gupta'), ('ASSIGNED', '2014-01-02 03:06:44 EST', 'noopur_gupta'), ('noopur_gupta', '2014-01-02 03:06:44 EST', 'noopur_gupta'), ("[quick assist] 'Generate getter and setter' quick assist forces to add both", '2014-01-02 03:06:44 EST', 'noopur_gupta'), ('pbenedict', '2014-02-03 11:44:35 EST', 'pbenedict'), ('steven', '2014-04-30 02:28:30 EDT', 'noopur_gupta'), ('4.5', '2014-05-06 08:04:56 EDT', 'daniel_megert'), ('review?(noopur_gupta)', '2014-05-06 08:04:56 EDT', 'daniel_megert'), ('setup.pyc', '2014-05-31 03:33:06 EDT', 'daniel_megert'), ('markus_keller', '2014-06-24 10:24:13 EDT', 'noopur_gupta'), (nan, '2014-06-24 10:24:13 EDT', 'noopur_gupta'), ('steven', '2014-06-27 11:13:25 EDT', 'markus.kell.r'), ('4.6', '2015-05-13 05:38:50 EDT', 'markus.kell.r'), ('4.7', '2016-04-22 04:58:03 EDT', 'noopur_gupta'), ('psuzzi', '2016-08-18 03:21:09 EDT', 'psuzzi'), ('4.8', '2017-05-10 05:52:22 EDT', 'noopur_gupta'), ('4.9', '2018-04-13 06:29:44 EDT', 'noopur_gupta'), ('mistria', '2018-04-16 03:44:23 EDT', 'mistria'), ('usability', '2018-04-16 03:44:23 EDT', 'mistria'), ('jdt-ui-inbox', '2018-04-16 09:40:31 EDT', 'daniel_megert'), ('kalyan_prasad', '2018-08-27 02:05:46 EDT', 'kalyan_prasad'), ('4.10', '2018-08-27 02:05:46 EDT', 'kalyan_prasad'), ('---', '2018-11-19 04:21:43 EST', 'noopur_gupta'), ('https://git.eclipse.org/r/135586', '2019-01-22 18:47:07 EST', 'genie'), ('kenneth', '2019-04-01 17:01:16 EDT', 'rgrunber'), ('4.12 M1', '2019-04-01 17:01:16 EDT', 'rgrunber'), ('rgrunber', '2019-04-01 17:01:16 EDT', 'rgrunber'), ('https://git.eclipse.org/c/jdt/eclipse.jdt.ui.git/commit/?id=14c039ac2bd442a5417436c137e4472f4fb8b99f', '2019-04-01 17:11:12 EDT', 'genie'), ("[quick assist] 'Create getter and setter' quick assist forces to add both", '2019-04-02 12:12:52 EDT', 'daniel_megert'), ('FIXED', '2019-04-03 08:12:15 EDT', 'daniel_megert'), ('RESOLVED', '2019-04-03 08:12:15 EDT', 'daniel_megert'), ('REOPENED', '2019-04-03 08:36:05 EDT', 'noopur_gupta'), ('---', '2019-04-03 08:36:05 EDT', 'noopur_gupta'), ('https://git.eclipse.org/r/139988', '2019-04-03 16:35:20 EDT', 'genie'), ('https://git.eclipse.org/c/jdt/eclipse.jdt.ui.git/commit/?id=2d1003c23ba7483dad898c8f1333e65e12ae916e', '2019-04-08 17:26:12 EDT', 'genie'), ('https://git.eclipse.org/r/140313', '2019-04-09 11:56:19 EDT', 'genie'), ('https://git.eclipse.org/c/www.eclipse.org/eclipse/news.git/commit/?id=a94674a6ffac8a4ba8f5694f46d9ceabd9265382', '2019-04-10 05:48:36 EDT', 'genie'), ('546302', '2019-04-10 10:53:01 EDT', 'rgrunber'), ('RESOLVED', '2019-04-10 10:56:56 EDT', 'rgrunber'), ('FIXED', '2019-04-10 10:56:56 EDT', 'rgrunber'), ('VERIFIED', '2019-04-10 16:04:45 EDT', 'rgrunber')]</t>
  </si>
  <si>
    <t>2008-05-23 08:51:47 EDT</t>
  </si>
  <si>
    <t>2008-05-26 04:13:11 EDT</t>
  </si>
  <si>
    <t>2008-05-20 10:54 EDT</t>
  </si>
  <si>
    <t>2008-05-21 09:20:13 EDT</t>
  </si>
  <si>
    <t>2019-09-08 12:39:04 EDT</t>
  </si>
  <si>
    <t>[('CREATED', '2008-05-20 10:54 EDT'), ('martin_aeschlimann', '2008-05-21 09:20:13 EDT', 'martinae'), ('RESOLVED', '2008-05-23 08:51:47 EDT', 'martinae'), ('WORKSFORME', '2008-05-23 08:51:47 EDT', 'martinae'), ('[extract class] Extract class does not do a CVS edit notification', '2008-05-23 08:51:47 EDT', 'martinae'), ('REOPENED', '2008-05-26 04:13:11 EDT', 'benno.baumgartner'), ('---', '2008-05-26 04:13:11 EDT', 'benno.baumgartner'), ('stalebug', '2019-09-08 12:39:04 EDT', 'genie')]</t>
  </si>
  <si>
    <t>2008-05-23 07:03:23 EDT</t>
  </si>
  <si>
    <t>2008-05-21 11:12 EDT</t>
  </si>
  <si>
    <t>2008-05-21 11:16:26 EDT</t>
  </si>
  <si>
    <t>[('CREATED', '2008-05-21 11:12 EDT'), ('Olivier_Thomann', '2008-05-21 11:16:26 EDT', 'Olivier_Thomann'), ('jdt-ui-inbox', '2008-05-21 11:16:26 EDT', 'Olivier_Thomann'), ('UI', '2008-05-21 11:16:26 EDT', 'Olivier_Thomann'), ('martin_aeschlimann', '2008-05-21 12:12:17 EDT', 'martinae'), ('[extract constant] Unsafe refactoring of extract constant', '2008-05-21 12:12:17 EDT', 'martinae'), ('RESOLVED', '2008-05-23 07:03:23 EDT', 'martinae'), ('WONTFIX', '2008-05-23 07:03:23 EDT', 'martinae'), ('[extract local] Unsafe refactoring of extract local', '2008-05-23 07:03:23 EDT', 'martinae')]</t>
  </si>
  <si>
    <t>2008-07-22 13:30:47 EDT</t>
  </si>
  <si>
    <t>2008-05-21 13:05 EDT</t>
  </si>
  <si>
    <t>2008-05-22 04:08:59 EDT</t>
  </si>
  <si>
    <t>2008-07-22 13:31:48 EDT</t>
  </si>
  <si>
    <t>[('CREATED', '2008-05-21 13:05 EDT'), ('martin_aeschlimann', '2008-05-22 04:08:59 EDT', 'martinae'), ('benno_baumgartner', '2008-05-22 04:08:59 EDT', 'martinae'), ('[surround with] "Surround With runnable" crash.', '2008-05-22 04:09:18 EDT', 'martinae'), ('jdt-ui-inbox', '2008-07-16 11:11:02 EDT', 'benno.baumgartner'), ('3.5', '2008-07-16 11:11:02 EDT', 'benno.baumgartner'), ('daniel_megert', '2008-07-16 12:07:39 EDT', 'daniel_megert'), ('ASSIGNED', '2008-07-16 12:07:39 EDT', 'daniel_megert'), ('P2', '2008-07-16 12:07:39 EDT', 'daniel_megert'), ('iplog+', '2008-07-22 13:21:51 EDT', 'markus.kell.r'), ('markus_keller', '2008-07-22 13:24:53 EDT', 'markus.kell.r'), ('markus_keller', '2008-07-22 13:24:53 EDT', 'markus.kell.r'), ('NEW', '2008-07-22 13:24:53 EDT', 'markus.kell.r'), ('3.5 M1', '2008-07-22 13:24:53 EDT', 'markus.kell.r'), ('FIXED', '2008-07-22 13:30:47 EDT', 'markus.kell.r'), ('RESOLVED', '2008-07-22 13:30:47 EDT', 'markus.kell.r'), ('b.muskalla', '2008-07-22 13:31:48 EDT', 'b.muskalla')]</t>
  </si>
  <si>
    <t>2008-05-22 05:28 EDT</t>
  </si>
  <si>
    <t>2008-05-22 08:46:45 EDT</t>
  </si>
  <si>
    <t>2008-05-23 06:39:52 EDT</t>
  </si>
  <si>
    <t>[('CREATED', '2008-05-22 05:28 EDT'), ('jdt-ui-inbox', '2008-05-22 08:46:45 EDT', 'jerome_lanneluc'), ('UI', '2008-05-22 08:46:45 EDT', 'jerome_lanneluc'), ('martin_aeschlimann', '2008-05-23 06:34:34 EDT', 'martinae'), ('ASSIGNED', '2008-05-23 06:38:46 EDT', 'martinae'), ('P4', '2008-05-23 06:38:46 EDT', 'martinae'), ('[reorg] move type creates invalid import to default package', '2008-05-23 06:38:46 EDT', 'martinae'), ('[move type] move type creates invalid import to default package', '2008-05-23 06:39:52 EDT', 'martinae')]</t>
  </si>
  <si>
    <t>2020-02-13 08:03:02 EST</t>
  </si>
  <si>
    <t>2008-05-22 08:31 EDT</t>
  </si>
  <si>
    <t>2008-05-23 06:27:46 EDT</t>
  </si>
  <si>
    <t>[('CREATED', '2008-05-22 08:31 EDT'), ('martin_aeschlimann', '2008-05-23 06:27:46 EDT', 'martinae'), ('helpwanted', '2008-05-23 06:27:46 EDT', 'martinae'), ('[generalize type] fails to see lack of overriding [Refactoring]', '2008-05-23 06:27:46 EDT', 'martinae'), ('developer', '2010-06-09 13:47:17 EDT', 'developer'), ('ASSIGNED', '2010-06-10 08:21:51 EDT', 'daniel_megert'), ('daniel_megert', '2010-06-10 08:21:51 EDT', 'daniel_megert'), ('CLOSED', '2020-02-13 08:03:02 EST', 'genie'), ('stalebug', '2020-02-13 08:03:02 EST', 'genie'), ('WONTFIX', '2020-02-13 08:03:02 EST', 'genie')]</t>
  </si>
  <si>
    <t>2008-05-22 13:54:43 EDT</t>
  </si>
  <si>
    <t>2008-05-22 10:41 EDT</t>
  </si>
  <si>
    <t>2008-05-22 10:43:08 EDT</t>
  </si>
  <si>
    <t>[('CREATED', '2008-05-22 10:41 EDT'), ('diam', '2008-05-22 10:43:08 EDT', 'diam'), ('martin_aeschlimann', '2008-05-22 11:04:34 EDT', 'martinae'), ('WORKSFORME', '2008-05-22 13:54:43 EDT', 'martinae'), ('RESOLVED', '2008-05-22 13:54:43 EDT', 'martinae')]</t>
  </si>
  <si>
    <t>2008-05-28 11:59:38 EDT</t>
  </si>
  <si>
    <t>2008-05-29 04:58:11 EDT</t>
  </si>
  <si>
    <t>2008-05-23 04:55 EDT</t>
  </si>
  <si>
    <t>2008-05-27 05:40:38 EDT</t>
  </si>
  <si>
    <t>[('CREATED', '2008-05-23 04:55 EDT'), ('daniel_megert', '2008-05-27 05:40:38 EDT', 'daniel_megert'), ('markus_keller', '2008-05-28 10:48:03 EDT', 'martinae'), ('martin_aeschlimann', '2008-05-28 10:48:03 EDT', 'martinae'), ('3.4 RC3', '2008-05-28 10:48:03 EDT', 'martinae'), ('review?(markus_keller)', '2008-05-28 10:48:03 EDT', 'martinae'), ('review?(daniel_megert)', '2008-05-28 10:48:39 EDT', 'martinae'), ('review+', '2008-05-28 11:16:03 EDT', 'daniel_megert'), ('review+', '2008-05-28 11:49:00 EDT', 'markus.kell.r'), ('RESOLVED', '2008-05-28 11:59:38 EDT', 'martinae'), ('FIXED', '2008-05-28 11:59:38 EDT', 'martinae'), ('benno_baumgartner', '2008-05-29 04:42:07 EDT', 'benno.baumgartner'), ('VERIFIED', '2008-05-29 04:58:11 EDT', 'benno.baumgartner')]</t>
  </si>
  <si>
    <t>2020-01-18 16:44:32 EST</t>
  </si>
  <si>
    <t>2008-05-23 13:03 EDT</t>
  </si>
  <si>
    <t>2008-05-26 05:59:03 EDT</t>
  </si>
  <si>
    <t>[('CREATED', '2008-05-23 13:03 EDT'), ('martin_aeschlimann', '2008-05-26 05:59:03 EDT', 'martinae'), ('[inline] Constructor inlining gives illegal result.', '2008-05-26 05:59:03 EDT', 'martinae'), ('CLOSED', '2020-01-18 16:44:32 EST', 'genie'), ('WONTFIX', '2020-01-18 16:44:32 EST', 'genie'), ('stalebug', '2020-01-18 16:44:32 EST', 'genie')]</t>
  </si>
  <si>
    <t>2020-04-15 11:39:50 EDT</t>
  </si>
  <si>
    <t>2008-05-24 03:35 EDT</t>
  </si>
  <si>
    <t>2008-05-24 03:38:22 EDT</t>
  </si>
  <si>
    <t>[('CREATED', '2008-05-24 03:35 EDT'), ('UI', '2008-05-24 03:38:22 EDT', 'steimann'), ('JDT', '2008-05-24 03:38:22 EDT', 'steimann'), ('tom.schindl', '2008-05-24 03:53:22 EDT', 'tom.schindl'), ('martin_aeschlimann', '2008-05-26 11:42:12 EDT', 'martinae'), ('jdt-ui-inbox', '2008-05-26 11:42:12 EDT', 'martinae'), ('major', '2008-05-28 08:47:14 EDT', 'martinae'), ('ASSIGNED', '2008-05-28 08:47:14 EDT', 'martinae'), ('3.5', '2008-05-28 08:47:14 EDT', 'martinae'), ('daniel_megert', '2009-04-24 08:41:05 EDT', 'daniel_megert'), ('P5', '2009-04-24 08:41:05 EDT', 'daniel_megert'), ('3.5 RC1', '2009-04-24 08:41:05 EDT', 'daniel_megert'), ('markus_keller', '2009-05-06 08:24:14 EDT', 'daniel_megert'), ('NEW', '2009-05-06 08:24:14 EDT', 'daniel_megert'), ('ASSIGNED', '2009-05-14 09:11:02 EDT', 'markus.kell.r'), ('M1', '2009-05-14 09:11:02 EDT', 'markus.kell.r'), ('3.6', '2009-05-14 09:11:02 EDT', 'markus.kell.r'), (nan, '2009-06-09 06:06:17 EDT', 'daniel_megert'), ('3.6 M1', '2009-06-09 06:06:17 EDT', 'daniel_megert'), ('P3', '2009-06-18 04:39:01 EDT', 'daniel_megert'), ('3.6 M2', '2009-08-03 06:00:15 EDT', 'markus.kell.r'), ('3.6 M3', '2009-09-14 13:36:31 EDT', 'markus.kell.r'), ('P2', '2009-09-15 02:40:45 EDT', 'daniel_megert'), ('3.6 M4', '2009-10-14 12:40:30 EDT', 'markus.kell.r'), ('3.6 M5', '2009-12-07 14:04:18 EST', 'markus.kell.r'), ('3.6 M6', '2010-01-25 06:58:39 EST', 'markus.kell.r'), ('3.6 M7', '2010-03-08 09:26:10 EST', 'markus.kell.r'), ('---', '2010-04-20 14:56:25 EDT', 'markus.kell.r'), ('fix candidate', '2010-04-20 14:56:25 EDT', 'markus.kell.r'), ('WONTFIX', '2020-04-15 11:39:50 EDT', 'genie'), ('stalebug', '2020-04-15 11:39:50 EDT', 'genie'), ('CLOSED', '2020-04-15 11:39:50 EDT', 'genie')]</t>
  </si>
  <si>
    <t>2008-07-09 10:41:24 EDT</t>
  </si>
  <si>
    <t>2008-08-06 09:11:25 EDT</t>
  </si>
  <si>
    <t>2008-05-26 07:10 EDT</t>
  </si>
  <si>
    <t>2008-05-26 08:02:57 EDT</t>
  </si>
  <si>
    <t>[('CREATED', '2008-05-26 07:10 EDT'), ('martin_aeschlimann', '2008-05-26 08:02:57 EDT', 'martinae'), ('3.4.1', '2008-05-26 08:02:57 EDT', 'martinae'), ('[ltk] Refactoring history does not show workspace refactorings from last year', '2008-05-28 08:58:20 EDT', 'martinae'), ('daniel_megert', '2008-07-09 10:41:24 EDT', 'daniel_megert'), ('RESOLVED', '2008-07-09 10:41:24 EDT', 'daniel_megert'), ('FIXED', '2008-07-09 10:41:24 EDT', 'daniel_megert'), ('review+', '2008-07-09 10:41:24 EDT', 'daniel_megert'), ('VERIFIED', '2008-08-06 09:11:25 EDT', 'daniel_megert')]</t>
  </si>
  <si>
    <t>2020-02-21 13:15:05 EST</t>
  </si>
  <si>
    <t>2008-05-28 04:04 EDT</t>
  </si>
  <si>
    <t>[('CREATED', '2008-05-28 04:04 EDT'), ('CLOSED', '2020-02-21 13:15:05 EST', 'genie'), ('stalebug', '2020-02-21 13:15:05 EST', 'genie'), ('WONTFIX', '2020-02-21 13:15:05 EST', 'genie')]</t>
  </si>
  <si>
    <t>2008-06-09 07:15:36 EDT</t>
  </si>
  <si>
    <t>2008-05-29 03:53 EDT</t>
  </si>
  <si>
    <t>2008-05-29 05:01:31 EDT</t>
  </si>
  <si>
    <t>cpuidle</t>
  </si>
  <si>
    <t>[('CREATED', '2008-05-29 03:53 EDT'), ('martin_aeschlimann', '2008-05-29 05:01:31 EDT', 'martinae'), ('RESOLVED', '2008-06-09 07:15:36 EDT', 'cpuidle'), ('WORKSFORME', '2008-06-09 07:15:36 EDT', 'cpuidle')]</t>
  </si>
  <si>
    <t>2008-06-02 04:14:02 EDT</t>
  </si>
  <si>
    <t>2008-05-31 03:00 EDT</t>
  </si>
  <si>
    <t>[('CREATED', '2008-05-31 03:00 EDT'), ('martin_aeschlimann', '2008-06-02 04:14:02 EDT', 'martinae'), ('RESOLVED', '2008-06-02 04:14:02 EDT', 'martinae'), ('WORKSFORME', '2008-06-02 04:14:02 EDT', 'martinae')]</t>
  </si>
  <si>
    <t>292981 (view as bug list)</t>
  </si>
  <si>
    <t>2008-05-31 06:37 EDT</t>
  </si>
  <si>
    <t>2008-06-02 04:14:36 EDT</t>
  </si>
  <si>
    <t>2020-05-22 19:21:04 EDT</t>
  </si>
  <si>
    <t>[('CREATED', '2008-05-31 06:37 EDT'), ('martin_aeschlimann', '2008-06-02 04:14:36 EDT', 'martinae'), ('ASSIGNED', '2008-06-02 04:14:36 EDT', 'martinae'), ('gsoares', '2009-10-22 03:17:52 EDT', 'daniel_megert'), ('stalebug', '2020-05-22 19:21:04 EDT', 'genie')]</t>
  </si>
  <si>
    <t>2008-05-31 15:30 EDT</t>
  </si>
  <si>
    <t>2008-06-01 06:26:21 EDT</t>
  </si>
  <si>
    <t>2019-07-10 11:39:47 EDT</t>
  </si>
  <si>
    <t>[('CREATED', '2008-05-31 15:30 EDT'), ('daniel_megert', '2008-06-01 06:26:21 EDT', 'daniel_megert'), ('jdt-ui-inbox', '2008-06-01 06:26:21 EDT', 'daniel_megert'), ('UI', '2008-06-01 06:26:21 EDT', 'daniel_megert'), ('[clean up] Code formatting+cleanup gives an error when some resources are out of sync', '2008-06-01 06:26:21 EDT', 'daniel_megert'), ('benno_baumgartner', '2008-06-02 04:00:31 EDT', 'benno.baumgartner'), ('3.5', '2008-06-04 06:16:18 EDT', 'martinae'), ('martin_aeschlimann', '2008-06-04 06:16:18 EDT', 'martinae'), ('ASSIGNED', '2009-02-03 09:57:48 EST', 'daniel_megert'), ('All', '2009-02-03 09:57:48 EST', 'daniel_megert'), ('All', '2009-02-03 09:57:48 EST', 'daniel_megert'), ('---', '2009-02-03 09:57:48 EST', 'daniel_megert'), ('stalebug', '2019-07-08 19:37:58 EDT', 'genie'), ('kalyan_prasad', '2019-07-10 11:39:47 EDT', 'daniel_megert')]</t>
  </si>
  <si>
    <t>2020-04-23 00:52:38 EDT</t>
  </si>
  <si>
    <t>2008-06-02 02:56 EDT</t>
  </si>
  <si>
    <t>2008-06-02 05:15:17 EDT</t>
  </si>
  <si>
    <t>[('CREATED', '2008-06-02 02:56 EDT'), ('martin_aeschlimann', '2008-06-02 05:15:17 EDT', 'martinae'), ('[change method signature] involving numerous parameters may loose parameters while moving them', '2008-06-02 05:15:17 EDT', 'martinae'), ('WONTFIX', '2020-04-23 00:52:38 EDT', 'genie'), ('stalebug', '2020-04-23 00:52:38 EDT', 'genie'), ('CLOSED', '2020-04-23 00:52:38 EDT', 'genie')]</t>
  </si>
  <si>
    <t>357419 (view as bug list)</t>
  </si>
  <si>
    <t>2008-06-02 08:36 EDT</t>
  </si>
  <si>
    <t>2008-12-01 10:37:01 EST</t>
  </si>
  <si>
    <t>2019-11-25 15:29:16 EST</t>
  </si>
  <si>
    <t>[('CREATED', '2008-06-02 08:36 EDT'), ('mn', '2008-12-01 10:37:01 EST', 'mn'), ('daniel_megert', '2008-12-01 12:49:12 EST', 'daniel_megert'), ('ASSIGNED', '2008-12-01 12:49:12 EST', 'daniel_megert'), ('[pull up] field ignores hiding of inherited field', '2008-12-01 12:49:12 EST', 'daniel_megert'), ('gsoares', '2011-10-24 13:23:03 EDT', 'raksha.vasisht'), ('stalebug', '2019-11-25 15:29:16 EST', 'genie')]</t>
  </si>
  <si>
    <t>CLOSED  DUPLICATE  of bug 313043</t>
  </si>
  <si>
    <t>2010-06-15 16:08:57 EDT</t>
  </si>
  <si>
    <t>2008-06-02 08:49 EDT</t>
  </si>
  <si>
    <t>[('CREATED', '2008-06-02 08:49 EDT'), ('CLOSED', '2010-06-15 16:08:57 EDT', 'deepakazad'), ('deepak.azad', '2010-06-15 16:08:57 EDT', 'deepakazad'), ('DUPLICATE', '2010-06-15 16:08:57 EDT', 'deepakazad')]</t>
  </si>
  <si>
    <t>CLOSED  DUPLICATE  of bug 177636</t>
  </si>
  <si>
    <t>2010-06-15 16:21:42 EDT</t>
  </si>
  <si>
    <t>2008-06-02 09:04 EDT</t>
  </si>
  <si>
    <t>2008-06-02 09:19:43 EDT</t>
  </si>
  <si>
    <t>[('CREATED', '2008-06-02 09:04 EDT'), ('UI', '2008-06-02 09:19:43 EDT', 'steimann'), ('JDT', '2008-06-02 09:19:43 EDT', 'steimann'), ('jdt-ui-inbox', '2008-06-02 12:41:26 EDT', 'eclipse'), ('deepak.azad', '2010-06-15 16:21:42 EDT', 'deepakazad'), ('DUPLICATE', '2010-06-15 16:21:42 EDT', 'deepakazad'), ('CLOSED', '2010-06-15 16:21:42 EDT', 'deepakazad')]</t>
  </si>
  <si>
    <t>2008-06-06 16:29 EDT</t>
  </si>
  <si>
    <t>2008-06-06 16:34:12 EDT</t>
  </si>
  <si>
    <t>2010-11-04 06:47:11 EDT</t>
  </si>
  <si>
    <t>[('CREATED', '2008-06-06 16:29 EDT'), ('b.muskalla', '2008-06-06 16:34:12 EDT', 'b.muskalla'), ('martin_aeschlimann', '2008-06-09 04:06:19 EDT', 'martinae'), ('ASSIGNED', '2008-06-09 04:06:19 EDT', 'martinae'), ("[refactoring] [dcr] Add a refactoring for 'Hide Delegate'", '2008-06-09 04:06:19 EDT', 'martinae'), ('daniel_megert', '2010-11-04 06:47:11 EDT', 'daniel_megert'), ("[refactoring] Add a refactoring for 'Hide Delegate'", '2010-11-04 06:47:11 EDT', 'daniel_megert')]</t>
  </si>
  <si>
    <t>2008-06-11 06:08 EDT</t>
  </si>
  <si>
    <t>2008-06-11 09:45:35 EDT</t>
  </si>
  <si>
    <t>[('CREATED', '2008-06-11 06:08 EDT'), ('martin_aeschlimann', '2008-06-11 09:45:35 EDT', 'martinae'), ('ASSIGNED', '2008-06-11 09:45:35 EDT', 'martinae'), ('[code generation] Generate observable (introduce observer pattern)', '2008-06-11 09:45:35 EDT', 'martinae')]</t>
  </si>
  <si>
    <t>2008-06-16 06:59:29 EDT</t>
  </si>
  <si>
    <t>2008-06-12 13:19 EDT</t>
  </si>
  <si>
    <t>[('CREATED', '2008-06-12 13:19 EDT'), ('martin_aeschlimann', '2008-06-16 06:59:29 EDT', 'martinae'), ('RESOLVED', '2008-06-16 06:59:29 EDT', 'martinae'), ('WONTFIX', '2008-06-16 06:59:29 EDT', 'martinae'), ('[reorg] Copied class missing import.', '2008-06-16 06:59:29 EDT', 'martinae')]</t>
  </si>
  <si>
    <t>2008-07-14 08:11:18 EDT</t>
  </si>
  <si>
    <t>2008-08-06 06:44:23 EDT</t>
  </si>
  <si>
    <t>2008-06-17 17:50 EDT</t>
  </si>
  <si>
    <t>2008-06-18 04:55:11 EDT</t>
  </si>
  <si>
    <t>[('CREATED', '2008-06-17 17:50 EDT'), ('[inline] npe while inlining constant', '2008-06-18 04:55:11 EDT', 'martinae'), ('3.4.1', '2008-06-18 04:55:11 EDT', 'martinae'), ('martin_aeschlimann', '2008-06-18 04:55:11 EDT', 'martinae'), ('daniel_megert', '2008-07-07 12:15:51 EDT', 'daniel_megert'), ('ASSIGNED', '2008-07-07 12:15:51 EDT', 'daniel_megert'), ('markus_keller', '2008-07-09 10:33:08 EDT', 'daniel_megert'), ('NEW', '2008-07-09 10:33:08 EDT', 'daniel_megert'), ('ASSIGNED', '2008-07-10 13:02:19 EDT', 'markus.kell.r'), ('review?(daniel_megert)', '2008-07-10 13:02:19 EDT', 'markus.kell.r'), ('review+', '2008-07-14 04:03:52 EDT', 'daniel_megert'), ('review+', '2008-07-14 04:42:30 EDT', 'daniel_megert'), ('RESOLVED', '2008-07-14 08:11:18 EDT', 'markus.kell.r'), ('FIXED', '2008-07-14 08:11:18 EDT', 'markus.kell.r'), ('VERIFIED', '2008-08-06 06:44:23 EDT', 'daniel_megert')]</t>
  </si>
  <si>
    <t>RESOLVED  DUPLICATE  of bug 37055</t>
  </si>
  <si>
    <t>2008-07-10 04:36:39 EDT</t>
  </si>
  <si>
    <t>2008-06-20 12:04 EDT</t>
  </si>
  <si>
    <t>2008-06-23 10:08:32 EDT</t>
  </si>
  <si>
    <t>[('CREATED', '2008-06-20 12:04 EDT'), ('martin_aeschlimann', '2008-06-23 10:08:32 EDT', 'martinae'), ('enhancement', '2008-06-23 10:08:32 EDT', 'martinae'), ('[reorg] Refactor/Move does not update package name in comments.', '2008-06-23 10:08:32 EDT', 'martinae'), ('daniel_megert', '2008-07-10 04:36:39 EDT', 'daniel_megert'), ('RESOLVED', '2008-07-10 04:36:39 EDT', 'daniel_megert'), ('DUPLICATE', '2008-07-10 04:36:39 EDT', 'daniel_megert')]</t>
  </si>
  <si>
    <t>2008-07-09 11:30:27 EDT</t>
  </si>
  <si>
    <t>2008-08-06 08:52:52 EDT</t>
  </si>
  <si>
    <t>2008-06-23 10:36 EDT</t>
  </si>
  <si>
    <t>2008-06-27 06:05:32 EDT</t>
  </si>
  <si>
    <t>[('CREATED', '2008-06-23 10:36 EDT'), ('martin_aeschlimann', '2008-06-27 06:05:32 EDT', 'martinae'), ('3.4.1', '2008-06-27 06:05:32 EDT', 'martinae'), ('daniel_megert', '2008-07-07 12:15:56 EDT', 'daniel_megert'), ('ASSIGNED', '2008-07-07 12:15:56 EDT', 'daniel_megert'), ('FIXED', '2008-07-09 11:30:27 EDT', 'daniel_megert'), ('review+', '2008-07-09 11:30:27 EDT', 'daniel_megert'), ('RESOLVED', '2008-07-09 11:30:27 EDT', 'daniel_megert'), ('VERIFIED', '2008-08-06 08:52:52 EDT', 'daniel_megert')]</t>
  </si>
  <si>
    <t>2009-03-12 12:04:23 EDT</t>
  </si>
  <si>
    <t>2008-06-27 13:06 EDT</t>
  </si>
  <si>
    <t>2008-06-30 04:03:15 EDT</t>
  </si>
  <si>
    <t>2009-03-12 12:04:57 EDT</t>
  </si>
  <si>
    <t>[('CREATED', '2008-06-27 13:06 EDT'), ('markus_keller', '2008-06-30 04:03:15 EDT', 'martinae'), ('[rename] Refactor rename dialog should trim new unit name', '2008-06-30 04:03:15 EDT', 'martinae'), ('martin_aeschlimann', '2008-06-30 04:03:15 EDT', 'martinae'), ('daniel_megert', '2008-06-30 05:09:21 EDT', 'daniel_megert'), ('3.5', '2008-08-13 06:58:33 EDT', 'daniel_megert'), ('RESOLVED', '2009-03-12 12:04:23 EDT', 'daniel_megert'), (nan, '2009-03-12 12:04:23 EDT', 'daniel_megert'), ('WONTFIX', '2009-03-12 12:04:23 EDT', 'daniel_megert'), ('---', '2009-03-12 12:04:57 EDT', 'daniel_megert')]</t>
  </si>
  <si>
    <t>2008-06-27 16:51 EDT</t>
  </si>
  <si>
    <t>2008-07-02 07:56:34 EDT</t>
  </si>
  <si>
    <t>2018-09-13 10:54:05 EDT</t>
  </si>
  <si>
    <t>[('CREATED', '2008-06-27 16:51 EDT'), ('jdt-ui-inbox', '2008-07-02 07:56:34 EDT', 'jerome_lanneluc'), ('UI', '2008-07-02 07:56:34 EDT', 'jerome_lanneluc'), ('markus_keller', '2008-07-02 08:38:06 EDT', 'martinae'), ('martin_aeschlimann', '2008-07-02 08:38:06 EDT', 'martinae'), ('deepak.azad', '2010-10-21 15:56:10 EDT', 'deepakazad'), ('[pull up] Exception during "pull up" refactoring', '2010-10-21 15:56:10 EDT', 'deepakazad'), ('stalebug', '2018-09-13 10:54:05 EDT', 'genie')]</t>
  </si>
  <si>
    <t>RESOLVED  DUPLICATE  of bug 33840</t>
  </si>
  <si>
    <t>2008-07-08 04:01:30 EDT</t>
  </si>
  <si>
    <t>2008-06-27 18:58 EDT</t>
  </si>
  <si>
    <t>2008-06-30 05:06:22 EDT</t>
  </si>
  <si>
    <t>[('CREATED', '2008-06-27 18:58 EDT'), ('[reorg] Moved class loses needed import.', '2008-06-30 05:06:22 EDT', 'martinae'), ('martin_aeschlimann', '2008-06-30 05:06:22 EDT', 'martinae'), ('daniel_megert', '2008-06-30 05:15:36 EDT', 'daniel_megert'), ('RESOLVED', '2008-07-08 04:01:30 EDT', 'daniel_megert'), ('DUPLICATE', '2008-07-08 04:01:30 EDT', 'daniel_megert')]</t>
  </si>
  <si>
    <t>2008-07-08 04:06:51 EDT</t>
  </si>
  <si>
    <t>2008-07-02 05:12 EDT</t>
  </si>
  <si>
    <t>[('CREATED', '2008-07-02 05:12 EDT'), ('daniel_megert', '2008-07-08 04:06:51 EDT', 'daniel_megert'), ('RESOLVED', '2008-07-08 04:06:51 EDT', 'daniel_megert'), ('WONTFIX', '2008-07-08 04:06:51 EDT', 'daniel_megert')]</t>
  </si>
  <si>
    <t>239352 (view as bug list)</t>
  </si>
  <si>
    <t>2008-07-03 05:06:32 EDT</t>
  </si>
  <si>
    <t>2008-07-02 13:27 EDT</t>
  </si>
  <si>
    <t>2008-07-03 03:44:47 EDT</t>
  </si>
  <si>
    <t>[('CREATED', '2008-07-02 13:27 EDT'), ('daniel_megert', '2008-07-03 03:44:47 EDT', 'daniel_megert'), ('jdt-ui-inbox', '2008-07-03 03:44:47 EDT', 'daniel_megert'), ('UI', '2008-07-03 03:44:47 EDT', 'daniel_megert'), ('JDT', '2008-07-03 03:44:47 EDT', 'daniel_megert'), ('markus_keller', '2008-07-03 05:06:32 EDT', 'markus.kell.r'), ('RESOLVED', '2008-07-03 05:06:32 EDT', 'markus.kell.r'), ('WORKSFORME', '2008-07-03 05:06:32 EDT', 'markus.kell.r')]</t>
  </si>
  <si>
    <t>290297 208910</t>
  </si>
  <si>
    <t>2008-12-11 07:47:54 EST</t>
  </si>
  <si>
    <t>2009-01-27 06:38:26 EST</t>
  </si>
  <si>
    <t>2008-07-03 12:57:29 EDT</t>
  </si>
  <si>
    <t>2008-07-02 16:21 EDT</t>
  </si>
  <si>
    <t>2008-07-03 03:33:10 EDT</t>
  </si>
  <si>
    <t>2009-09-23 13:35:03 EDT</t>
  </si>
  <si>
    <t>[('CREATED', '2008-07-02 16:21 EDT'), ('NOT_ECLIPSE', '2008-07-03 03:33:10 EDT', 'daniel_megert'), ('daniel_megert', '2008-07-03 03:33:10 EDT', 'daniel_megert'), ('RESOLVED', '2008-07-03 03:33:10 EDT', 'daniel_megert'), ('markus_keller', '2008-07-03 11:08:30 EDT', 'daniel_megert'), ('major', '2008-07-03 12:57:29 EDT', 'markus.kell.r'), ('REOPENED', '2008-07-03 12:57:29 EDT', 'markus.kell.r'), ('---', '2008-07-03 12:57:29 EDT', 'markus.kell.r'), ('3.5 M1', '2008-07-03 12:57:29 EDT', 'markus.kell.r'), ('markus_keller', '2008-07-05 03:30:38 EDT', 'daniel_megert'), ('NEW', '2008-07-05 03:30:38 EDT', 'daniel_megert'), ('benno_baumgartner', '2008-07-07 04:42:44 EDT', 'benno.baumgartner'), ('3.5 M2', '2008-08-04 10:54:52 EDT', 'markus.kell.r'), ('3.5 M3', '2008-09-12 13:29:02 EDT', 'markus.kell.r'), ('ASSIGNED', '2008-10-18 06:43:37 EDT', 'markus.kell.r'), ('3.5 M4', '2008-10-18 06:43:37 EDT', 'markus.kell.r'), ('kholdaway', '2008-12-03 16:22:00 EST', 'kholdaway'), ('idzelis', '2008-12-03 16:39:42 EST', 'kholdaway'), ('gjohnsto', '2008-12-03 16:40:25 EST', 'kholdaway'), ('3.5 M5', '2008-12-10 06:35:33 EST', 'markus.kell.r'), ('208910', '2008-12-11 07:47:54 EST', 'markus.kell.r'), ('RESOLVED', '2008-12-11 07:47:54 EST', 'markus.kell.r'), ('FIXED', '2008-12-11 07:47:54 EST', 'markus.kell.r'), ('raksha.vasisht', '2009-01-27 06:20:25 EST', 'raksha.vasisht'), ('VERIFIED', '2009-01-27 06:38:26 EST', 'daniel_megert'), ('290297', '2009-09-23 13:35:03 EDT', 'pwebster')]</t>
  </si>
  <si>
    <t>RESOLVED  DUPLICATE  of bug 239279</t>
  </si>
  <si>
    <t>2008-07-03 05:09:22 EDT</t>
  </si>
  <si>
    <t>2008-07-02 16:33 EDT</t>
  </si>
  <si>
    <t>2008-07-03 03:12:48 EDT</t>
  </si>
  <si>
    <t>[('CREATED', '2008-07-02 16:33 EDT'), ('daniel_megert', '2008-07-03 03:12:48 EDT', 'daniel_megert'), ('jdt-ui-inbox', '2008-07-03 03:13:54 EDT', 'daniel_megert'), ('UI', '2008-07-03 03:13:54 EDT', 'daniel_megert'), ('JDT', '2008-07-03 03:13:54 EDT', 'daniel_megert'), ('[ltk] LTK participants should be able to modify refactored resources', '2008-07-03 03:13:54 EDT', 'daniel_megert'), ('markus_keller', '2008-07-03 05:09:22 EDT', 'markus.kell.r'), ('RESOLVED', '2008-07-03 05:09:22 EDT', 'markus.kell.r'), ('DUPLICATE', '2008-07-03 05:09:22 EDT', 'markus.kell.r')]</t>
  </si>
  <si>
    <t>2008-07-03 08:02:56 EDT</t>
  </si>
  <si>
    <t>2008-07-03 04:33 EDT</t>
  </si>
  <si>
    <t>2008-07-03 04:33:33 EDT</t>
  </si>
  <si>
    <t>2010-08-09 04:56:17 EDT</t>
  </si>
  <si>
    <t>[('CREATED', '2008-07-03 04:33 EDT'), ('philippe_mulet', '2008-07-03 04:33:33 EDT', 'Szymon.Brandys'), ('daniel_megert', '2008-07-03 08:02:56 EDT', 'daniel_megert'), ('RESOLVED', '2008-07-03 08:02:56 EDT', 'daniel_megert'), ('WONTFIX', '2008-07-03 08:02:56 EDT', 'daniel_megert'), ('[ltk] Refactoring locks the workspace root during a delete', '2008-07-03 08:02:56 EDT', 'daniel_megert'), ('markus_keller', '2010-08-09 04:52:07 EDT', 'markus.kell.r'), ('tjbishop', '2010-08-09 04:56:17 EDT', 'markus.kell.r')]</t>
  </si>
  <si>
    <t>2009-01-08 13:50:05 EST</t>
  </si>
  <si>
    <t>2008-07-03 06:16 EDT</t>
  </si>
  <si>
    <t>2008-07-03 06:17:24 EDT</t>
  </si>
  <si>
    <t>[('CREATED', '2008-07-03 06:16 EDT'), ('3.5 M1', '2008-07-03 06:17:24 EDT', 'markus.kell.r'), ('markus_keller', '2008-07-03 06:17:24 EDT', 'markus.kell.r'), ('3.5 M2', '2008-08-04 10:54:06 EDT', 'markus.kell.r'), ('ASSIGNED', '2008-09-12 08:55:32 EDT', 'markus.kell.r'), ('3.5 M4', '2008-09-12 08:55:32 EDT', 'markus.kell.r'), ('kscheglov', '2008-10-16 04:37:10 EDT', 'Konstantin.Scheglov'), ('3.5 M5', '2008-12-10 08:10:39 EST', 'markus.kell.r'), ('RESOLVED', '2009-01-08 13:50:05 EST', 'markus.kell.r'), ('FIXED', '2009-01-08 13:50:05 EST', 'markus.kell.r')]</t>
  </si>
  <si>
    <t>2008-07-15 03:23:56 EDT</t>
  </si>
  <si>
    <t>2008-08-06 08:47:35 EDT</t>
  </si>
  <si>
    <t>2008-07-03 14:56 EDT</t>
  </si>
  <si>
    <t>2008-07-07 10:56:32 EDT</t>
  </si>
  <si>
    <t>[('CREATED', '2008-07-03 14:56 EDT'), ('john_arthorne', '2008-07-07 10:56:32 EDT', 'john.arthorne'), ('jdt-ui-inbox', '2008-07-07 10:56:32 EDT', 'john.arthorne'), ('UI', '2008-07-07 10:56:32 EDT', 'john.arthorne'), ('JDT', '2008-07-07 10:56:32 EDT', 'john.arthorne'), ('daniel_megert', '2008-07-14 07:17:46 EDT', 'daniel_megert'), ('daniel_megert', '2008-07-14 07:17:46 EDT', 'daniel_megert'), ('[package explorer] Invalid dialog about deleting read-only elements when deleting a linked resource folder', '2008-07-14 07:17:46 EDT', 'daniel_megert'), ('3.4.1', '2008-07-14 07:17:46 EDT', 'daniel_megert'), ('ASSIGNED', '2008-07-14 08:46:17 EDT', 'daniel_megert'), ('review?(markus_keller)', '2008-07-14 08:53:54 EDT', 'daniel_megert'), ('markus_keller', '2008-07-14 10:24:13 EDT', 'markus.kell.r'), ('review+', '2008-07-14 10:24:13 EDT', 'markus.kell.r'), ('RESOLVED', '2008-07-15 03:23:56 EDT', 'daniel_megert'), ('FIXED', '2008-07-15 03:23:56 EDT', 'daniel_megert'), ('VERIFIED', '2008-08-06 08:47:35 EDT', 'daniel_megert')]</t>
  </si>
  <si>
    <t>2008-07-04 23:11 EDT</t>
  </si>
  <si>
    <t>2008-07-15 13:29:14 EDT</t>
  </si>
  <si>
    <t>2019-12-24 06:26:43 EST</t>
  </si>
  <si>
    <t>[('CREATED', '2008-07-04 23:11 EDT'), ('markus_keller', '2008-07-15 13:29:14 EDT', 'markus.kell.r'), ('ASSIGNED', '2008-07-15 13:29:14 EDT', 'markus.kell.r'), ('[generalize type] should use ImportRewrite to avoid duplicate types', '2008-07-15 13:29:14 EDT', 'markus.kell.r'), ('stalebug', '2019-12-24 06:26:43 EST', 'genie')]</t>
  </si>
  <si>
    <t>2008-07-07 13:28 EDT</t>
  </si>
  <si>
    <t>2008-07-08 04:20:07 EDT</t>
  </si>
  <si>
    <t>2019-11-12 11:32:16 EST</t>
  </si>
  <si>
    <t>[('CREATED', '2008-07-07 13:28 EDT'), ('daniel_megert', '2008-07-08 04:20:07 EDT', 'daniel_megert'), ('ASSIGNED', '2008-07-08 04:20:07 EDT', 'daniel_megert'), ("[reorg] Moving static members enforces 'public' visibility", '2008-07-08 04:20:07 EDT', 'daniel_megert'), ('stalebug', '2019-11-12 11:32:16 EST', 'genie')]</t>
  </si>
  <si>
    <t>CLOSED  DUPLICATE  of bug 350375</t>
  </si>
  <si>
    <t>2011-06-28 11:28:00 EDT</t>
  </si>
  <si>
    <t>2008-07-08 14:14 EDT</t>
  </si>
  <si>
    <t>2008-07-08 14:58:16 EDT</t>
  </si>
  <si>
    <t>[('CREATED', '2008-07-08 14:14 EDT'), ('Olivier_Thomann', '2008-07-08 14:58:16 EDT', 'Olivier_Thomann'), ('jdt-ui-inbox', '2008-07-08 14:58:16 EDT', 'Olivier_Thomann'), ('UI', '2008-07-08 14:58:16 EDT', 'Olivier_Thomann'), ('markus_keller', '2008-07-09 04:27:37 EDT', 'daniel_megert'), ('daniel_megert', '2008-07-09 04:27:37 EDT', 'daniel_megert'), ('[change method signature] NPE while doing change method signature refactoring', '2008-07-09 04:27:59 EDT', 'daniel_megert'), ('CLOSED', '2011-06-28 11:28:00 EDT', 'markus.kell.r'), ('DUPLICATE', '2011-06-28 11:28:00 EDT', 'markus.kell.r')]</t>
  </si>
  <si>
    <t>RESOLVED  DUPLICATE  of bug 199016</t>
  </si>
  <si>
    <t>2008-07-10 04:30:06 EDT</t>
  </si>
  <si>
    <t>2008-07-09 09:56 EDT</t>
  </si>
  <si>
    <t>2008-07-09 09:56:55 EDT</t>
  </si>
  <si>
    <t>[('CREATED', '2008-07-09 09:56 EDT'), ('metatech', '2008-07-09 09:56:55 EDT', 'metatech'), ('daniel_megert', '2008-07-10 04:30:06 EDT', 'daniel_megert'), ('RESOLVED', '2008-07-10 04:30:06 EDT', 'daniel_megert'), ('DUPLICATE', '2008-07-10 04:30:06 EDT', 'daniel_megert'), ('markus_keller', '2008-07-31 13:18:49 EDT', 'markus.kell.r')]</t>
  </si>
  <si>
    <t>RESOLVED  DUPLICATE  of bug 182064</t>
  </si>
  <si>
    <t>2008-07-14 06:33:47 EDT</t>
  </si>
  <si>
    <t>2008-07-11 08:59 EDT</t>
  </si>
  <si>
    <t>[('CREATED', '2008-07-11 08:59 EDT'), ('daniel_megert', '2008-07-14 06:33:47 EDT', 'daniel_megert'), ('RESOLVED', '2008-07-14 06:33:47 EDT', 'daniel_megert'), ('DUPLICATE', '2008-07-14 06:33:47 EDT', 'daniel_megert')]</t>
  </si>
  <si>
    <t>2008-07-14 02:40:57 EDT</t>
  </si>
  <si>
    <t>2008-07-11 10:12 EDT</t>
  </si>
  <si>
    <t>[('CREATED', '2008-07-11 10:12 EDT'), ('daniel_megert', '2008-07-14 02:40:57 EDT', 'daniel_megert'), ('RESOLVED', '2008-07-14 02:40:57 EDT', 'daniel_megert'), ('DUPLICATE', '2008-07-14 02:40:57 EDT', 'daniel_megert')]</t>
  </si>
  <si>
    <t>2008-07-14 11:12:25 EDT</t>
  </si>
  <si>
    <t>2008-07-14 10:00 EDT</t>
  </si>
  <si>
    <t>2008-07-14 10:15:25 EDT</t>
  </si>
  <si>
    <t>[('CREATED', '2008-07-14 10:00 EDT'), ('Olivier_Thomann', '2008-07-14 10:15:25 EDT', 'Olivier_Thomann'), ('jdt-ui-inbox', '2008-07-14 10:15:25 EDT', 'Olivier_Thomann'), ('UI', '2008-07-14 10:15:25 EDT', 'Olivier_Thomann'), ('daniel_megert', '2008-07-14 11:12:25 EDT', 'daniel_megert'), ('RESOLVED', '2008-07-14 11:12:25 EDT', 'daniel_megert'), ('WONTFIX', '2008-07-14 11:12:25 EDT', 'daniel_megert')]</t>
  </si>
  <si>
    <t>487278 (view as bug list)</t>
  </si>
  <si>
    <t>2020-02-08 12:16:16 EST</t>
  </si>
  <si>
    <t>2008-07-15 22:15 EDT</t>
  </si>
  <si>
    <t>2008-07-16 03:20:09 EDT</t>
  </si>
  <si>
    <t>[('CREATED', '2008-07-15 22:15 EDT'), ('daniel_megert', '2008-07-16 03:20:09 EDT', 'daniel_megert'), ('ASSIGNED', '2008-07-16 03:20:09 EDT', 'daniel_megert'), ("[pull up] Pull up gives wrong 'not accessible' error message", '2008-07-16 03:20:09 EDT', 'daniel_megert'), ('rkhatchadourian', '2016-02-04 23:36:37 EST', 'sarika.sinha'), ('stalebug', '2020-02-08 12:16:16 EST', 'genie'), ('CLOSED', '2020-02-08 12:16:16 EST', 'genie'), ('WONTFIX', '2020-02-08 12:16:16 EST', 'genie')]</t>
  </si>
  <si>
    <t>2008-07-16 03:14:42 EDT</t>
  </si>
  <si>
    <t>2008-07-15 22:25 EDT</t>
  </si>
  <si>
    <t>[('CREATED', '2008-07-15 22:25 EDT'), ('daniel_megert', '2008-07-16 03:14:42 EDT', 'daniel_megert'), ('RESOLVED', '2008-07-16 03:14:42 EDT', 'daniel_megert'), ('INVALID', '2008-07-16 03:14:42 EDT', 'daniel_megert')]</t>
  </si>
  <si>
    <t>2008-07-15 22:32 EDT</t>
  </si>
  <si>
    <t>2008-07-16 03:00:01 EDT</t>
  </si>
  <si>
    <t>2019-05-05 10:39:49 EDT</t>
  </si>
  <si>
    <t>[('CREATED', '2008-07-15 22:32 EDT'), ('daniel_megert', '2008-07-16 03:00:01 EDT', 'daniel_megert'), ('ASSIGNED', '2008-07-16 03:00:01 EDT', 'daniel_megert'), ('[pull up] refactoring causes compile an error because it replaces wrong destination type', '2008-07-16 03:00:01 EDT', 'daniel_megert'), ('stalebug', '2019-05-04 12:48:54 EDT', 'genie'), (nan, '2019-05-05 10:39:49 EDT', 'daniel_megert')]</t>
  </si>
  <si>
    <t>2008-07-15 22:50 EDT</t>
  </si>
  <si>
    <t>2008-07-16 03:10:33 EDT</t>
  </si>
  <si>
    <t>2020-09-03 19:07:18 EDT</t>
  </si>
  <si>
    <t>[('CREATED', '2008-07-15 22:50 EDT'), ('daniel_megert', '2008-07-16 03:10:33 EDT', 'daniel_megert'), ('ASSIGNED', '2008-07-16 03:10:33 EDT', 'daniel_megert'), ('[pull up] pull up causes compile error in case of generic methods calls', '2008-07-16 03:10:33 EDT', 'daniel_megert'), ('stalebug', '2020-09-03 19:07:18 EDT', 'genie')]</t>
  </si>
  <si>
    <t>2008-07-17 10:01 EDT</t>
  </si>
  <si>
    <t>2008-07-17 11:13:53 EDT</t>
  </si>
  <si>
    <t>2009-05-05 06:44:34 EDT</t>
  </si>
  <si>
    <t>[('CREATED', '2008-07-17 10:01 EDT'), ('All', '2008-07-17 11:13:53 EDT', 'daniel_megert'), ('[reorg] Need a refactoring participant for Message bundle classes', '2008-07-17 11:13:53 EDT', 'daniel_megert'), ('daniel_megert', '2008-07-17 11:13:53 EDT', 'daniel_megert'), ('enhancement', '2008-07-17 11:13:53 EDT', 'daniel_megert'), ('ASSIGNED', '2008-07-17 11:13:53 EDT', 'daniel_megert'), ('All', '2008-07-17 11:13:53 EDT', 'daniel_megert'), ('3.5', '2009-05-05 06:44:34 EDT', 'daniel_megert')]</t>
  </si>
  <si>
    <t>2008-07-30 13:01:30 EDT</t>
  </si>
  <si>
    <t>2008-07-21 02:56 EDT</t>
  </si>
  <si>
    <t>2008-07-21 10:21:28 EDT</t>
  </si>
  <si>
    <t>[('CREATED', '2008-07-21 02:56 EDT'), ('jdt-ui-inbox', '2008-07-21 10:21:28 EDT', 'kent_johnson'), ('UI', '2008-07-21 10:21:28 EDT', 'kent_johnson'), ('markus_keller', '2008-07-30 06:31:57 EDT', 'markus.kell.r'), ('markus_keller', '2008-07-30 06:31:57 EDT', 'markus.kell.r'), ('RESOLVED', '2008-07-30 13:01:30 EDT', 'markus.kell.r'), ('FIXED', '2008-07-30 13:01:30 EDT', 'markus.kell.r'), ('3.5 M1', '2008-07-30 13:01:30 EDT', 'markus.kell.r')]</t>
  </si>
  <si>
    <t>RESOLVED  DUPLICATE  of bug 148804</t>
  </si>
  <si>
    <t>2008-07-24 12:47:20 EDT</t>
  </si>
  <si>
    <t>2008-07-24 00:12 EDT</t>
  </si>
  <si>
    <t>[('CREATED', '2008-07-24 00:12 EDT'), ('markus_keller', '2008-07-24 12:47:20 EDT', 'markus.kell.r'), ('RESOLVED', '2008-07-24 12:47:20 EDT', 'markus.kell.r'), ('DUPLICATE', '2008-07-24 12:47:20 EDT', 'markus.kell.r')]</t>
  </si>
  <si>
    <t>RESOLVED  DUPLICATE  of bug 73830</t>
  </si>
  <si>
    <t>2008-08-11 09:09:57 EDT</t>
  </si>
  <si>
    <t>2008-07-28 08:55 EDT</t>
  </si>
  <si>
    <t>2008-08-11 08:53:28 EDT</t>
  </si>
  <si>
    <t>[('CREATED', '2008-07-28 08:55 EDT'), ('Olivier_Thomann', '2008-08-11 08:53:28 EDT', 'Olivier_Thomann'), ('jdt-ui-inbox', '2008-08-11 08:53:28 EDT', 'Olivier_Thomann'), ('UI', '2008-08-11 08:53:28 EDT', 'Olivier_Thomann'), ('daniel_megert', '2008-08-11 09:09:57 EDT', 'daniel_megert'), ('RESOLVED', '2008-08-11 09:09:57 EDT', 'daniel_megert'), ('DUPLICATE', '2008-08-11 09:09:57 EDT', 'daniel_megert')]</t>
  </si>
  <si>
    <t>RESOLVED  DUPLICATE  of bug 218437</t>
  </si>
  <si>
    <t>2008-07-28 13:03:50 EDT</t>
  </si>
  <si>
    <t>2008-07-28 11:33 EDT</t>
  </si>
  <si>
    <t>[('CREATED', '2008-07-28 11:33 EDT'), ('markus_keller', '2008-07-28 13:03:50 EDT', 'markus.kell.r'), ('RESOLVED', '2008-07-28 13:03:50 EDT', 'markus.kell.r'), ('DUPLICATE', '2008-07-28 13:03:50 EDT', 'markus.kell.r')]</t>
  </si>
  <si>
    <t>2008-08-04 05:04:05 EDT</t>
  </si>
  <si>
    <t>2008-07-30 15:49 EDT</t>
  </si>
  <si>
    <t>[('CREATED', '2008-07-30 15:49 EDT'), ('daniel_megert', '2008-08-04 05:04:05 EDT', 'daniel_megert'), ('RESOLVED', '2008-08-04 05:04:05 EDT', 'daniel_megert'), ('DUPLICATE', '2008-08-04 05:04:05 EDT', 'daniel_megert')]</t>
  </si>
  <si>
    <t>247848 254449 (view as bug list)</t>
  </si>
  <si>
    <t>2008-11-13 09:05:38 EST</t>
  </si>
  <si>
    <t>2008-12-09 07:28:52 EST</t>
  </si>
  <si>
    <t>2008-11-06 09:45:44 EST</t>
  </si>
  <si>
    <t>2008-08-04 18:31 EDT</t>
  </si>
  <si>
    <t>2008-08-05 04:08:37 EDT</t>
  </si>
  <si>
    <t>[('CREATED', '2008-08-04 18:31 EDT'), ('daniel_megert', '2008-08-05 04:08:37 EDT', 'daniel_megert'), ('markus_keller', '2008-08-05 04:08:37 EDT', 'daniel_megert'), ('[extract local] IllegalArgumentException in ExtractTempRefactoring', '2008-08-05 04:08:37 EDT', 'daniel_megert'), ('3.5 M2', '2008-08-05 04:08:37 EDT', 'daniel_megert'), ('RESOLVED', '2008-09-12 13:28:04 EDT', 'markus.kell.r'), ('FIXED', '2008-09-12 13:28:04 EDT', 'markus.kell.r'), ('u.hobelmann', '2008-11-06 09:42:31 EST', 'markus.kell.r'), ('REOPENED', '2008-11-06 09:45:44 EST', 'markus.kell.r'), ('---', '2008-11-06 09:45:44 EST', 'markus.kell.r'), ('3.4.2', '2008-11-06 09:45:44 EST', 'markus.kell.r'), ('ASSIGNED', '2008-11-06 10:22:06 EST', 'markus.kell.r'), ('review?(daniel_megert)', '2008-11-06 10:22:06 EST', 'markus.kell.r'), ('review+', '2008-11-13 09:05:38 EST', 'daniel_megert'), ('RESOLVED', '2008-11-13 09:05:38 EST', 'daniel_megert'), ('FIXED', '2008-11-13 09:05:38 EST', 'daniel_megert'), ('review+', '2008-11-13 09:05:51 EST', 'daniel_megert'), ('VERIFIED', '2008-12-09 07:28:52 EST', 'daniel_megert')]</t>
  </si>
  <si>
    <t>2008-08-11 06:41:05 EDT</t>
  </si>
  <si>
    <t>2008-08-05 09:38 EDT</t>
  </si>
  <si>
    <t>2008-08-05 09:38:37 EDT</t>
  </si>
  <si>
    <t>[('CREATED', '2008-08-05 09:38 EDT'), ('ASSIGNED', '2008-08-05 09:38:37 EDT', 'markus.kell.r'), ('3.5 M2', '2008-08-05 09:40:37 EDT', 'markus.kell.r'), ('markus_keller', '2008-08-05 09:40:37 EDT', 'markus.kell.r'), ('NEW', '2008-08-05 09:40:37 EDT', 'markus.kell.r'), ('RESOLVED', '2008-08-11 06:41:05 EDT', 'markus.kell.r'), ('FIXED', '2008-08-11 06:41:05 EDT', 'markus.kell.r')]</t>
  </si>
  <si>
    <t>2008-09-15 05:42:31 EDT</t>
  </si>
  <si>
    <t>2008-08-05 09:49 EDT</t>
  </si>
  <si>
    <t>2008-08-05 09:56:22 EDT</t>
  </si>
  <si>
    <t>2010-04-16 15:08:09 EDT</t>
  </si>
  <si>
    <t>pembo13</t>
  </si>
  <si>
    <t>[('CREATED', '2008-08-05 09:49 EDT'), ('daniel_megert, ferenc.hechler', '2008-08-05 09:56:22 EDT', 'daniel_megert'), ('ASSIGNED', '2008-08-05 09:56:22 EDT', 'daniel_megert'), ('helpwanted', '2008-08-05 09:56:22 EDT', 'daniel_megert'), ('[jar exporter] export directory entries in "Runnable JAR File"', '2008-08-05 09:56:22 EDT', 'daniel_megert'), ('tom', '2008-08-05 19:26:00 EDT', 'tom'), ('daniel_megert', '2008-08-06 05:57:52 EDT', 'daniel_megert'), ('NEW', '2008-08-06 05:57:52 EDT', 'daniel_megert'), ('3.5 M2', '2008-08-06 05:57:52 EDT', 'daniel_megert'), ('review?', '2008-08-06 05:58:41 EDT', 'daniel_megert'), ('RESOLVED', '2008-09-15 05:42:31 EDT', 'daniel_megert'), ('FIXED', '2008-09-15 05:42:31 EDT', 'daniel_megert'), ('review+, iplog+', '2008-09-15 05:43:17 EDT', 'daniel_megert'), ('pembo13', '2010-04-16 15:08:09 EDT', 'pembo13')]</t>
  </si>
  <si>
    <t>2008-08-05 11:47 EDT</t>
  </si>
  <si>
    <t>2008-08-06 04:56:02 EDT</t>
  </si>
  <si>
    <t>2019-10-30 02:40:45 EDT</t>
  </si>
  <si>
    <t>[('CREATED', '2008-08-05 11:47 EDT'), ('daniel_megert', '2008-08-06 04:56:02 EDT', 'daniel_megert'), ('ASSIGNED', '2008-08-06 04:56:02 EDT', 'daniel_megert'), ('All', '2008-08-06 04:56:02 EDT', 'daniel_megert'), ('All', '2008-08-06 04:56:02 EDT', 'daniel_megert'), ('[move member type] Uncompilable code after refactoring', '2008-08-06 04:56:02 EDT', 'daniel_megert'), ('stalebug', '2019-10-30 02:40:45 EDT', 'genie')]</t>
  </si>
  <si>
    <t>2008-08-06 07:08:07 EDT</t>
  </si>
  <si>
    <t>2008-08-06 06:44 EDT</t>
  </si>
  <si>
    <t>[('CREATED', '2008-08-06 06:44 EDT'), ('RESOLVED', '2008-08-06 07:08:07 EDT', 'daniel_megert'), ('FIXED', '2008-08-06 07:08:07 EDT', 'daniel_megert'), ('3.5 M2', '2008-08-06 07:08:07 EDT', 'daniel_megert')]</t>
  </si>
  <si>
    <t>2008-08-11 05:59:09 EDT</t>
  </si>
  <si>
    <t>2008-08-08 09:34 EDT</t>
  </si>
  <si>
    <t>[('CREATED', '2008-08-08 09:34 EDT'), ('RESOLVED', '2008-08-11 05:59:09 EDT', 'markus.kell.r'), ('FIXED', '2008-08-11 05:59:09 EDT', 'markus.kell.r'), ('3.5 M2', '2008-08-11 05:59:09 EDT', 'markus.kell.r')]</t>
  </si>
  <si>
    <t>2008-08-16 04:13:14 EDT</t>
  </si>
  <si>
    <t>2008-08-08 12:42 EDT</t>
  </si>
  <si>
    <t>2008-08-15 15:46:00 EDT</t>
  </si>
  <si>
    <t>2008-08-18 11:09:06 EDT</t>
  </si>
  <si>
    <t>[('CREATED', '2008-08-08 12:42 EDT'), ('cgold', '2008-08-15 15:46:00 EDT', 'cgold'), ('jdt-ui-inbox', '2008-08-15 15:46:00 EDT', 'cgold'), ('UI', '2008-08-15 15:46:00 EDT', 'cgold'), ('JDT', '2008-08-15 15:46:00 EDT', 'cgold'), ('RESOLVED', '2008-08-16 04:13:14 EDT', 'daniel_megert'), ('All', '2008-08-16 04:13:14 EDT', 'daniel_megert'), ('All', '2008-08-16 04:13:14 EDT', 'daniel_megert'), ('WORKSFORME', '2008-08-16 04:13:14 EDT', 'daniel_megert'), ('daniel_megert', '2008-08-16 04:13:14 EDT', 'daniel_megert'), ('markus_keller', '2008-08-18 11:09:06 EDT', 'markus.kell.r')]</t>
  </si>
  <si>
    <t>265576 (view as bug list)</t>
  </si>
  <si>
    <t>195063</t>
  </si>
  <si>
    <t>2008-08-18 13:57 EDT</t>
  </si>
  <si>
    <t>2008-08-19 02:49:35 EDT</t>
  </si>
  <si>
    <t>2010-04-08 05:08:06 EDT</t>
  </si>
  <si>
    <t>[('CREATED', '2008-08-18 13:57 EDT'), ('Text', '2008-08-19 02:49:35 EDT', 'daniel_megert'), ('All', '2008-08-19 02:49:35 EDT', 'daniel_megert'), ('P4', '2008-08-19 02:49:35 EDT', 'daniel_megert'), ('All', '2008-08-19 02:49:35 EDT', 'daniel_megert'), ('[clean up] Running save actions on refactor', '2008-08-19 02:49:35 EDT', 'daniel_megert'), ('3.5', '2008-08-19 02:49:35 EDT', 'daniel_megert'), ('daniel_megert', '2008-08-19 02:49:35 EDT', 'daniel_megert'), ('195063', '2008-08-19 02:49:35 EDT', 'daniel_megert'), ('ASSIGNED', '2008-08-19 02:49:35 EDT', 'daniel_megert'), ('benno_baumgartner', '2008-08-19 03:58:15 EDT', 'benno.baumgartner'), ('eclipse', '2008-09-10 11:56:31 EDT', 'eclipse'), ('irbull', '2008-12-30 01:20:26 EST', 'irbull'), ('duffyjk', '2009-02-20 02:33:14 EST', 'daniel_megert'), ('remy.suen', '2009-02-20 07:50:43 EST', 'remy.suen'), ('markus_keller', '2009-03-18 09:44:46 EDT', 'markus.kell.r'), ('P3', '2009-04-24 09:54:18 EDT', 'daniel_megert'), ('3.6', '2009-04-24 09:54:18 EDT', 'daniel_megert'), ('Brian.Miller', '2010-01-08 12:22:11 EST', 'Brian.Miller'), ('---', '2010-04-08 05:07:43 EDT', 'daniel_megert'), ('fix candidate', '2010-04-08 05:07:43 EDT', 'daniel_megert'), ('jdt-text-inbox', '2010-04-08 05:07:43 EDT', 'daniel_megert'), ('UI', '2010-04-08 05:08:06 EDT', 'daniel_megert'), ('jdt-ui-inbox', '2010-04-08 05:08:06 EDT', 'daniel_megert')]</t>
  </si>
  <si>
    <t>2008-08-22 05:38:02 EDT</t>
  </si>
  <si>
    <t>2020-03-30 10:50:55 EDT</t>
  </si>
  <si>
    <t>2008-08-28 10:09:40 EDT</t>
  </si>
  <si>
    <t>2008-08-21 21:54 EDT</t>
  </si>
  <si>
    <t>[('CREATED', '2008-08-21 21:54 EDT'), ('markus_keller', '2008-08-22 05:38:02 EDT', 'markus.kell.r'), ('RESOLVED', '2008-08-22 05:38:02 EDT', 'markus.kell.r'), ('INVALID', '2008-08-22 05:38:02 EDT', 'markus.kell.r'), ('REOPENED', '2008-08-28 10:09:40 EDT', 'mkpgoodwin'), ('---', '2008-08-28 10:09:40 EDT', 'mkpgoodwin'), ('ASSIGNED', '2008-09-02 14:20:52 EDT', 'markus.kell.r'), ('P4', '2008-09-02 14:20:52 EDT', 'markus.kell.r'), ('[JUnit] Eclipse JUnit Runner does not work well with stateful runners', '2008-09-02 14:20:52 EDT', 'markus.kell.r'), ('stalebug', '2020-03-30 10:50:55 EDT', 'genie'), ('CLOSED', '2020-03-30 10:50:55 EDT', 'genie'), ('WONTFIX', '2020-03-30 10:50:55 EDT', 'genie')]</t>
  </si>
  <si>
    <t>2008-08-27 11:25:26 EDT</t>
  </si>
  <si>
    <t>2008-08-26 10:27 EDT</t>
  </si>
  <si>
    <t>2008-08-27 07:49:20 EDT</t>
  </si>
  <si>
    <t>[('CREATED', '2008-08-26 10:27 EDT'), ('jdt-ui-inbox', '2008-08-27 07:49:20 EDT', 'jerome_lanneluc'), ('UI', '2008-08-27 07:49:20 EDT', 'jerome_lanneluc'), ('daniel_megert', '2008-08-27 10:58:23 EDT', 'daniel_megert'), ('daniel_megert', '2008-08-27 10:58:23 EDT', 'daniel_megert'), ('[clean up] Convert control statement bodies to use blocks fails on if(true }', '2008-08-27 10:58:23 EDT', 'daniel_megert'), ('3.5 M2', '2008-08-27 10:58:23 EDT', 'daniel_megert'), ('3.4', '2008-08-27 10:58:23 EDT', 'daniel_megert'), ('benno_baumgartner', '2008-08-27 11:20:36 EDT', 'benno.baumgartner'), ('RESOLVED', '2008-08-27 11:25:26 EDT', 'daniel_megert'), ('FIXED', '2008-08-27 11:25:26 EDT', 'daniel_megert')]</t>
  </si>
  <si>
    <t>2008-09-01 06:23:38 EDT</t>
  </si>
  <si>
    <t>2008-09-01 03:21:53 EDT</t>
  </si>
  <si>
    <t>2008-09-01 03:22:58 EDT</t>
  </si>
  <si>
    <t>2008-08-30 18:43 EDT</t>
  </si>
  <si>
    <t>[('CREATED', '2008-08-30 18:43 EDT'), ('daniel_megert', '2008-09-01 03:21:53 EDT', 'daniel_megert'), ('RESOLVED', '2008-09-01 03:21:53 EDT', 'daniel_megert'), ('WORKSFORME', '2008-09-01 03:21:53 EDT', 'daniel_megert'), ('[refactoring] TypeContextChecker creates stub with syntax error', '2008-09-01 03:21:53 EDT', 'daniel_megert'), ('REOPENED', '2008-09-01 03:22:58 EDT', 'daniel_megert'), ('---', '2008-09-01 03:22:58 EDT', 'daniel_megert'), ('markus_keller', '2008-09-01 06:03:49 EDT', 'markus.kell.r'), ('markus_keller', '2008-09-01 06:03:49 EDT', 'markus.kell.r'), ('minor', '2008-09-01 06:03:49 EDT', 'markus.kell.r'), ('NEW', '2008-09-01 06:03:49 EDT', 'markus.kell.r'), ('3.5 M2', '2008-09-01 06:03:49 EDT', 'markus.kell.r'), ('RESOLVED', '2008-09-01 06:23:38 EDT', 'markus.kell.r'), ('FIXED', '2008-09-01 06:23:38 EDT', 'markus.kell.r')]</t>
  </si>
  <si>
    <t>2008-09-03 08:43 EDT</t>
  </si>
  <si>
    <t>2008-09-04 06:16:52 EDT</t>
  </si>
  <si>
    <t>2019-02-11 10:11:23 EST</t>
  </si>
  <si>
    <t>[('CREATED', '2008-09-03 08:43 EDT'), ('daniel_megert, ferenc.hechler', '2008-09-04 06:16:52 EDT', 'daniel_megert'), ('P5', '2008-09-05 02:42:14 EDT', 'daniel_megert'), ('ASSIGNED', '2008-09-05 02:42:14 EDT', 'daniel_megert'), ('helpwanted', '2008-09-05 02:42:14 EDT', 'daniel_megert'), ('benno_baumgartner', '2008-11-24 09:07:27 EST', 'daniel_megert'), ('markus_keller', '2008-11-25 02:36:28 EST', 'daniel_megert'), ('review-', '2009-02-04 08:13:09 EST', 'daniel_megert'), ('1', '2009-02-04 08:13:09 EST', 'daniel_megert'), ('ospf', '2019-02-11 08:31:22 EST', 'ospf'), ('https://bugs.eclipse.org/bugs/show_bug.cgi?id=541570', '2019-02-11 10:11:23 EST', 'daniel_megert')]</t>
  </si>
  <si>
    <t>RESOLVED  DUPLICATE  of bug 243101</t>
  </si>
  <si>
    <t>2008-09-19 03:11:19 EDT</t>
  </si>
  <si>
    <t>2008-09-18 12:32 EDT</t>
  </si>
  <si>
    <t>2008-09-18 14:42:54 EDT</t>
  </si>
  <si>
    <t>[('CREATED', '2008-09-18 12:32 EDT'), ('Olivier_Thomann', '2008-09-18 14:42:54 EDT', 'Olivier_Thomann'), ('jdt-ui-inbox', '2008-09-19 02:57:57 EDT', 'frederic_fusier'), ('UI', '2008-09-19 02:57:57 EDT', 'frederic_fusier'), ('daniel_megert', '2008-09-19 03:11:19 EDT', 'daniel_megert'), ('RESOLVED', '2008-09-19 03:11:19 EDT', 'daniel_megert'), ('DUPLICATE', '2008-09-19 03:11:19 EDT', 'daniel_megert')]</t>
  </si>
  <si>
    <t>2008-11-26 06:35:49 EST</t>
  </si>
  <si>
    <t>2008-12-09 07:32:14 EST</t>
  </si>
  <si>
    <t>2008-11-11 09:14:59 EST</t>
  </si>
  <si>
    <t>2008-09-23 07:25 EDT</t>
  </si>
  <si>
    <t>2008-09-23 09:06:26 EDT</t>
  </si>
  <si>
    <t>[('CREATED', '2008-09-23 07:25 EDT'), ('Olivier_Thomann', '2008-09-23 09:06:26 EDT', 'Olivier_Thomann'), ('jdt-ui-inbox', '2008-09-23 09:06:26 EDT', 'Olivier_Thomann'), ('UI', '2008-09-23 09:06:26 EDT', 'Olivier_Thomann'), ('3.5', '2008-09-23 09:59:21 EDT', 'daniel_megert'), ('daniel_megert', '2008-09-23 09:59:21 EDT', 'daniel_megert'), ('markus_keller', '2008-09-23 09:59:21 EDT', 'daniel_megert'), ("[refactoring] 'Add final modifier' save action collides with 'rename' refactoring", '2008-09-23 09:59:21 EDT', 'daniel_megert'), ('ASSIGNED', '2008-09-23 13:10:05 EDT', 'markus.kell.r'), ('RESOLVED', '2008-09-27 10:21:16 EDT', 'markus.kell.r'), ('FIXED', '2008-09-27 10:21:16 EDT', 'markus.kell.r'), ('3.4 M3', '2008-09-27 10:21:16 EDT', 'markus.kell.r'), ('3.5 M3', '2008-10-01 10:01:58 EDT', 'daniel_megert'), ('VERIFIED', '2008-10-28 07:30:26 EDT', 'daniel_megert'), ('REOPENED', '2008-11-11 09:14:59 EST', 'markus.kell.r'), ('---', '2008-11-11 09:14:59 EST', 'markus.kell.r'), ('3.4.2', '2008-11-11 09:14:59 EST', 'markus.kell.r'), ('ASSIGNED', '2008-11-26 04:54:22 EST', 'markus.kell.r'), ('review?(daniel_megert)', '2008-11-26 04:54:22 EST', 'markus.kell.r'), ('review+', '2008-11-26 06:30:41 EST', 'daniel_megert'), ('review+', '2008-11-26 06:34:15 EST', 'daniel_megert'), ('RESOLVED', '2008-11-26 06:35:49 EST', 'markus.kell.r'), ('FIXED', '2008-11-26 06:35:49 EST', 'markus.kell.r'), ('VERIFIED', '2008-12-09 07:32:14 EST', 'daniel_megert')]</t>
  </si>
  <si>
    <t>RESOLVED  DUPLICATE  of bug 93505</t>
  </si>
  <si>
    <t>2008-10-02 08:55:14 EDT</t>
  </si>
  <si>
    <t>2008-10-02 08:12 EDT</t>
  </si>
  <si>
    <t>[('CREATED', '2008-10-02 08:12 EDT'), ('daniel_megert', '2008-10-02 08:55:14 EDT', 'daniel_megert'), ('RESOLVED', '2008-10-02 08:55:14 EDT', 'daniel_megert'), ('All', '2008-10-02 08:55:14 EDT', 'daniel_megert'), ('All', '2008-10-02 08:55:14 EDT', 'daniel_megert'), ('DUPLICATE', '2008-10-02 08:55:14 EDT', 'daniel_megert'), ('[inline] Inline Method with varargs creates unneeded local array', '2008-10-02 08:55:14 EDT', 'daniel_megert')]</t>
  </si>
  <si>
    <t>2008-10-02 08:24 EDT</t>
  </si>
  <si>
    <t>2008-10-02 08:36:22 EDT</t>
  </si>
  <si>
    <t>2008-10-02 08:47:53 EDT</t>
  </si>
  <si>
    <t>[('CREATED', '2008-10-02 08:24 EDT'), ('daniel_megert', '2008-10-02 08:36:22 EDT', 'daniel_megert'), ('enhancement', '2008-10-02 08:36:22 EDT', 'daniel_megert'), ('ASSIGNED', '2008-10-02 08:36:22 EDT', 'daniel_megert'), ('All', '2008-10-02 08:36:22 EDT', 'daniel_megert'), ('All', '2008-10-02 08:36:22 EDT', 'daniel_megert'), ('[refactoring][ltk] Support scoping refactorings to working set', '2008-10-02 08:36:22 EDT', 'daniel_megert'), ('markus_keller', '2008-10-02 08:47:53 EDT', 'daniel_megert')]</t>
  </si>
  <si>
    <t>190810</t>
  </si>
  <si>
    <t>2008-10-02 11:34 EDT</t>
  </si>
  <si>
    <t>2008-10-02 11:42:35 EDT</t>
  </si>
  <si>
    <t>2010-04-08 08:50:41 EDT</t>
  </si>
  <si>
    <t>[('CREATED', '2008-10-02 11:34 EDT'), ('ASSIGNED', '2008-10-02 11:42:35 EDT', 'daniel_megert'), ('190810', '2009-02-04 08:03:17 EST', 'daniel_megert'), ('3.6', '2009-04-07 07:58:36 EDT', 'daniel_megert'), ('---', '2010-04-08 08:50:41 EDT', 'daniel_megert'), ('fix candidate', '2010-04-08 08:50:41 EDT', 'daniel_megert')]</t>
  </si>
  <si>
    <t>2008-10-13 13:32:37 EDT</t>
  </si>
  <si>
    <t>2008-10-28 06:57:53 EDT</t>
  </si>
  <si>
    <t>2008-10-13 11:35 EDT</t>
  </si>
  <si>
    <t>2008-10-13 12:06:56 EDT</t>
  </si>
  <si>
    <t>[('CREATED', '2008-10-13 11:35 EDT'), ('daniel_megert', '2008-10-13 12:06:56 EDT', 'daniel_megert'), ('markus_keller', '2008-10-13 12:06:56 EDT', 'daniel_megert'), ('All', '2008-10-13 12:06:56 EDT', 'daniel_megert'), ('All', '2008-10-13 12:06:56 EDT', 'daniel_megert'), ('RESOLVED', '2008-10-13 13:32:37 EDT', 'markus.kell.r'), ('FIXED', '2008-10-13 13:32:37 EDT', 'markus.kell.r'), ('3.5 M3', '2008-10-13 13:32:37 EDT', 'markus.kell.r'), ('VERIFIED', '2008-10-28 06:57:53 EDT', 'daniel_megert')]</t>
  </si>
  <si>
    <t>210200 (view as bug list)</t>
  </si>
  <si>
    <t>2008-12-12 08:14:30 EST</t>
  </si>
  <si>
    <t>2008-10-14 02:12 EDT</t>
  </si>
  <si>
    <t>2008-10-22 18:07:55 EDT</t>
  </si>
  <si>
    <t>2008-12-12 08:16:57 EST</t>
  </si>
  <si>
    <t>[('CREATED', '2008-10-14 02:12 EDT'), ('Kevin_McGuire', '2008-10-22 18:07:55 EDT', 'Kevin_McGuire'), ('susan_franklin', '2008-10-22 18:07:55 EDT', 'Kevin_McGuire'), ('UI', '2008-10-22 18:07:55 EDT', 'Kevin_McGuire'), ('UI', '2008-10-22 18:34:01 EDT', 'susan'), ('JDT', '2008-10-22 18:34:01 EDT', 'susan'), ('[ltk] Cannot delete an unsaved file in eclipse 3.4', '2008-10-22 18:34:01 EDT', 'susan'), ('hinaba, eiji.morito', '2008-12-11 19:09:20 EST', 'eiji.morito'), (nan, '2008-12-11 19:09:34 EST', 'eiji.morito'), ('jdt-ui-inbox', '2008-12-12 00:49:02 EST', 'susan'), ('markus_keller', '2008-12-12 06:01:01 EST', 'markus.kell.r'), ('markus_keller', '2008-12-12 06:01:01 EST', 'markus.kell.r'), ('3.5 M5', '2008-12-12 06:01:01 EST', 'markus.kell.r'), ('RESOLVED', '2008-12-12 08:14:30 EST', 'markus.kell.r'), ('FIXED', '2008-12-12 08:14:30 EST', 'markus.kell.r'), ('james', '2008-12-12 08:14:54 EST', 'markus.kell.r'), ('remy.suen', '2008-12-12 08:16:57 EST', 'remy.suen')]</t>
  </si>
  <si>
    <t>301180 (view as bug list)</t>
  </si>
  <si>
    <t>2008-11-20 12:58:43 EST</t>
  </si>
  <si>
    <t>2008-12-09 07:56:46 EST</t>
  </si>
  <si>
    <t>2008-10-15 06:24 EDT</t>
  </si>
  <si>
    <t>2008-10-15 10:48:08 EDT</t>
  </si>
  <si>
    <t>2010-01-29 11:10:58 EST</t>
  </si>
  <si>
    <t>[('CREATED', '2008-10-15 06:24 EDT'), ('jdt-ui-inbox', '2008-10-15 10:48:08 EDT', 'jerome_lanneluc'), ('UI', '2008-10-15 10:48:08 EDT', 'jerome_lanneluc'), ('daniel_megert', '2008-10-16 03:14:37 EDT', 'daniel_megert'), ('markus_keller', '2008-10-16 03:14:37 EDT', 'daniel_megert'), ('P2', '2008-10-16 03:14:37 EDT', 'daniel_megert'), ('[pull up] ClassCastException when performing a Pull-Up', '2008-10-16 03:14:57 EDT', 'daniel_megert'), ('ASSIGNED', '2008-11-20 08:11:28 EST', 'markus.kell.r'), ('P3', '2008-11-20 12:58:43 EST', 'markus.kell.r'), ('FIXED', '2008-11-20 12:58:43 EST', 'markus.kell.r'), ('3.5 M4', '2008-11-20 12:58:43 EST', 'markus.kell.r'), ('RESOLVED', '2008-11-20 12:58:43 EST', 'markus.kell.r'), ('VERIFIED', '2008-12-09 07:56:46 EST', 'daniel_megert'), ('Russell.Morrisey', '2010-01-29 11:10:58 EST', 'markus.kell.r')]</t>
  </si>
  <si>
    <t>2008-10-16 05:58 EDT</t>
  </si>
  <si>
    <t>2008-10-17 03:39:36 EDT</t>
  </si>
  <si>
    <t>2009-05-05 06:45:35 EDT</t>
  </si>
  <si>
    <t>[('CREATED', '2008-10-16 05:58 EDT'), ('daniel_megert', '2008-10-17 03:39:36 EDT', 'daniel_megert'), ('ASSIGNED', '2008-10-17 03:39:36 EDT', 'daniel_megert'), ('[refactoring] Specify file types that participate in refactoring at the project level', '2008-10-17 03:39:36 EDT', 'daniel_megert'), ('3.5', '2009-05-05 06:45:35 EDT', 'daniel_megert')]</t>
  </si>
  <si>
    <t>2008-10-20 04:27:10 EDT</t>
  </si>
  <si>
    <t>2008-10-20 00:31 EDT</t>
  </si>
  <si>
    <t>2008-10-20 06:35:28 EDT</t>
  </si>
  <si>
    <t>[('CREATED', '2008-10-20 00:31 EDT'), ('daniel_megert', '2008-10-20 04:27:10 EDT', 'daniel_megert'), ('RESOLVED', '2008-10-20 04:27:10 EDT', 'daniel_megert'), ('WONTFIX', '2008-10-20 04:27:10 EDT', 'daniel_megert'), ('b.muskalla', '2008-10-20 04:35:02 EDT', 'b.muskalla'), ('benno_baumgartner', '2008-10-20 06:35:28 EDT', 'benno.baumgartner')]</t>
  </si>
  <si>
    <t>2008-10-22 11:26:10 EDT</t>
  </si>
  <si>
    <t>2008-10-21 13:32 EDT</t>
  </si>
  <si>
    <t>2008-10-22 11:25:15 EDT</t>
  </si>
  <si>
    <t>[('CREATED', '2008-10-21 13:32 EDT'), ('3.5 M3', '2008-10-22 11:25:15 EDT', 'daniel_megert'), ('daniel_megert', '2008-10-22 11:25:15 EDT', 'daniel_megert'), ('daniel_megert', '2008-10-22 11:25:15 EDT', 'daniel_megert'), ('[encapsulate field] encapsulate field refactoring fails with splitted array type', '2008-10-22 11:25:15 EDT', 'daniel_megert'), ('RESOLVED', '2008-10-22 11:26:10 EDT', 'daniel_megert'), ('FIXED', '2008-10-22 11:26:10 EDT', 'daniel_megert')]</t>
  </si>
  <si>
    <t>2008-10-24 05:09:27 EDT</t>
  </si>
  <si>
    <t>2008-10-28 06:48:24 EDT</t>
  </si>
  <si>
    <t>2008-10-21 17:44 EDT</t>
  </si>
  <si>
    <t>2008-10-22 11:46:58 EDT</t>
  </si>
  <si>
    <t>[('CREATED', '2008-10-21 17:44 EDT'), ('daniel_megert', '2008-10-22 11:46:58 EDT', 'daniel_megert'), ('jdt-core-inbox', '2008-10-22 11:46:58 EDT', 'daniel_megert'), ('major', '2008-10-22 11:46:58 EDT', 'daniel_megert'), ('Core', '2008-10-22 11:46:58 EDT', 'daniel_megert'), ('jerome_lanneluc', '2008-10-23 12:40:50 EDT', 'jerome_lanneluc'), ('jdt-ui-inbox', '2008-10-23 12:40:50 EDT', 'jerome_lanneluc'), ('UI', '2008-10-23 12:40:50 EDT', 'jerome_lanneluc'), ('daniel_megert', '2008-10-24 05:07:35 EDT', 'daniel_megert'), ('3.5 M3', '2008-10-24 05:09:27 EDT', 'daniel_megert'), ('RESOLVED', '2008-10-24 05:09:27 EDT', 'daniel_megert'), ('FIXED', '2008-10-24 05:09:27 EDT', 'daniel_megert'), ('VERIFIED', '2008-10-28 06:48:24 EDT', 'daniel_megert')]</t>
  </si>
  <si>
    <t>2008-10-23 10:09:51 EDT</t>
  </si>
  <si>
    <t>2008-10-29 17:31:05 EDT</t>
  </si>
  <si>
    <t>2008-10-23 05:53:31 EDT</t>
  </si>
  <si>
    <t>2008-10-23 08:16:17 EDT</t>
  </si>
  <si>
    <t>2008-10-23 05:24 EDT</t>
  </si>
  <si>
    <t>2008-10-23 05:38:09 EDT</t>
  </si>
  <si>
    <t>[('CREATED', '2008-10-23 05:24 EDT'), ('jdt-ui-inbox', '2008-10-23 05:38:09 EDT', 'frederic_fusier'), ('UI', '2008-10-23 05:38:09 EDT', 'frederic_fusier'), ('daniel_megert', '2008-10-23 05:53:31 EDT', 'daniel_megert'), ('RESOLVED', '2008-10-23 05:53:31 EDT', 'daniel_megert'), ('WORKSFORME', '2008-10-23 05:53:31 EDT', 'daniel_megert'), ('[clean up] Fail to invoke "Clean Up" at project level', '2008-10-23 05:53:31 EDT', 'daniel_megert'), ('r.cesana', '2008-10-23 06:33:37 EDT', 'r.cesana'), ('benno_baumgartner', '2008-10-23 07:06:52 EDT', 'benno.baumgartner'), ('---', '2008-10-23 08:16:17 EDT', 'daniel_megert'), ('3.4.2', '2008-10-23 08:16:17 EDT', 'daniel_megert'), ('major', '2008-10-23 08:16:17 EDT', 'daniel_megert'), ('REOPENED', '2008-10-23 08:16:17 EDT', 'daniel_megert'), ('daniel_megert', '2008-10-23 09:36:08 EDT', 'daniel_megert'), ('NEW', '2008-10-23 09:36:08 EDT', 'daniel_megert'), ('ASSIGNED', '2008-10-23 09:41:07 EDT', 'daniel_megert'), ('review+', '2008-10-23 09:41:07 EDT', 'daniel_megert'), ('RESOLVED', '2008-10-23 10:09:51 EDT', 'daniel_megert'), ('FIXED', '2008-10-23 10:09:51 EDT', 'daniel_megert'), ('b.muskalla', '2008-10-28 14:05:31 EDT', 'b.muskalla'), ('VERIFIED', '2008-10-29 17:31:05 EDT', 'daniel_megert')]</t>
  </si>
  <si>
    <t>2008-12-01 13:13:42 EST</t>
  </si>
  <si>
    <t>2008-12-09 07:52:21 EST</t>
  </si>
  <si>
    <t>2008-10-23 09:54 EDT</t>
  </si>
  <si>
    <t>2008-11-24 04:57:25 EST</t>
  </si>
  <si>
    <t>[('CREATED', '2008-10-23 09:54 EDT'), ('daniel_megert', '2008-11-24 04:57:25 EST', 'daniel_megert'), ('markus_keller', '2008-11-24 04:57:25 EST', 'daniel_megert'), ('RESOLVED', '2008-12-01 13:13:42 EST', 'markus.kell.r'), ('FIXED', '2008-12-01 13:13:42 EST', 'markus.kell.r'), ('3.5 M4', '2008-12-01 13:13:42 EST', 'markus.kell.r'), ('VERIFIED', '2008-12-09 07:52:21 EST', 'daniel_megert')]</t>
  </si>
  <si>
    <t>2008-10-24 14:22 EDT</t>
  </si>
  <si>
    <t>2008-10-25 12:06:03 EDT</t>
  </si>
  <si>
    <t>2019-03-27 10:55:03 EDT</t>
  </si>
  <si>
    <t>[('CREATED', '2008-10-24 14:22 EDT'), ('daniel_megert', '2008-10-25 12:06:03 EDT', 'daniel_megert'), ('ASSIGNED', '2008-10-25 12:06:03 EDT', 'daniel_megert'), ('[quick assist] Convert switch to if without cases leads to NPE', '2008-10-25 12:06:03 EDT', 'daniel_megert'), ('b.muskalla', '2008-10-25 14:56:12 EDT', 'b.muskalla'), ('NEW', '2008-10-25 14:56:12 EDT', 'b.muskalla'), ('ASSIGNED', '2008-10-26 17:00:52 EDT', 'b.muskalla'), ('martin_aeschlimann', '2008-10-27 04:29:27 EDT', 'daniel_megert'), ('markus_keller', '2008-11-06 11:59:01 EST', 'markus.kell.r'), ('1', '2009-02-04 08:15:33 EST', 'daniel_megert'), ('stalebug', '2019-03-25 14:20:05 EDT', 'genie'), ('benjamin.muskalla', '2019-03-27 10:55:03 EDT', 'daniel_megert'), ('jdt-ui-inbox', '2019-03-27 10:55:03 EDT', 'daniel_megert'), (nan, '2019-03-27 10:55:03 EDT', 'daniel_megert')]</t>
  </si>
  <si>
    <t>CLOSED  DUPLICATE  of bug 293861</t>
  </si>
  <si>
    <t>2009-11-02 05:11:30 EST</t>
  </si>
  <si>
    <t>2008-10-30 23:45 EDT</t>
  </si>
  <si>
    <t>2008-11-04 15:19:21 EST</t>
  </si>
  <si>
    <t>[('CREATED', '2008-10-30 23:45 EDT'), ('pwebster', '2008-11-04 15:19:21 EST', 'pwebster'), ('jdt-core-inbox', '2008-11-04 15:19:21 EST', 'pwebster'), ('Core', '2008-11-04 15:19:21 EST', 'pwebster'), ('JDT', '2008-11-04 15:19:21 EST', 'pwebster'), ('3.4', '2008-11-04 15:19:21 EST', 'pwebster'), ('Olivier_Thomann', '2008-11-04 15:30:15 EST', 'Olivier_Thomann'), ('jdt-ui-inbox', '2008-11-04 15:30:15 EST', 'Olivier_Thomann'), ('UI', '2008-11-04 15:30:15 EST', 'Olivier_Thomann'), ('markus_keller', '2008-11-06 07:18:18 EST', 'markus.kell.r'), ('3.4.1', '2008-11-06 07:18:18 EST', 'markus.kell.r'), ('daniel_megert', '2008-11-13 07:18:20 EST', 'daniel_megert'), ('ASSIGNED', '2008-11-13 07:18:20 EST', 'daniel_megert'), ('All', '2008-11-13 07:18:20 EST', 'daniel_megert'), ('All', '2008-11-13 07:18:20 EST', 'daniel_megert'), ('[rename] Internal error when trying to rename a method: Java Model Status [1.0.com.sun.tools.xjc.generator.util [in C:\\work\\glassfish\\lib\\webservices-tools.jar] does not exist', '2008-11-13 07:18:20 EST', 'daniel_megert'), ('jochenstiepel', '2009-04-21 14:08:51 EDT', 'jochenstiepel'), ('CLOSED', '2009-11-02 05:11:30 EST', 'daniel_megert'), ('DUPLICATE', '2009-11-02 05:11:30 EST', 'daniel_megert')]</t>
  </si>
  <si>
    <t>RESOLVED  DUPLICATE  of bug 233905</t>
  </si>
  <si>
    <t>2008-10-31 15:42:22 EDT</t>
  </si>
  <si>
    <t>2008-10-31 06:42 EDT</t>
  </si>
  <si>
    <t>2008-10-31 09:59:02 EDT</t>
  </si>
  <si>
    <t>[('CREATED', '2008-10-31 06:42 EDT'), ('JDT', '2008-10-31 09:59:02 EDT', 'dj.houghton'), ('jdt-ui-inbox', '2008-10-31 09:59:02 EDT', 'dj.houghton'), ('UI', '2008-10-31 09:59:02 EDT', 'dj.houghton'), ('daniel_megert', '2008-10-31 15:42:22 EDT', 'daniel_megert'), ('RESOLVED', '2008-10-31 15:42:22 EDT', 'daniel_megert'), ('DUPLICATE', '2008-10-31 15:42:22 EDT', 'daniel_megert')]</t>
  </si>
  <si>
    <t>RESOLVED  DUPLICATE  of bug 148014</t>
  </si>
  <si>
    <t>2008-11-05 10:33:04 EST</t>
  </si>
  <si>
    <t>2008-11-03 10:20 EST</t>
  </si>
  <si>
    <t>2008-11-04 05:00:00 EST</t>
  </si>
  <si>
    <t>[('CREATED', '2008-11-03 10:20 EST'), ('philippe_mulet', '2008-11-04 05:00:00 EST', 'philippe_mulet'), ('jdt-ui-inbox', '2008-11-04 05:00:00 EST', 'philippe_mulet'), ('UI', '2008-11-04 05:00:00 EST', 'philippe_mulet'), ('markus_keller', '2008-11-05 10:33:04 EST', 'markus.kell.r'), ('RESOLVED', '2008-11-05 10:33:04 EST', 'markus.kell.r'), ('DUPLICATE', '2008-11-05 10:33:04 EST', 'markus.kell.r'), ('3.4.1', '2008-11-05 10:33:04 EST', 'markus.kell.r')]</t>
  </si>
  <si>
    <t>2008-11-04 05:42 EST</t>
  </si>
  <si>
    <t>2008-11-13 03:31:29 EST</t>
  </si>
  <si>
    <t>2018-10-25 12:24:48 EDT</t>
  </si>
  <si>
    <t>[('CREATED', '2008-11-04 05:42 EST'), ('daniel_megert', '2008-11-13 03:31:29 EST', 'daniel_megert'), ('markus_keller', '2008-11-13 03:31:29 EST', 'daniel_megert'), ('[Infer Type Arguments] Infer generic type arguments should handle instanceof', '2008-11-13 03:31:29 EST', 'daniel_megert'), ('[infertType arguments] Infer generic type arguments should handle instanceof', '2008-11-13 03:34:59 EST', 'daniel_megert'), ('[infer type arguments] Infer generic type arguments should handle instanceof', '2008-11-13 03:35:17 EST', 'daniel_megert'), ('stalebug', '2018-10-25 12:24:48 EDT', 'genie')]</t>
  </si>
  <si>
    <t>254664 (view as bug list)</t>
  </si>
  <si>
    <t>2009-03-23 12:13:20 EDT</t>
  </si>
  <si>
    <t>2008-11-04 06:28 EST</t>
  </si>
  <si>
    <t>2008-11-10 05:15:30 EST</t>
  </si>
  <si>
    <t>[('CREATED', '2008-11-04 06:28 EST'), ('sarcher', '2008-11-10 05:15:30 EST', 'markus.kell.r'), ('ASSIGNED', '2008-11-10 05:16:58 EST', 'markus.kell.r'), ('daniel_megert', '2009-03-23 12:12:16 EDT', 'daniel_megert'), ('daniel_megert', '2009-03-23 12:12:16 EDT', 'daniel_megert'), ('NEW', '2009-03-23 12:12:16 EDT', 'daniel_megert'), ('RESOLVED', '2009-03-23 12:13:20 EDT', 'daniel_megert'), ('All', '2009-03-23 12:13:20 EDT', 'daniel_megert'), ('All', '2009-03-23 12:13:20 EDT', 'daniel_megert'), ('FIXED', '2009-03-23 12:13:20 EDT', 'daniel_megert'), ('3.5 M7', '2009-03-23 12:13:20 EDT', 'daniel_megert')]</t>
  </si>
  <si>
    <t>2008-11-04 10:15 EST</t>
  </si>
  <si>
    <t>2008-11-13 05:33:43 EST</t>
  </si>
  <si>
    <t>2018-11-11 05:06:32 EST</t>
  </si>
  <si>
    <t>[('CREATED', '2008-11-04 10:15 EST'), ('daniel_megert', '2008-11-13 05:33:43 EST', 'daniel_megert'), ('ASSIGNED', '2008-11-13 05:33:43 EST', 'daniel_megert'), ('[inline] Inline... in Anonymous local class causes MalformedTreeException.', '2008-11-13 05:33:43 EST', 'daniel_megert'), ('stalebug', '2018-11-11 05:06:32 EST', 'genie')]</t>
  </si>
  <si>
    <t>2020-02-09 17:08:22 EST</t>
  </si>
  <si>
    <t>2008-11-04 11:15 EST</t>
  </si>
  <si>
    <t>2008-11-04 11:54:02 EST</t>
  </si>
  <si>
    <t>[('CREATED', '2008-11-04 11:15 EST'), ('philippe_mulet', '2008-11-04 11:54:02 EST', 'philippe_mulet'), ('jdt-ui-inbox', '2008-11-04 11:54:02 EST', 'philippe_mulet'), ('UI', '2008-11-04 11:54:02 EST', 'philippe_mulet'), ('daniel_megert', '2008-11-13 04:39:23 EST', 'daniel_megert'), ('markus_keller', '2008-11-13 04:39:23 EST', 'daniel_megert'), ('[] NPE in Extract Superclass', '2008-11-13 04:39:23 EST', 'daniel_megert'), ('[extract superclass] NPE in Extract Superclass', '2008-11-13 04:40:11 EST', 'daniel_megert'), ('ASSIGNED', '2008-11-19 11:57:10 EST', 'markus.kell.r'), ('P5', '2008-11-19 11:57:10 EST', 'markus.kell.r'), ('[extract superclass] Extract Superclass not supported on anonymous types', '2008-11-19 11:57:10 EST', 'markus.kell.r'), ('stalebug', '2020-02-09 17:08:22 EST', 'genie'), ('WONTFIX', '2020-02-09 17:08:22 EST', 'genie'), ('CLOSED', '2020-02-09 17:08:22 EST', 'genie')]</t>
  </si>
  <si>
    <t>2008-11-04 13:24 EST</t>
  </si>
  <si>
    <t>2008-11-13 04:56:48 EST</t>
  </si>
  <si>
    <t>2019-09-15 19:07:48 EDT</t>
  </si>
  <si>
    <t>[('CREATED', '2008-11-04 13:24 EST'), ('daniel_megert', '2008-11-13 04:56:48 EST', 'daniel_megert'), ('markus_keller', '2008-11-13 04:56:48 EST', 'daniel_megert'), ('ASSIGNED', '2008-11-19 12:22:11 EST', 'markus.kell.r'), ('P5', '2008-11-19 12:22:11 EST', 'markus.kell.r'), ('[extract class] Extract Class not supported on anonymous types', '2008-11-19 12:22:11 EST', 'markus.kell.r'), ('stalebug', '2019-09-15 19:07:48 EDT', 'genie')]</t>
  </si>
  <si>
    <t>2008-11-04 13:32:53 EST</t>
  </si>
  <si>
    <t>2008-11-04 13:28 EST</t>
  </si>
  <si>
    <t>Brian.Miller</t>
  </si>
  <si>
    <t>[('CREATED', '2008-11-04 13:28 EST'), ('RESOLVED', '2008-11-04 13:32:53 EST', 'Brian.Miller'), ('INVALID', '2008-11-04 13:32:53 EST', 'Brian.Miller')]</t>
  </si>
  <si>
    <t>2008-11-04 13:33:45 EST</t>
  </si>
  <si>
    <t>2008-11-04 13:31 EST</t>
  </si>
  <si>
    <t>[('CREATED', '2008-11-04 13:31 EST'), ('RESOLVED', '2008-11-04 13:33:45 EST', 'Brian.Miller'), ('INVALID', '2008-11-04 13:33:45 EST', 'Brian.Miller')]</t>
  </si>
  <si>
    <t>2009-05-07 08:34:30 EDT</t>
  </si>
  <si>
    <t>2008-11-04 13:58 EST</t>
  </si>
  <si>
    <t>2008-11-05 04:19:57 EST</t>
  </si>
  <si>
    <t>[('CREATED', '2008-11-04 13:58 EST'), ('benno_baumgartner', '2008-11-05 04:19:57 EST', 'benno.baumgartner'), ('P2', '2008-11-11 05:46:09 EST', 'daniel_megert'), ('3.5', '2008-11-11 05:46:09 EST', 'daniel_megert'), ('daniel_megert', '2008-11-11 05:46:09 EST', 'daniel_megert'), ('ASSIGNED', '2008-11-11 05:46:09 EST', 'daniel_megert'), ('P4', '2009-04-30 09:16:31 EDT', 'daniel_megert'), ('3.5 RC1', '2009-04-30 09:16:31 EDT', 'daniel_megert'), ('daniel_megert', '2009-05-06 08:24:28 EDT', 'daniel_megert'), ('NEW', '2009-05-06 08:24:28 EDT', 'daniel_megert'), ('RESOLVED', '2009-05-07 08:34:30 EDT', 'daniel_megert'), ('INVALID', '2009-05-07 08:34:30 EDT', 'daniel_megert')]</t>
  </si>
  <si>
    <t>2008-11-06 09:42:31 EST</t>
  </si>
  <si>
    <t>2008-11-06 09:30 EST</t>
  </si>
  <si>
    <t>[('CREATED', '2008-11-06 09:30 EST'), ('markus_keller', '2008-11-06 09:42:31 EST', 'markus.kell.r'), ('RESOLVED', '2008-11-06 09:42:31 EST', 'markus.kell.r'), ('DUPLICATE', '2008-11-06 09:42:31 EST', 'markus.kell.r')]</t>
  </si>
  <si>
    <t>2008-11-27 12:32:22 EST</t>
  </si>
  <si>
    <t>2008-11-06 12:07 EST</t>
  </si>
  <si>
    <t>2008-11-07 11:33:19 EST</t>
  </si>
  <si>
    <t>[('CREATED', '2008-11-06 12:07 EST'), ('markus_keller', '2008-11-07 11:33:19 EST', 'markus.kell.r'), ('ASSIGNED', '2008-11-07 11:33:19 EST', 'markus.kell.r'), ('RESOLVED', '2008-11-27 12:32:22 EST', 'markus.kell.r'), ('WORKSFORME', '2008-11-27 12:32:22 EST', 'markus.kell.r')]</t>
  </si>
  <si>
    <t>RESOLVED  DUPLICATE  of bug 253674</t>
  </si>
  <si>
    <t>2008-11-07 18:01 EST</t>
  </si>
  <si>
    <t>[('CREATED', '2008-11-07 18:01 EST'), ('DUPLICATE', '2008-11-10 05:15:30 EST', 'markus.kell.r'), ('markus_keller', '2008-11-10 05:15:30 EST', 'markus.kell.r'), ('RESOLVED', '2008-11-10 05:15:30 EST', 'markus.kell.r')]</t>
  </si>
  <si>
    <t>2008-11-08 15:40 EST</t>
  </si>
  <si>
    <t>2008-11-12 14:02:46 EST</t>
  </si>
  <si>
    <t>2008-11-29 14:05:20 EST</t>
  </si>
  <si>
    <t>[('CREATED', '2008-11-08 15:40 EST'), ('pwebster', '2008-11-12 14:02:46 EST', 'pwebster'), ('jdt-ui-inbox', '2008-11-12 14:02:46 EST', 'pwebster'), ('UI', '2008-11-12 14:02:46 EST', 'pwebster'), ('JDT', '2008-11-12 14:02:46 EST', 'pwebster'), ('3.4.1', '2008-11-12 14:02:46 EST', 'pwebster'), ('daniel_megert, markus_keller', '2008-11-13 03:28:15 EST', 'daniel_megert'), ('enhancement', '2008-11-13 03:28:15 EST', 'daniel_megert'), ('ASSIGNED', '2008-11-13 07:02:09 EST', 'markus.kell.r'), ('P5', '2008-11-13 07:02:09 EST', 'markus.kell.r'), ('[refactoring] [rename] Renaming not cascadable.', '2008-11-13 07:02:09 EST', 'markus.kell.r'), ('mn', '2008-11-29 14:05:20 EST', 'mn')]</t>
  </si>
  <si>
    <t>2008-11-10 05:12:00 EST</t>
  </si>
  <si>
    <t>2008-11-09 12:05 EST</t>
  </si>
  <si>
    <t>2008-11-09 17:19:28 EST</t>
  </si>
  <si>
    <t>[('CREATED', '2008-11-09 12:05 EST'), ('Olivier_Thomann', '2008-11-09 17:19:28 EST', 'Olivier_Thomann'), ('jdt-ui-inbox', '2008-11-09 17:19:28 EST', 'Olivier_Thomann'), ('UI', '2008-11-09 17:19:28 EST', 'Olivier_Thomann'), ('WORKSFORME', '2008-11-10 05:12:00 EST', 'markus.kell.r'), ('[pull up] of members into interface should remove private and protected modifiers', '2008-11-10 05:12:00 EST', 'markus.kell.r'), ('3.5', '2008-11-10 05:12:00 EST', 'markus.kell.r'), ('3.5', '2008-11-10 05:12:00 EST', 'markus.kell.r'), ('markus_keller', '2008-11-10 05:12:00 EST', 'markus.kell.r'), ('RESOLVED', '2008-11-10 05:12:00 EST', 'markus.kell.r')]</t>
  </si>
  <si>
    <t>2008-11-10 06:33:58 EST</t>
  </si>
  <si>
    <t>2008-11-10 05:28 EST</t>
  </si>
  <si>
    <t>2008-11-10 05:29:40 EST</t>
  </si>
  <si>
    <t>[('CREATED', '2008-11-10 05:28 EST'), ('kiril.mitov', '2008-11-10 05:29:40 EST', 'stefan.dimov'), ('dimitar.giormov', '2008-11-10 05:31:40 EST', 'stefan.dimov'), ('kaloyan.raev', '2008-11-10 05:32:19 EST', 'stefan.dimov'), ('markus_keller', '2008-11-10 06:24:17 EST', 'markus.kell.r'), ('markus_keller', '2008-11-10 06:24:17 EST', 'markus.kell.r'), ('3.5 M4', '2008-11-10 06:24:17 EST', 'markus.kell.r'), ('RESOLVED', '2008-11-10 06:33:58 EST', 'markus.kell.r'), ('FIXED', '2008-11-10 06:33:58 EST', 'markus.kell.r')]</t>
  </si>
  <si>
    <t>RESOLVED  DUPLICATE  of bug 141874</t>
  </si>
  <si>
    <t>2009-03-06 05:34:04 EST</t>
  </si>
  <si>
    <t>2008-11-10 16:22 EST</t>
  </si>
  <si>
    <t>2008-11-10 16:22:26 EST</t>
  </si>
  <si>
    <t>[('CREATED', '2008-11-10 16:22 EST'), ('aozarov', '2008-11-10 16:22:26 EST', 'aozarov'), ('jdt-ui-inbox', '2008-11-12 14:03:19 EST', 'pwebster'), ('UI', '2008-11-12 14:03:19 EST', 'pwebster'), ('JDT', '2008-11-12 14:03:19 EST', 'pwebster'), ('ASSIGNED', '2008-11-13 04:13:40 EST', 'daniel_megert'), ('All', '2008-11-13 04:13:40 EST', 'daniel_megert'), ('P5', '2008-11-13 04:13:40 EST', 'daniel_megert'), ('All', '2008-11-13 04:13:40 EST', 'daniel_megert'), ("[pull up] allow to specify whether to use 'public' modifier when generating interface method", '2008-11-13 04:13:40 EST', 'daniel_megert'), ('daniel_megert', '2008-11-13 04:13:40 EST', 'daniel_megert'), ('enhancement', '2008-11-13 04:13:40 EST', 'daniel_megert'), ('markus_keller', '2009-03-06 05:34:04 EST', 'markus.kell.r'), ('RESOLVED', '2009-03-06 05:34:04 EST', 'markus.kell.r'), ('DUPLICATE', '2009-03-06 05:34:04 EST', 'markus.kell.r')]</t>
  </si>
  <si>
    <t>RESOLVED  DUPLICATE  of bug 237830</t>
  </si>
  <si>
    <t>2008-11-13 03:00:54 EST</t>
  </si>
  <si>
    <t>2008-11-12 10:37 EST</t>
  </si>
  <si>
    <t>2008-11-12 14:05:23 EST</t>
  </si>
  <si>
    <t>[('CREATED', '2008-11-12 10:37 EST'), ('jdt-ui-inbox', '2008-11-12 14:05:23 EST', 'pwebster'), ('UI', '2008-11-12 14:05:23 EST', 'pwebster'), ('JDT', '2008-11-12 14:05:23 EST', 'pwebster'), ('daniel_megert', '2008-11-13 03:00:54 EST', 'daniel_megert'), ('RESOLVED', '2008-11-13 03:00:54 EST', 'daniel_megert'), ('DUPLICATE', '2008-11-13 03:00:54 EST', 'daniel_megert')]</t>
  </si>
  <si>
    <t>2012-04-13 11:26:58 EDT</t>
  </si>
  <si>
    <t>2008-11-12 19:37 EST</t>
  </si>
  <si>
    <t>2008-11-13 04:59:39 EST</t>
  </si>
  <si>
    <t>[('CREATED', '2008-11-12 19:37 EST'), ('daniel_megert', '2008-11-13 04:59:39 EST', 'daniel_megert'), ('enhancement', '2008-11-13 04:59:39 EST', 'daniel_megert'), ('ASSIGNED', '2008-11-13 04:59:39 EST', 'daniel_megert'), ('[quick assist] Introduce parameter from expression', '2008-11-13 04:59:39 EST', 'daniel_megert'), ('markus_keller', '2008-11-13 06:45:44 EST', 'markus.kell.r'), ('reprogrammer', '2011-11-30 13:40:32 EST', 'reprogrammer'), ('deepak.azad', '2011-11-30 13:48:31 EST', 'deepakazad'), ('nchen, snegara2', '2011-11-30 14:20:46 EST', 'reprogrammer'), ('mengyalan', '2012-04-02 17:08:23 EDT', 'mengyalan'), ('doren1', '2012-04-02 17:10:40 EDT', 'doren1'), ('RESOLVED', '2012-04-13 11:26:58 EDT', 'markus.kell.r'), ('WONTFIX', '2012-04-13 11:26:58 EDT', 'markus.kell.r')]</t>
  </si>
  <si>
    <t>255683</t>
  </si>
  <si>
    <t>2008-11-17 03:43 EST</t>
  </si>
  <si>
    <t>2008-11-17 03:47:27 EST</t>
  </si>
  <si>
    <t>2020-07-15 20:33:37 EDT</t>
  </si>
  <si>
    <t>[('CREATED', '2008-11-17 03:43 EST'), ('daniel_megert', '2008-11-17 03:47:27 EST', 'daniel_megert'), ('markus_keller', '2008-11-17 03:47:27 EST', 'daniel_megert'), ('255683', '2008-11-18 12:16:01 EST', 'markus.kell.r'), ('ASSIGNED', '2008-11-18 12:22:43 EST', 'markus.kell.r'), ('P4', '2008-11-18 12:22:43 EST', 'markus.kell.r'), ('255683', '2008-11-18 12:22:43 EST', 'markus.kell.r'), (nan, '2008-11-18 12:22:43 EST', 'markus.kell.r'), ('normal', '2009-02-04 04:52:18 EST', 'daniel_megert'), ('All', '2009-02-04 04:52:18 EST', 'daniel_megert'), ('All', '2009-02-04 04:52:18 EST', 'daniel_megert'), ('stalebug', '2020-07-15 20:33:37 EDT', 'genie')]</t>
  </si>
  <si>
    <t>255932 255934</t>
  </si>
  <si>
    <t>2008-11-20 04:35:48 EST</t>
  </si>
  <si>
    <t>2008-11-19 15:58 EST</t>
  </si>
  <si>
    <t>2008-11-20 03:25:26 EST</t>
  </si>
  <si>
    <t>2008-11-20 05:34:44 EST</t>
  </si>
  <si>
    <t>[('CREATED', '2008-11-19 15:58 EST'), ('jdt-ui-inbox', '2008-11-20 03:25:26 EST', 'frederic_fusier'), ('enhancement', '2008-11-20 03:25:26 EST', 'frederic_fusier'), ('UI', '2008-11-20 03:25:26 EST', 'frederic_fusier'), ('frederic_fusier, daniel_megert', '2008-11-20 03:29:55 EST', 'daniel_megert'), ('255932', '2008-11-20 04:31:01 EST', 'daniel_megert'), ('255934', '2008-11-20 04:35:48 EST', 'daniel_megert'), ('RESOLVED', '2008-11-20 04:35:48 EST', 'daniel_megert'), ('All', '2008-11-20 04:35:48 EST', 'daniel_megert'), ('All', '2008-11-20 04:35:48 EST', 'daniel_megert'), ('WORKSFORME', '2008-11-20 04:35:48 EST', 'daniel_megert'), ('[api] to have external JDT APIs', '2008-11-20 04:35:48 EST', 'daniel_megert'), ('jerome_lanneluc', '2008-11-20 05:34:44 EST', 'jerome_lanneluc')]</t>
  </si>
  <si>
    <t>255897</t>
  </si>
  <si>
    <t>2009-03-08 10:51:37 EDT</t>
  </si>
  <si>
    <t>2009-03-10 07:11:57 EDT</t>
  </si>
  <si>
    <t>2008-11-20 04:31 EST</t>
  </si>
  <si>
    <t>2008-11-20 04:35:41 EST</t>
  </si>
  <si>
    <t>[('CREATED', '2008-11-20 04:31 EST'), ('P2', '2008-11-20 04:35:41 EST', 'daniel_megert'), ('3.5', '2008-11-20 04:35:41 EST', 'daniel_megert'), ('3.4 M5', '2008-11-20 05:22:25 EST', 'daniel_megert'), ('markus_keller', '2008-11-20 05:22:25 EST', 'daniel_megert'), ('enhancement', '2008-11-20 05:22:25 EST', 'daniel_megert'), ('3.5 M5', '2008-11-20 05:22:47 EST', 'daniel_megert'), ('3.5 M6', '2009-01-26 04:14:37 EST', 'markus.kell.r'), ('api', '2009-02-03 08:39:35 EST', 'daniel_megert'), ('RESOLVED', '2009-03-08 10:51:37 EDT', 'markus.kell.r'), ('FIXED', '2009-03-08 10:51:37 EDT', 'markus.kell.r'), ('VERIFIED', '2009-03-10 07:11:57 EDT', 'daniel_megert')]</t>
  </si>
  <si>
    <t>2008-11-27 12:17:05 EST</t>
  </si>
  <si>
    <t>2008-11-26 04:20 EST</t>
  </si>
  <si>
    <t>2008-11-26 11:22:06 EST</t>
  </si>
  <si>
    <t>[('CREATED', '2008-11-26 04:20 EST'), ('markus_keller', '2008-11-26 11:22:06 EST', 'daniel_megert'), ('RESOLVED', '2008-11-27 12:17:05 EST', 'markus.kell.r'), ('FIXED', '2008-11-27 12:17:05 EST', 'markus.kell.r'), ('3.5 M4', '2008-11-27 12:17:05 EST', 'markus.kell.r')]</t>
  </si>
  <si>
    <t>2008-11-27 12:34:17 EST</t>
  </si>
  <si>
    <t>2008-11-26 04:24 EST</t>
  </si>
  <si>
    <t>2008-11-27 05:14:45 EST</t>
  </si>
  <si>
    <t>[('CREATED', '2008-11-26 04:24 EST'), ('markus_keller', '2008-11-27 05:14:45 EST', 'daniel_megert'), ('3.5 M4', '2008-11-27 12:34:02 EST', 'markus.kell.r'), ('RESOLVED', '2008-11-27 12:34:17 EST', 'markus.kell.r'), ('FIXED', '2008-11-27 12:34:17 EST', 'markus.kell.r')]</t>
  </si>
  <si>
    <t>2020-02-17 01:43:00 EST</t>
  </si>
  <si>
    <t>2020-02-19 12:27:21 EST</t>
  </si>
  <si>
    <t>2008-11-26 12:32 EST</t>
  </si>
  <si>
    <t>2008-11-27 05:21:02 EST</t>
  </si>
  <si>
    <t>[('CREATED', '2008-11-26 12:32 EST'), ('All', '2008-11-27 05:21:02 EST', 'daniel_megert'), ('[generalize type] NPE in Generalize Declared Type', '2008-11-27 05:21:02 EST', 'daniel_megert'), ('daniel_megert', '2008-11-27 05:21:02 EST', 'daniel_megert'), ('ASSIGNED', '2008-11-27 05:21:02 EST', 'daniel_megert'), ('All', '2008-11-27 05:21:02 EST', 'daniel_megert'), ('milos.gligoric', '2012-11-20 17:59:56 EST', 'milos.gligoric'), ('[generalize type] Generalize Declared Type does not find suitable types', '2012-11-21 08:58:35 EST', 'daniel_megert'), ('stalebug', '2020-01-16 00:45:45 EST', 'genie'), ('https://git.eclipse.org/r/156580', '2020-01-26 09:22:55 EST', 'genie'), ('kenneth', '2020-01-26 13:39:51 EST', 'kenneth'), ('4.15 M3', '2020-01-26 13:39:51 EST', 'kenneth'), (nan, '2020-01-26 13:39:51 EST', 'kenneth'), ('kenneth', '2020-01-26 13:39:51 EST', 'kenneth'), ('rgrunber', '2020-01-27 14:02:49 EST', 'rgrunber'), ('rgrunber', '2020-01-27 14:02:49 EST', 'rgrunber'), ('https://git.eclipse.org/c/jdt/eclipse.jdt.ui.git/commit/?id=75310f45b7ac7da6df2f2d1bc0080b825ce6e9d4', '2020-02-04 10:40:02 EST', 'genie'), ('RESOLVED', '2020-02-17 01:43:00 EST', 'kenneth'), ('FIXED', '2020-02-17 01:43:00 EST', 'kenneth'), ('VERIFIED', '2020-02-19 12:27:21 EST', 'rgrunber')]</t>
  </si>
  <si>
    <t>2008-11-28 03:21:14 EST</t>
  </si>
  <si>
    <t>2008-11-27 13:00 EST</t>
  </si>
  <si>
    <t>[('CREATED', '2008-11-27 13:00 EST'), ('daniel_megert', '2008-11-28 03:21:14 EST', 'daniel_megert'), ('RESOLVED', '2008-11-28 03:21:14 EST', 'daniel_megert'), ('INVALID', '2008-11-28 03:21:14 EST', 'daniel_megert')]</t>
  </si>
  <si>
    <t>CLOSED  DUPLICATE  of bug 444809</t>
  </si>
  <si>
    <t>195834</t>
  </si>
  <si>
    <t>2015-10-26 10:58:50 EDT</t>
  </si>
  <si>
    <t>2008-12-04 07:21 EST</t>
  </si>
  <si>
    <t>2008-12-04 09:51:22 EST</t>
  </si>
  <si>
    <t>sptaszkiewicz</t>
  </si>
  <si>
    <t>[('CREATED', '2008-12-04 07:21 EST'), ('daniel_megert', '2008-12-04 09:51:22 EST', 'daniel_megert'), ('ASSIGNED', '2008-12-04 09:51:22 EST', 'daniel_megert'), ('All', '2008-12-04 09:51:22 EST', 'daniel_megert'), ('All', '2008-12-04 09:51:22 EST', 'daniel_megert'), ('[quick fix] Waiting User Operation dialog when trying to apply dead code quick fix', '2008-12-04 09:51:22 EST', 'daniel_megert'), ('markus_keller', '2008-12-04 12:01:35 EST', 'markus.kell.r'), ('195834', '2008-12-05 12:28:14 EST', 'markus.kell.r'), ('fix candidate', '2013-02-08 14:00:05 EST', 'markus.kell.r'), ('CLOSED', '2015-10-26 10:58:50 EDT', 'sptaszkiewicz'), ('szymon.ptaszkiewicz', '2015-10-26 10:58:50 EDT', 'sptaszkiewicz'), ('DUPLICATE', '2015-10-26 10:58:50 EDT', 'sptaszkiewicz')]</t>
  </si>
  <si>
    <t>267108 (view as bug list)</t>
  </si>
  <si>
    <t>2008-12-05 06:09:11 EST</t>
  </si>
  <si>
    <t>2008-12-09 08:37:22 EST</t>
  </si>
  <si>
    <t>2008-12-05 05:55 EST</t>
  </si>
  <si>
    <t>2008-12-05 05:56:05 EST</t>
  </si>
  <si>
    <t>2009-03-05 10:38:53 EST</t>
  </si>
  <si>
    <t>[('CREATED', '2008-12-05 05:55 EST'), ('daniel_megert', '2008-12-05 05:56:05 EST', 'daniel_megert'), ('major', '2008-12-05 05:56:05 EST', 'daniel_megert'), ('RESOLVED', '2008-12-05 06:09:11 EST', 'daniel_megert'), ('FIXED', '2008-12-05 06:09:11 EST', 'daniel_megert'), ('3.5 M4', '2008-12-05 06:09:11 EST', 'daniel_megert'), ('VERIFIED', '2008-12-09 08:37:22 EST', 'daniel_megert'), ('robertma', '2009-03-05 10:38:53 EST', 'markus.kell.r')]</t>
  </si>
  <si>
    <t>2020-03-28 12:40:52 EDT</t>
  </si>
  <si>
    <t>2008-12-05 08:45 EST</t>
  </si>
  <si>
    <t>2008-12-05 08:45:56 EST</t>
  </si>
  <si>
    <t>[('CREATED', '2008-12-05 08:45 EST'), ('eclipse.org', '2008-12-05 08:45:56 EST', 'eclipse.org'), ('philippe_mulet', '2008-12-05 09:03:20 EST', 'philippe_mulet'), ('jdt-ui-inbox', '2008-12-05 09:03:20 EST', 'philippe_mulet'), ('UI', '2008-12-05 09:03:20 EST', 'philippe_mulet'), ('daniel_megert', '2008-12-07 11:07:45 EST', 'daniel_megert'), ('[inline] Inline Method Refactoring changes semantics', '2008-12-07 11:07:45 EST', 'daniel_megert'), ('markus_keller', '2008-12-08 03:20:26 EST', 'daniel_megert'), ('major', '2008-12-08 03:20:26 EST', 'daniel_megert'), ('All', '2008-12-08 03:20:26 EST', 'daniel_megert'), ('All', '2008-12-08 03:20:26 EST', 'daniel_megert'), ('ASSIGNED', '2008-12-08 05:31:10 EST', 'markus.kell.r'), ('3.5 M5', '2008-12-08 05:31:10 EST', 'markus.kell.r'), ('3.5 M6', '2009-01-26 04:14:40 EST', 'markus.kell.r'), ('3.5 M7', '2009-03-06 12:52:06 EST', 'markus.kell.r'), ('P5', '2009-04-24 08:41:58 EDT', 'daniel_megert'), ('3.6', '2009-04-24 08:41:58 EDT', 'daniel_megert'), ('---', '2010-04-13 12:40:48 EDT', 'markus.kell.r'), ('fix candidate', '2010-04-13 12:40:48 EDT', 'markus.kell.r'), ('deepak.azad', '2010-06-25 16:06:22 EDT', 'deepakazad'), ('P3', '2013-04-18 05:52:31 EDT', 'daniel_megert'), ('stolz+bugzilla', '2014-10-29 09:43:04 EDT', 'stolz+bugzilla'), ('stalebug', '2020-03-28 12:40:52 EDT', 'genie'), ('CLOSED', '2020-03-28 12:40:52 EDT', 'genie'), ('WONTFIX', '2020-03-28 12:40:52 EDT', 'genie')]</t>
  </si>
  <si>
    <t>RESOLVED  DUPLICATE  of bug 150558</t>
  </si>
  <si>
    <t>2008-12-11 03:52:03 EST</t>
  </si>
  <si>
    <t>2008-12-10 18:25 EST</t>
  </si>
  <si>
    <t>2008-12-11 03:37:42 EST</t>
  </si>
  <si>
    <t>[('CREATED', '2008-12-10 18:25 EST'), ('philippe_mulet', '2008-12-11 03:37:42 EST', 'philippe_mulet'), ('jdt-ui-inbox', '2008-12-11 03:37:42 EST', 'philippe_mulet'), ('UI', '2008-12-11 03:37:42 EST', 'philippe_mulet'), ('daniel_megert', '2008-12-11 03:52:03 EST', 'daniel_megert'), ('RESOLVED', '2008-12-11 03:52:03 EST', 'daniel_megert'), ('DUPLICATE', '2008-12-11 03:52:03 EST', 'daniel_megert')]</t>
  </si>
  <si>
    <t>2008-12-17 03:26 EST</t>
  </si>
  <si>
    <t>2008-12-17 04:21:55 EST</t>
  </si>
  <si>
    <t>[('CREATED', '2008-12-17 03:26 EST'), ('[quick assist] convert for-loop to while (and back)', '2008-12-17 04:21:55 EST', 'daniel_megert'), ('daniel_megert', '2008-12-17 04:21:55 EST', 'daniel_megert'), ('ASSIGNED', '2008-12-17 04:21:55 EST', 'daniel_megert'), ('All', '2008-12-17 04:21:55 EST', 'daniel_megert'), ('All', '2008-12-17 04:21:55 EST', 'daniel_megert')]</t>
  </si>
  <si>
    <t>2008-12-17 10:01:13 EST</t>
  </si>
  <si>
    <t>2008-12-17 08:30 EST</t>
  </si>
  <si>
    <t>2008-12-17 08:31:18 EST</t>
  </si>
  <si>
    <t>[('CREATED', '2008-12-17 08:30 EST'), ('markus_keller', '2008-12-17 08:31:18 EST', 'daniel_megert'), ('3.5 M5', '2008-12-17 08:31:35 EST', 'daniel_megert'), ('kscheglov', '2008-12-17 08:34:21 EST', 'Konstantin.Scheglov'), ('RESOLVED', '2008-12-17 10:01:13 EST', 'markus.kell.r'), ('FIXED', '2008-12-17 10:01:13 EST', 'markus.kell.r')]</t>
  </si>
  <si>
    <t>2009-01-06 09:35:35 EST</t>
  </si>
  <si>
    <t>2008-12-17 08:40 EST</t>
  </si>
  <si>
    <t>2008-12-17 08:43:20 EST</t>
  </si>
  <si>
    <t>[('CREATED', '2008-12-17 08:40 EST'), ('markus_keller', '2008-12-17 08:43:20 EST', 'daniel_megert'), ('ASSIGNED', '2008-12-17 08:43:20 EST', 'daniel_megert'), ('All', '2008-12-17 08:43:20 EST', 'daniel_megert'), ('All', '2008-12-17 08:43:20 EST', 'daniel_megert'), ('3.5 M5', '2009-01-06 09:33:53 EST', 'markus.kell.r'), ('markus_keller', '2009-01-06 09:33:53 EST', 'markus.kell.r'), ('NEW', '2009-01-06 09:33:53 EST', 'markus.kell.r'), ('RESOLVED', '2009-01-06 09:35:35 EST', 'markus.kell.r'), ('FIXED', '2009-01-06 09:35:35 EST', 'markus.kell.r')]</t>
  </si>
  <si>
    <t>2019-12-12 16:01:16 EST</t>
  </si>
  <si>
    <t>2020-01-07 11:47:11 EST</t>
  </si>
  <si>
    <t>2008-12-18 08:00 EST</t>
  </si>
  <si>
    <t>2008-12-22 12:46:51 EST</t>
  </si>
  <si>
    <t>[('CREATED', '2008-12-18 08:00 EST'), ('jdt-ui-inbox', '2008-12-22 12:46:51 EST', 'emoffatt'), ('UI', '2008-12-22 12:46:51 EST', 'emoffatt'), ('JDT', '2008-12-22 12:46:51 EST', 'emoffatt'), ('[quick fix] Quick fix for a?b:c should also work for (a?b:c) and ((a?b:c))', '2008-12-23 03:44:04 EST', 'daniel_megert'), ('daniel_megert', '2008-12-23 03:44:04 EST', 'daniel_megert'), ('minor', '2008-12-23 03:44:04 EST', 'daniel_megert'), ('ASSIGNED', '2008-12-23 03:44:04 EST', 'daniel_megert'), ('All', '2008-12-23 03:44:04 EST', 'daniel_megert'), ('All', '2008-12-23 03:44:04 EST', 'daniel_megert'), ('deepak.azad', '2011-02-21 00:43:06 EST', 'deepakazad'), ('stalebug', '2019-07-22 12:04:49 EDT', 'genie'), ('https://git.eclipse.org/r/148279', '2019-08-24 13:38:04 EDT', 'genie'), ('rgrunber', '2019-12-06 09:49:40 EST', 'rgrunber'), ('kenneth', '2019-12-06 09:49:40 EST', 'rgrunber'), ('4.15 M1', '2019-12-06 09:49:40 EST', 'rgrunber'), ('rgrunber', '2019-12-06 09:49:40 EST', 'rgrunber'), ('https://git.eclipse.org/c/jdt/eclipse.jdt.ui.git/commit/?id=72548c9ace2835bd08ad4c0e8672990d0428abf0', '2019-12-10 15:29:50 EST', 'genie'), ('RESOLVED', '2019-12-12 16:01:16 EST', 'rgrunber'), ('FIXED', '2019-12-12 16:01:16 EST', 'rgrunber'), ('VERIFIED', '2020-01-07 11:47:11 EST', 'rgrunber')]</t>
  </si>
  <si>
    <t>169386</t>
  </si>
  <si>
    <t>2009-01-22 09:52:34 EST</t>
  </si>
  <si>
    <t>2008-12-19 15:54 EST</t>
  </si>
  <si>
    <t>2008-12-19 15:55:13 EST</t>
  </si>
  <si>
    <t>[('CREATED', '2008-12-19 15:54 EST'), ('3.5', '2008-12-19 15:55:13 EST', 'daniel_megert'), ('Tomasz.Zarna', '2009-01-07 04:28:53 EST', 'tomasz.zarna'), ('3.5 M5', '2009-01-14 09:28:43 EST', 'tomasz.zarna'), ('ASSIGNED', '2009-01-22 06:17:30 EST', 'tomasz.zarna'), ('daniel_megert', '2009-01-22 07:02:48 EST', 'daniel_megert'), ('NEW', '2009-01-22 07:02:48 EST', 'daniel_megert'), ('UI', '2009-01-22 07:02:48 EST', 'daniel_megert'), ('JDT', '2009-01-22 07:02:48 EST', 'daniel_megert'), ('Tomasz.Zarna', '2009-01-22 07:10:52 EST', 'tomasz.zarna'), ('markus_keller', '2009-01-22 09:52:34 EST', 'daniel_megert'), ('RESOLVED', '2009-01-22 09:52:34 EST', 'daniel_megert'), ('FIXED', '2009-01-22 09:52:34 EST', 'daniel_megert'), ('[refactoring] Handler conflicts in refactoring previews', '2009-01-22 09:52:34 EST', 'daniel_megert')]</t>
  </si>
  <si>
    <t>2008-12-26 17:02 EST</t>
  </si>
  <si>
    <t>2008-12-27 06:14:01 EST</t>
  </si>
  <si>
    <t>[('CREATED', '2008-12-26 17:02 EST'), ('[clean up] Allow to simplify boolean expressions', '2008-12-27 06:14:01 EST', 'daniel_megert'), ('3.4', '2008-12-27 06:14:01 EST', 'daniel_megert'), ('daniel_megert', '2008-12-27 06:14:01 EST', 'daniel_megert'), ('ASSIGNED', '2008-12-27 06:14:01 EST', 'daniel_megert'), ('All', '2008-12-27 06:14:01 EST', 'daniel_megert'), ('All', '2008-12-27 06:14:01 EST', 'daniel_megert')]</t>
  </si>
  <si>
    <t>2020-01-30 14:53:36 EST</t>
  </si>
  <si>
    <t>2009-01-03 10:25 EST</t>
  </si>
  <si>
    <t>2009-01-05 04:33:25 EST</t>
  </si>
  <si>
    <t>[('CREATED', '2009-01-03 10:25 EST'), ('daniel_megert', '2009-01-05 04:33:25 EST', 'daniel_megert'), ('ASSIGNED', '2009-01-05 04:33:25 EST', 'daniel_megert'), ('[infer type arguments] Infer type arguments fails for concatenated strings', '2009-01-05 04:33:25 EST', 'daniel_megert'), ('CLOSED', '2020-01-30 14:53:36 EST', 'genie'), ('WONTFIX', '2020-01-30 14:53:36 EST', 'genie'), ('stalebug', '2020-01-30 14:53:36 EST', 'genie')]</t>
  </si>
  <si>
    <t>VERIFIED  DUPLICATE  of bug 46216</t>
  </si>
  <si>
    <t>2009-01-09 05:38:26 EST</t>
  </si>
  <si>
    <t>2009-01-27 07:10:26 EST</t>
  </si>
  <si>
    <t>2009-01-07 16:01 EST</t>
  </si>
  <si>
    <t>2009-01-08 04:17:16 EST</t>
  </si>
  <si>
    <t>[('CREATED', '2009-01-07 16:01 EST'), ('jdt-ui-inbox', '2009-01-08 04:17:16 EST', 'jerome_lanneluc'), ('UI', '2009-01-08 04:17:16 EST', 'jerome_lanneluc'), ('daniel_megert', '2009-01-08 06:19:36 EST', 'daniel_megert'), ('major', '2009-01-08 06:19:36 EST', 'daniel_megert'), ('ASSIGNED', '2009-01-08 06:19:36 EST', 'daniel_megert'), ('All', '2009-01-08 06:19:36 EST', 'daniel_megert'), ('All', '2009-01-08 06:19:36 EST', 'daniel_megert'), ('[inline] inlining a final primitive variable does not preserve type', '2009-01-08 06:19:36 EST', 'daniel_megert'), ('3.4', '2009-01-08 06:19:36 EST', 'daniel_megert'), ('DUPLICATE', '2009-01-09 05:38:26 EST', 'markus.kell.r'), ('markus_keller', '2009-01-09 05:38:26 EST', 'markus.kell.r'), ('RESOLVED', '2009-01-09 05:38:26 EST', 'markus.kell.r'), ('VERIFIED', '2009-01-27 07:10:26 EST', 'daniel_megert')]</t>
  </si>
  <si>
    <t>2009-01-12 03:43:29 EST</t>
  </si>
  <si>
    <t>2009-01-10 04:32 EST</t>
  </si>
  <si>
    <t>[('CREATED', '2009-01-10 04:32 EST'), ('daniel_megert', '2009-01-12 03:43:29 EST', 'daniel_megert'), ('RESOLVED', '2009-01-12 03:43:29 EST', 'daniel_megert'), ('WORKSFORME', '2009-01-12 03:43:29 EST', 'daniel_megert')]</t>
  </si>
  <si>
    <t>2009-01-12 05:18:45 EST</t>
  </si>
  <si>
    <t>2009-01-10 13:50 EST</t>
  </si>
  <si>
    <t>2009-01-11 11:58:20 EST</t>
  </si>
  <si>
    <t>[('CREATED', '2009-01-10 13:50 EST'), ('markus_keller', '2009-01-11 11:58:20 EST', 'markus.kell.r'), ('daniel_megert', '2009-01-11 11:58:20 EST', 'markus.kell.r'), ('3.5 M5', '2009-01-11 11:58:20 EST', 'markus.kell.r'), ('kmoir', '2009-01-12 05:18:45 EST', 'daniel_megert'), ('RESOLVED', '2009-01-12 05:18:45 EST', 'daniel_megert'), ('All', '2009-01-12 05:18:45 EST', 'daniel_megert'), ('All', '2009-01-12 05:18:45 EST', 'daniel_megert'), ('FIXED', '2009-01-12 05:18:45 EST', 'daniel_megert')]</t>
  </si>
  <si>
    <t>2009-01-14 10:15:47 EST</t>
  </si>
  <si>
    <t>2009-01-14 05:47 EST</t>
  </si>
  <si>
    <t>[('CREATED', '2009-01-14 05:47 EST'), ('markus_keller', '2009-01-14 10:15:47 EST', 'markus.kell.r'), ('RESOLVED', '2009-01-14 10:15:47 EST', 'markus.kell.r'), ('DUPLICATE', '2009-01-14 10:15:47 EST', 'markus.kell.r')]</t>
  </si>
  <si>
    <t>2009-01-14 08:32:10 EST</t>
  </si>
  <si>
    <t>2009-01-14 06:20 EST</t>
  </si>
  <si>
    <t>2009-01-14 06:20:48 EST</t>
  </si>
  <si>
    <t>[('CREATED', '2009-01-14 06:20 EST'), ('3.5 M5', '2009-01-14 06:20:48 EST', 'daniel_megert'), ('RESOLVED', '2009-01-14 08:32:10 EST', 'markus.kell.r'), ('FIXED', '2009-01-14 08:32:10 EST', 'markus.kell.r')]</t>
  </si>
  <si>
    <t>2009-01-14 09:28:36 EST</t>
  </si>
  <si>
    <t>2009-01-14 06:23 EST</t>
  </si>
  <si>
    <t>2009-01-14 06:23:31 EST</t>
  </si>
  <si>
    <t>[('CREATED', '2009-01-14 06:23 EST'), ('ASSIGNED', '2009-01-14 06:23:31 EST', 'daniel_megert'), ('markus_keller', '2009-01-14 09:23:12 EST', 'markus.kell.r'), ('markus_keller', '2009-01-14 09:23:12 EST', 'markus.kell.r'), ('NEW', '2009-01-14 09:23:12 EST', 'markus.kell.r'), ('3.5 M5', '2009-01-14 09:23:12 EST', 'markus.kell.r'), ('RESOLVED', '2009-01-14 09:28:36 EST', 'markus.kell.r'), ('FIXED', '2009-01-14 09:28:36 EST', 'markus.kell.r'), ("[rename] In-place refactoring menu contains 'Preview' even if no preview", '2009-01-14 09:28:36 EST', 'markus.kell.r')]</t>
  </si>
  <si>
    <t>150688 224016 242265 258017 261865</t>
  </si>
  <si>
    <t>2009-02-05 05:27:22 EST</t>
  </si>
  <si>
    <t>2009-03-11 13:21:56 EDT</t>
  </si>
  <si>
    <t>2009-01-14 13:10 EST</t>
  </si>
  <si>
    <t>2009-01-14 13:41:22 EST</t>
  </si>
  <si>
    <t>2009-06-16 12:43:12 EDT</t>
  </si>
  <si>
    <t>[('CREATED', '2009-01-14 13:10 EST'), ('remy.suen', '2009-01-14 13:41:22 EST', 'remy.suen'), ('jtcornett', '2009-01-14 13:55:38 EST', 'jtcornett'), ('JDT', '2009-01-14 14:10:22 EST', 'bokowski'), ('Boris_Bokowski, francisu', '2009-01-14 14:10:22 EST', 'bokowski'), ('jdt-ui-inbox', '2009-01-14 14:10:22 EST', 'bokowski'), ('UI', '2009-01-14 14:10:22 EST', 'bokowski'), ('daniel_megert', '2009-01-16 06:54:31 EST', 'daniel_megert'), ('francisu', '2009-01-16 06:54:31 EST', 'daniel_megert'), ('UI', '2009-01-16 06:59:22 EST', 'daniel_megert'), ('Platform', '2009-01-16 06:59:22 EST', 'daniel_megert'), ('ASSIGNED', '2009-01-29 00:16:17 EST', 'francisu'), ('[CommonNavigator] Java EE perspective drag drop src folder onto its own project deletes src folder', '2009-01-29 00:16:17 EST', 'francisu'), ('3.5 M6', '2009-01-29 00:16:17 EST', 'francisu'), ('dnd', '2009-02-02 05:49:35 EST', 'francisu'), ('review?(Boris_Bokowski)', '2009-02-03 06:44:07 EST', 'francisu'), ('emoffatt', '2009-02-03 14:50:37 EST', 'bokowski'), ('150688', '2009-02-04 04:44:11 EST', 'francisu'), ('242265', '2009-02-04 04:44:56 EST', 'francisu'), ('261865', '2009-02-04 04:48:34 EST', 'francisu'), ('258017', '2009-02-04 05:00:07 EST', 'francisu'), ('224016', '2009-02-04 06:26:11 EST', 'francisu'), ('1', '2009-02-04 06:26:33 EST', 'francisu'), ('1', '2009-02-04 06:26:55 EST', 'francisu'), ('263618', '2009-02-04 06:55:36 EST', 'francisu'), ('daniel_megert', '2009-02-04 15:49:38 EST', 'francisu'), ('NEW', '2009-02-04 15:49:38 EST', 'francisu'), ('UI', '2009-02-05 04:01:13 EST', 'francisu'), ('JDT', '2009-02-05 04:01:13 EST', 'francisu'), ('3.5', '2009-02-05 04:01:13 EST', 'francisu'), ('RESOLVED', '2009-02-05 05:27:22 EST', 'daniel_megert'), ('FIXED', '2009-02-05 05:27:22 EST', 'daniel_megert'), ('[common navigator] Java EE perspective drag drop src folder onto its own project deletes src folder', '2009-02-05 05:29:55 EST', 'daniel_megert'), (nan, '2009-02-09 17:05:33 EST', 'francisu'), (nan, '2009-02-10 02:38:45 EST', 'daniel_megert'), ('VERIFIED', '2009-03-11 13:21:56 EDT', 'daniel_megert'), ('markus_keller', '2009-06-16 12:43:12 EDT', 'markus.kell.r'), (nan, '2009-06-16 12:43:12 EDT', 'markus.kell.r')]</t>
  </si>
  <si>
    <t>2009-01-28 12:37:37 EST</t>
  </si>
  <si>
    <t>2009-01-30 02:27:02 EST</t>
  </si>
  <si>
    <t>2009-01-26 11:21 EST</t>
  </si>
  <si>
    <t>2009-01-26 13:06:15 EST</t>
  </si>
  <si>
    <t>[('CREATED', '2009-01-26 11:21 EST'), ('markus_keller', '2009-01-26 13:06:15 EST', 'markus.kell.r'), ('3.5 M5', '2009-01-26 13:06:15 EST', 'markus.kell.r'), ('RESOLVED', '2009-01-28 12:37:37 EST', 'markus.kell.r'), ('FIXED', '2009-01-28 12:37:37 EST', 'markus.kell.r'), ('daniel_megert', '2009-01-30 02:27:02 EST', 'daniel_megert'), ('VERIFIED', '2009-01-30 02:27:02 EST', 'daniel_megert')]</t>
  </si>
  <si>
    <t>2009-01-27 04:58 EST</t>
  </si>
  <si>
    <t>[('CREATED', '2009-01-27 04:58 EST'), ('markus_keller', '2009-01-27 05:51:24 EST', 'markus.kell.r'), ('RESOLVED', '2009-01-27 05:51:24 EST', 'markus.kell.r'), ('DUPLICATE', '2009-01-27 05:51:24 EST', 'markus.kell.r')]</t>
  </si>
  <si>
    <t>2009-02-18 11:52:30 EST</t>
  </si>
  <si>
    <t>2009-01-28 10:16 EST</t>
  </si>
  <si>
    <t>2009-01-28 11:13:33 EST</t>
  </si>
  <si>
    <t>2009-02-18 11:53:36 EST</t>
  </si>
  <si>
    <t>[('CREATED', '2009-01-28 10:16 EST'), ('ASSIGNED', '2009-01-28 11:13:33 EST', 'markus.kell.r'), ('daniel_megert', '2009-02-08 12:09:09 EST', 'daniel_megert'), ('review?(markus_keller)', '2009-02-08 12:09:09 EST', 'daniel_megert'), ('FIXED', '2009-02-18 11:52:30 EST', 'markus.kell.r'), ('3.5 M6', '2009-02-18 11:52:30 EST', 'markus.kell.r'), ('review+', '2009-02-18 11:52:30 EST', 'markus.kell.r'), ('RESOLVED', '2009-02-18 11:52:30 EST', 'markus.kell.r'), ('iplog+', '2009-02-18 11:53:36 EST', 'markus.kell.r')]</t>
  </si>
  <si>
    <t>RESOLVED  NOT_ECLIPSE</t>
  </si>
  <si>
    <t>NOT_ECLIPSE</t>
  </si>
  <si>
    <t>2009-01-29 10:38:38 EST</t>
  </si>
  <si>
    <t>2009-01-28 15:30 EST</t>
  </si>
  <si>
    <t>2009-01-28 17:51:38 EST</t>
  </si>
  <si>
    <t>2016-05-23 04:43:15 EDT</t>
  </si>
  <si>
    <t>[('CREATED', '2009-01-28 15:30 EST'), ('blocker', '2009-01-28 17:51:38 EST', 'eclipse'), ('corrupted refactor scripts moving classes across packages', '2009-01-28 18:00:08 EST', 'eclipse'), ('[refactoring] corrupted refactor scripts moving classes across packages', '2009-01-29 03:54:58 EST', 'daniel_megert'), ('daniel_megert', '2009-01-29 03:54:58 EST', 'daniel_megert'), ('markus_keller', '2009-01-29 03:54:58 EST', 'daniel_megert'), ('critical', '2009-01-29 03:54:58 EST', 'daniel_megert'), ('ASSIGNED', '2009-01-29 07:11:38 EST', 'markus.kell.r'), ('RESOLVED', '2009-01-29 10:38:38 EST', 'markus.kell.r'), ('readme', '2009-01-29 10:38:38 EST', 'markus.kell.r'), ('NOT_ECLIPSE', '2009-01-29 10:38:38 EST', 'markus.kell.r'), ('3.5 M5', '2009-01-29 10:38:38 EST', 'markus.kell.r'), ('stephan', '2011-09-24 16:03:34 EDT', 'stephan.herrmann'), (nan, '2016-05-23 04:43:15 EDT', 'noopur_gupta'), ('noopur_gupta', '2016-05-23 04:43:15 EDT', 'noopur_gupta')]</t>
  </si>
  <si>
    <t>RESOLVED  DUPLICATE  of bug 232735</t>
  </si>
  <si>
    <t>2009-02-09 07:02:04 EST</t>
  </si>
  <si>
    <t>2009-02-06 03:55:40 EST</t>
  </si>
  <si>
    <t>2009-02-06 12:41:20 EST</t>
  </si>
  <si>
    <t>2009-02-04 03:55 EST</t>
  </si>
  <si>
    <t>2009-02-04 04:53:25 EST</t>
  </si>
  <si>
    <t>[('CREATED', '2009-02-04 03:55 EST'), ('blazej.kroll', '2009-02-04 04:53:25 EST', 'blazej.kroll'), ('remy.suen', '2009-02-04 08:31:47 EST', 'remy.suen'), ('daniel_megert', '2009-02-06 03:55:40 EST', 'daniel_megert'), ('RESOLVED', '2009-02-06 03:55:40 EST', 'daniel_megert'), ('WORKSFORME', '2009-02-06 03:55:40 EST', 'daniel_megert'), ('REOPENED', '2009-02-06 12:41:20 EST', 'steven.bethard'), ('---', '2009-02-06 12:41:20 EST', 'steven.bethard'), ('DUPLICATE', '2009-02-09 07:02:04 EST', 'daniel_megert'), ('RESOLVED', '2009-02-09 07:02:04 EST', 'daniel_megert')]</t>
  </si>
  <si>
    <t>2009-02-04 06:37 EST</t>
  </si>
  <si>
    <t>2009-02-04 06:43:36 EST</t>
  </si>
  <si>
    <t>2019-09-08 12:11:48 EDT</t>
  </si>
  <si>
    <t>[('CREATED', '2009-02-04 06:37 EST'), ('daniel_megert', '2009-02-04 06:43:36 EST', 'daniel_megert'), ('ASSIGNED', '2009-02-04 06:43:36 EST', 'daniel_megert'), ('[common navigator] Cannot move a Java class from one package to another using DnD', '2009-02-04 06:43:36 EST', 'daniel_megert'), ('remysuen', '2010-05-17 10:35:24 EDT', 'remy.suen'), ('stalebug', '2019-09-08 12:11:48 EDT', 'genie')]</t>
  </si>
  <si>
    <t>264548 (view as bug list)</t>
  </si>
  <si>
    <t>2009-02-05 10:09:32 EST</t>
  </si>
  <si>
    <t>2009-02-06 02:08:11 EST</t>
  </si>
  <si>
    <t>2009-02-05 09:32 EST</t>
  </si>
  <si>
    <t>2009-02-05 09:36:50 EST</t>
  </si>
  <si>
    <t>2009-02-11 12:04:03 EST</t>
  </si>
  <si>
    <t>[('CREATED', '2009-02-05 09:32 EST'), ('daniel_megert', '2009-02-05 09:36:50 EST', 'daniel_megert'), ('markus_keller', '2009-02-05 09:36:50 EST', 'daniel_megert'), ('critical', '2009-02-05 09:36:50 EST', 'daniel_megert'), ('3.5 M6', '2009-02-05 09:36:50 EST', 'daniel_megert'), ('RESOLVED', '2009-02-05 10:09:32 EST', 'markus.kell.r'), ('FIXED', '2009-02-05 10:09:32 EST', 'markus.kell.r'), ('VERIFIED', '2009-02-06 02:08:11 EST', 'daniel_megert'), ('Olivier_Thomann', '2009-02-11 12:04:03 EST', 'daniel_megert')]</t>
  </si>
  <si>
    <t>2009-02-05 20:12 EST</t>
  </si>
  <si>
    <t>2009-02-06 01:58:07 EST</t>
  </si>
  <si>
    <t>2020-12-18 03:31:46 EST</t>
  </si>
  <si>
    <t>[('CREATED', '2009-02-05 20:12 EST'), ('daniel_megert', '2009-02-06 01:58:07 EST', 'daniel_megert'), ('jdt-ui-inbox', '2009-02-06 01:58:07 EST', 'daniel_megert'), ('UI', '2009-02-06 01:58:07 EST', 'daniel_megert'), ('normal', '2009-02-06 02:01:05 EST', 'daniel_megert'), ('ASSIGNED', '2009-02-06 02:01:05 EST', 'daniel_megert'), ('[quick fix] Create field/variable quick fix should reuse existing declarations', '2009-02-06 02:01:05 EST', 'daniel_megert'), ('b.michael', '2018-12-28 08:56:49 EST', 'b.michael'), ('stalebug', '2020-12-18 03:31:46 EST', 'genie')]</t>
  </si>
  <si>
    <t>RESOLVED  DUPLICATE  of bug 189294</t>
  </si>
  <si>
    <t>2009-02-09 05:29:27 EST</t>
  </si>
  <si>
    <t>2009-02-06 15:17 EST</t>
  </si>
  <si>
    <t>2009-02-08 12:29:26 EST</t>
  </si>
  <si>
    <t>[('CREATED', '2009-02-06 15:17 EST'), ('daniel_megert', '2009-02-08 12:29:26 EST', 'daniel_megert'), ('jdt-ui-inbox', '2009-02-08 12:29:26 EST', 'daniel_megert'), ('UI', '2009-02-08 12:29:26 EST', 'daniel_megert'), ('All', '2009-02-09 05:29:27 EST', 'daniel_megert'), ('All', '2009-02-09 05:29:27 EST', 'daniel_megert'), ('DUPLICATE', '2009-02-09 05:29:27 EST', 'daniel_megert'), ('[getter setter] Issue with Source &gt; Generate Getters and Setters for boolean member in a Java class', '2009-02-09 05:29:27 EST', 'daniel_megert'), ('RESOLVED', '2009-02-09 05:29:27 EST', 'daniel_megert')]</t>
  </si>
  <si>
    <t>RESOLVED  DUPLICATE  of bug 248954</t>
  </si>
  <si>
    <t>2009-02-09 09:49:56 EST</t>
  </si>
  <si>
    <t>2009-02-09 09:42 EST</t>
  </si>
  <si>
    <t>[('CREATED', '2009-02-09 09:42 EST'), ('daniel_megert', '2009-02-09 09:49:56 EST', 'daniel_megert'), ('RESOLVED', '2009-02-09 09:49:56 EST', 'daniel_megert'), ('DUPLICATE', '2009-02-09 09:49:56 EST', 'daniel_megert')]</t>
  </si>
  <si>
    <t>RESOLVED  DUPLICATE  of bug 263784</t>
  </si>
  <si>
    <t>2009-02-11 11:44 EST</t>
  </si>
  <si>
    <t>[('CREATED', '2009-02-11 11:44 EST'), ('daniel_megert', '2009-02-11 12:04:03 EST', 'daniel_megert'), ('RESOLVED', '2009-02-11 12:04:03 EST', 'daniel_megert'), ('DUPLICATE', '2009-02-11 12:04:03 EST', 'daniel_megert')]</t>
  </si>
  <si>
    <t>265188</t>
  </si>
  <si>
    <t>2009-02-19 03:39:10 EST</t>
  </si>
  <si>
    <t>2009-02-17 12:52 EST</t>
  </si>
  <si>
    <t>2009-02-18 03:44:41 EST</t>
  </si>
  <si>
    <t>[('CREATED', '2009-02-17 12:52 EST'), ('daniel_megert', '2009-02-18 03:44:41 EST', 'daniel_megert'), ('markus_keller', '2009-02-18 03:44:41 EST', 'daniel_megert'), ('3.5 M6', '2009-02-18 03:44:41 EST', 'daniel_megert'), ('FIXED', '2009-02-19 03:39:10 EST', 'markus.kell.r'), ('RESOLVED', '2009-02-19 03:39:10 EST', 'markus.kell.r')]</t>
  </si>
  <si>
    <t>2009-02-23 08:35:42 EST</t>
  </si>
  <si>
    <t>2009-02-19 08:01 EST</t>
  </si>
  <si>
    <t>2009-02-19 08:43:56 EST</t>
  </si>
  <si>
    <t>[('CREATED', '2009-02-19 08:01 EST'), ('jdt-ui-inbox', '2009-02-19 08:43:56 EST', 'frederic_fusier'), ('UI', '2009-02-19 08:43:56 EST', 'frederic_fusier'), ('ASSIGNED', '2009-02-19 09:48:22 EST', 'daniel_megert'), ('All', '2009-02-19 09:48:22 EST', 'daniel_megert'), ('All', '2009-02-19 09:48:22 EST', 'daniel_megert'), ('[inline] Inlining long constants may change semantics', '2009-02-19 09:48:22 EST', 'daniel_megert'), ('daniel_megert', '2009-02-19 09:48:22 EST', 'daniel_megert'), ('markus_keller', '2009-02-23 08:12:32 EST', 'markus.kell.r'), ('markus_keller', '2009-02-23 08:12:32 EST', 'markus.kell.r'), ('NEW', '2009-02-23 08:12:32 EST', 'markus.kell.r'), ('3.5 M6', '2009-02-23 08:12:32 EST', 'markus.kell.r'), ('RESOLVED', '2009-02-23 08:35:42 EST', 'markus.kell.r'), ('FIXED', '2009-02-23 08:35:42 EST', 'markus.kell.r')]</t>
  </si>
  <si>
    <t>RESOLVED  DUPLICATE  of bug 244458</t>
  </si>
  <si>
    <t>2009-02-20 02:33:14 EST</t>
  </si>
  <si>
    <t>2009-02-19 19:23 EST</t>
  </si>
  <si>
    <t>2009-02-19 19:32:07 EST</t>
  </si>
  <si>
    <t>[('CREATED', '2009-02-19 19:23 EST'), ('remy.suen', '2009-02-19 19:32:07 EST', 'remy.suen'), ('UI', '2009-02-19 19:32:07 EST', 'remy.suen'), ('JDT', '2009-02-19 19:32:07 EST', 'remy.suen'), ('jdt-ui-inbox', '2009-02-19 19:32:16 EST', 'remy.suen'), ('daniel_megert', '2009-02-20 02:33:14 EST', 'daniel_megert'), ('enhancement', '2009-02-20 02:33:14 EST', 'daniel_megert'), ('RESOLVED', '2009-02-20 02:33:14 EST', 'daniel_megert'), ('All', '2009-02-20 02:33:14 EST', 'daniel_megert'), ('All', '2009-02-20 02:33:14 EST', 'daniel_megert'), ('DUPLICATE', '2009-02-20 02:33:14 EST', 'daniel_megert')]</t>
  </si>
  <si>
    <t>2009-02-25 05:24:56 EST</t>
  </si>
  <si>
    <t>2009-02-25 05:00 EST</t>
  </si>
  <si>
    <t>2009-02-25 05:02:21 EST</t>
  </si>
  <si>
    <t>[('CREATED', '2009-02-25 05:00 EST'), ('hardikthakkar', '2009-02-25 05:02:21 EST', 'hardikthakkar'), ('All', '2009-02-25 05:24:56 EST', 'daniel_megert'), ('FIXED', '2009-02-25 05:24:56 EST', 'daniel_megert'), ('3.5 M6', '2009-02-25 05:24:56 EST', 'daniel_megert'), ('daniel_megert', '2009-02-25 05:24:56 EST', 'daniel_megert'), ('RESOLVED', '2009-02-25 05:24:56 EST', 'daniel_megert'), ('All', '2009-02-25 05:24:56 EST', 'daniel_megert')]</t>
  </si>
  <si>
    <t>2009-11-12 09:07:37 EST</t>
  </si>
  <si>
    <t>2009-12-08 04:02:21 EST</t>
  </si>
  <si>
    <t>2009-02-25 05:27 EST</t>
  </si>
  <si>
    <t>2009-02-25 05:32:41 EST</t>
  </si>
  <si>
    <t>[('CREATED', '2009-02-25 05:27 EST'), ('ASSIGNED', '2009-02-25 05:32:41 EST', 'daniel_megert'), ('3.5 M7', '2009-02-25 05:32:41 EST', 'daniel_megert'), ('P2', '2009-04-30 09:03:31 EDT', 'daniel_megert'), ('3.6', '2009-04-30 09:03:31 EDT', 'daniel_megert'), ('deepak.azad', '2009-10-20 07:59:49 EDT', 'daniel_megert'), ('3.6 M4', '2009-10-26 10:54:43 EDT', 'daniel_megert'), ('review?', '2009-10-26 10:54:43 EDT', 'daniel_megert'), ('review?', '2009-10-26 10:57:30 EDT', 'daniel_megert'), (nan, '2009-10-26 10:57:51 EDT', 'daniel_megert'), ('review+, iplog+', '2009-11-02 08:30:47 EST', 'daniel_megert'), ('markus_keller', '2009-11-05 09:24:26 EST', 'markus.kell.r'), ('Don\'t use "(s)" as placeholder for singular and plural', '2009-11-05 09:24:26 EST', 'markus.kell.r'), ('RESOLVED', '2009-11-12 09:07:37 EST', 'daniel_megert'), ('FIXED', '2009-11-12 09:07:37 EST', 'daniel_megert'), ('iplog+, review+', '2009-11-12 09:11:32 EST', 'daniel_megert'), ('VERIFIED', '2009-12-08 04:02:21 EST', 'raksha.vasisht'), ('raksha.vasisht', '2009-12-08 04:02:21 EST', 'raksha.vasisht')]</t>
  </si>
  <si>
    <t>RESOLVED  DUPLICATE  of bug 195834</t>
  </si>
  <si>
    <t>2009-02-25 06:15:26 EST</t>
  </si>
  <si>
    <t>2009-02-25 05:58 EST</t>
  </si>
  <si>
    <t>[('CREATED', '2009-02-25 05:58 EST'), ('daniel_megert', '2009-02-25 06:15:26 EST', 'daniel_megert'), ('RESOLVED', '2009-02-25 06:15:26 EST', 'daniel_megert'), ('DUPLICATE', '2009-02-25 06:15:26 EST', 'daniel_megert')]</t>
  </si>
  <si>
    <t>2009-02-27 05:07:46 EST</t>
  </si>
  <si>
    <t>2009-02-25 21:51 EST</t>
  </si>
  <si>
    <t>2009-02-25 21:51:33 EST</t>
  </si>
  <si>
    <t>[('CREATED', '2009-02-25 21:51 EST'), ('jsholl', '2009-02-25 21:51:33 EST', 'hshanka'), ('ccc', '2009-02-25 21:52:43 EST', 'hshanka'), ('jdt-ui-inbox', '2009-02-26 10:57:06 EST', 'dj.houghton'), ('UI', '2009-02-26 10:57:06 EST', 'dj.houghton'), ('JDT', '2009-02-26 10:57:06 EST', 'dj.houghton'), ('markus_keller', '2009-02-26 11:41:20 EST', 'markus.kell.r'), ('enhancement', '2009-02-26 11:41:20 EST', 'markus.kell.r'), ('RESOLVED', '2009-02-27 05:07:46 EST', 'markus.kell.r'), ('WONTFIX', '2009-02-27 05:07:46 EST', 'markus.kell.r')]</t>
  </si>
  <si>
    <t>2009-05-20 05:36:26 EDT</t>
  </si>
  <si>
    <t>2009-04-24 05:48:16 EDT</t>
  </si>
  <si>
    <t>2009-02-27 09:18 EST</t>
  </si>
  <si>
    <t>2009-02-27 09:21:25 EST</t>
  </si>
  <si>
    <t>[('CREATED', '2009-02-27 09:18 EST'), ('Olivier_Thomann', '2009-02-27 09:21:25 EST', 'Olivier_Thomann'), ('jdt-ui-inbox', '2009-02-27 09:21:25 EST', 'Olivier_Thomann'), ('UI', '2009-02-27 09:21:25 EST', 'Olivier_Thomann'), ('markus_keller', '2009-02-27 09:45:06 EST', 'markus.kell.r'), ('RESOLVED', '2009-02-27 09:45:06 EST', 'markus.kell.r'), ('WORKSFORME', '2009-02-27 09:45:06 EST', 'markus.kell.r'), ('REOPENED', '2009-03-04 05:44:08 EST', 'ulrich.hobelmann'), ('---', '2009-03-04 05:44:08 EST', 'ulrich.hobelmann'), ('daniel_megert', '2009-03-11 07:16:58 EDT', 'daniel_megert'), ('markus_keller', '2009-03-11 07:16:58 EDT', 'daniel_megert'), ('NEW', '2009-03-11 07:16:58 EDT', 'daniel_megert'), ('[rename] Refactor: renaming variable fails', '2009-03-11 07:16:58 EDT', 'daniel_megert'), ('RESOLVED', '2009-03-12 12:36:41 EDT', 'markus.kell.r'), ('WORKSFORME', '2009-03-12 12:36:41 EDT', 'markus.kell.r'), ('REOPENED', '2009-04-24 05:48:16 EDT', 'ulrich.hobelmann'), ('---', '2009-04-24 05:48:16 EDT', 'ulrich.hobelmann'), ('nickm', '2009-04-24 10:32:46 EDT', 'nickm'), ('RESOLVED', '2009-05-20 05:36:26 EDT', 'markus.kell.r'), ('WORKSFORME', '2009-05-20 05:36:26 EDT', 'markus.kell.r')]</t>
  </si>
  <si>
    <t>RESOLVED  DUPLICATE  of bug 100740</t>
  </si>
  <si>
    <t>2009-03-02 09:04:52 EST</t>
  </si>
  <si>
    <t>2009-03-02 08:05 EST</t>
  </si>
  <si>
    <t>[('CREATED', '2009-03-02 08:05 EST'), ('markus_keller', '2009-03-02 09:04:52 EST', 'markus.kell.r'), ('RESOLVED', '2009-03-02 09:04:52 EST', 'markus.kell.r'), ('DUPLICATE', '2009-03-02 09:04:52 EST', 'markus.kell.r')]</t>
  </si>
  <si>
    <t>2009-03-02 11:19:46 EST</t>
  </si>
  <si>
    <t>2009-03-02 10:30:58 EST</t>
  </si>
  <si>
    <t>2009-03-02 09:57 EST</t>
  </si>
  <si>
    <t>2009-03-02 10:23:29 EST</t>
  </si>
  <si>
    <t>[('CREATED', '2009-03-02 09:57 EST'), ('markus_keller', '2009-03-02 10:23:29 EST', 'markus.kell.r'), ('RESOLVED', '2009-03-02 10:23:29 EST', 'markus.kell.r'), ('WORKSFORME', '2009-03-02 10:23:29 EST', 'markus.kell.r'), ('3.3.2', '2009-03-02 10:23:29 EST', 'markus.kell.r'), ('hauser', '2009-03-02 10:28:37 EST', 'hauser'), ('REOPENED', '2009-03-02 10:30:58 EST', 'hauser'), ('---', '2009-03-02 10:30:58 EST', 'hauser'), ('RESOLVED', '2009-03-02 11:19:46 EST', 'markus.kell.r'), ('WORKSFORME', '2009-03-02 11:19:46 EST', 'markus.kell.r')]</t>
  </si>
  <si>
    <t>2020-04-14 20:04:28 EDT</t>
  </si>
  <si>
    <t>2009-03-03 10:43 EST</t>
  </si>
  <si>
    <t>2009-03-03 10:54:09 EST</t>
  </si>
  <si>
    <t>[('CREATED', '2009-03-03 10:43 EST'), ('jdt-ui-inbox', '2009-03-03 10:54:09 EST', 'frederic_fusier'), ('UI', '2009-03-03 10:54:09 EST', 'frederic_fusier'), ('ASSIGNED', '2009-03-04 08:27:50 EST', 'markus.kell.r'), ('[encapsulate field] refactoring causes compilation error with generic methods', '2009-03-04 08:27:50 EST', 'markus.kell.r'), ('markus_keller', '2009-03-04 08:27:50 EST', 'markus.kell.r'), ('WONTFIX', '2020-04-14 20:04:28 EDT', 'genie'), ('stalebug', '2020-04-14 20:04:28 EDT', 'genie'), ('CLOSED', '2020-04-14 20:04:28 EDT', 'genie')]</t>
  </si>
  <si>
    <t>270824</t>
  </si>
  <si>
    <t>2009-04-16 11:04:16 EDT</t>
  </si>
  <si>
    <t>2009-05-06 05:29:06 EDT</t>
  </si>
  <si>
    <t>2009-03-03 11:38 EST</t>
  </si>
  <si>
    <t>2009-03-09 06:12:10 EDT</t>
  </si>
  <si>
    <t>[('CREATED', '2009-03-03 11:38 EST'), ('markus_keller', '2009-03-09 06:12:10 EDT', 'markus.kell.r'), ('markus_keller', '2009-03-09 06:12:10 EDT', 'markus.kell.r'), ('3.5 M7', '2009-03-09 06:12:10 EDT', 'markus.kell.r'), ('Linux-GTK', '2009-03-10 14:44:59 EDT', 'frederic_fusier'), ('daniel_megert', '2009-03-31 05:50:17 EDT', 'markus.kell.r'), ('performance', '2009-03-31 05:50:17 EDT', 'markus.kell.r'), ('270824', '2009-04-07 08:06:20 EDT', 'daniel_megert'), ('test', '2009-04-08 09:21:11 EDT', 'frederic_fusier'), ('RESOLVED', '2009-04-16 11:04:16 EDT', 'daniel_megert'), ('WORKSFORME', '2009-04-16 11:04:16 EDT', 'daniel_megert'), ('VERIFIED', '2009-05-06 05:29:06 EDT', 'frederic_fusier')]</t>
  </si>
  <si>
    <t>2009-03-23 12:04:39 EDT</t>
  </si>
  <si>
    <t>2009-03-05 12:34 EST</t>
  </si>
  <si>
    <t>2009-03-05 12:35:32 EST</t>
  </si>
  <si>
    <t>[('CREATED', '2009-03-05 12:34 EST'), ('daniel_megert', '2009-03-05 12:35:32 EST', 'markus.kell.r'), ('3.5 M7', '2009-03-05 12:35:32 EST', 'markus.kell.r'), ('RESOLVED', '2009-03-23 12:04:39 EDT', 'daniel_megert'), ('FIXED', '2009-03-23 12:04:39 EDT', 'daniel_megert')]</t>
  </si>
  <si>
    <t>2009-03-05 14:45:56 EST</t>
  </si>
  <si>
    <t>2009-03-05 13:02 EST</t>
  </si>
  <si>
    <t>2009-03-05 13:03:25 EST</t>
  </si>
  <si>
    <t>[('CREATED', '2009-03-05 13:02 EST'), ('daniel_megert', '2009-03-05 13:03:25 EST', 'markus.kell.r'), ('markus_keller', '2009-03-05 13:03:25 EST', 'markus.kell.r'), ('RESOLVED', '2009-03-05 14:45:56 EST', 'markus.kell.r'), ('FIXED', '2009-03-05 14:45:56 EST', 'markus.kell.r'), ('3.5 M6', '2009-03-05 14:45:56 EST', 'markus.kell.r')]</t>
  </si>
  <si>
    <t>2009-03-06 14:11:10 EST</t>
  </si>
  <si>
    <t>2009-03-06 02:54 EST</t>
  </si>
  <si>
    <t>[('CREATED', '2009-03-06 02:54 EST'), ('markus_keller', '2009-03-06 14:11:10 EST', 'markus.kell.r'), ('RESOLVED', '2009-03-06 14:11:10 EST', 'markus.kell.r'), ('FIXED', '2009-03-06 14:11:10 EST', 'markus.kell.r'), ('3.5 M6', '2009-03-06 14:11:10 EST', 'markus.kell.r')]</t>
  </si>
  <si>
    <t>85449 (view as bug list)</t>
  </si>
  <si>
    <t>2010-08-05 04:17:16 EDT</t>
  </si>
  <si>
    <t>2010-08-05 05:39:31 EDT</t>
  </si>
  <si>
    <t>2010-08-03 06:17:38 EDT</t>
  </si>
  <si>
    <t>2009-03-06 10:45 EST</t>
  </si>
  <si>
    <t>2009-03-06 12:58:08 EST</t>
  </si>
  <si>
    <t>[('CREATED', '2009-03-06 10:45 EST'), ('markus_keller', '2009-03-06 12:58:08 EST', 'markus.kell.r'), ('markus_keller', '2009-03-06 12:58:08 EST', 'markus.kell.r'), ('[inline] Autoboxing breaks method inlining.', '2009-03-06 12:58:08 EST', 'markus.kell.r'), ('3.5 M7', '2009-03-06 12:58:08 EST', 'markus.kell.r'), ('ASSIGNED', '2009-03-06 12:58:29 EST', 'markus.kell.r'), ('P5', '2009-04-30 12:35:26 EDT', 'markus.kell.r'), ('3.6', '2009-04-30 12:35:26 EDT', 'markus.kell.r'), ('deepak.azad', '2010-04-20 14:45:57 EDT', 'markus.kell.r'), ('P2', '2010-04-21 02:59:20 EDT', 'daniel_megert'), ('daniel_megert', '2010-04-21 02:59:20 EDT', 'daniel_megert'), ('3.6 RC1', '2010-04-27 10:18:53 EDT', 'markus.kell.r'), ('3.7', '2010-05-03 08:35:35 EDT', 'deepakazad'), ('P3', '2010-05-03 08:35:35 EDT', 'deepakazad'), ('3.7 M1', '2010-06-08 07:21:20 EDT', 'deepakazad'), ('eclipse', '2010-06-25 15:52:23 EDT', 'deepakazad'), ('review?(markus_keller)', '2010-06-25 17:05:03 EDT', 'deepakazad'), ('review-', '2010-06-30 14:04:10 EDT', 'markus.kell.r'), ('1', '2010-07-07 11:20:26 EDT', 'deepakazad'), ('review?', '2010-07-19 14:31:39 EDT', 'markus.kell.r'), ('review?(markus_keller)', '2010-07-19 14:32:01 EDT', 'markus.kell.r'), ('review+', '2010-07-20 14:14:42 EDT', 'markus.kell.r'), ('RESOLVED', '2010-07-21 02:04:05 EDT', 'deepakazad'), ('FIXED', '2010-07-21 02:04:05 EDT', 'deepakazad'), ('REOPENED', '2010-08-03 06:17:38 EDT', 'daniel_megert'), ('---', '2010-08-03 06:17:38 EDT', 'daniel_megert'), ('RESOLVED', '2010-08-05 04:17:16 EDT', 'deepakazad'), ('FIXED', '2010-08-05 04:17:16 EDT', 'deepakazad'), ('VERIFIED', '2010-08-05 05:39:31 EDT', 'daniel_megert')]</t>
  </si>
  <si>
    <t>274796 280220 (view as bug list)</t>
  </si>
  <si>
    <t>2009-03-13 10:26:16 EDT</t>
  </si>
  <si>
    <t>2009-03-09 08:48 EDT</t>
  </si>
  <si>
    <t>2009-03-11 07:13:47 EDT</t>
  </si>
  <si>
    <t>2009-06-15 08:27:42 EDT</t>
  </si>
  <si>
    <t>[('CREATED', '2009-03-09 08:48 EDT'), ('UI', '2009-03-11 07:13:47 EDT', 'daniel_megert'), ('3.5', '2009-03-11 07:13:47 EDT', 'daniel_megert'), ('daniel_megert', '2009-03-11 07:13:47 EDT', 'daniel_megert'), ('markus_keller', '2009-03-11 07:13:47 EDT', 'daniel_megert'), ('[rename] Rename method fails to create a method handle', '2009-03-11 07:14:28 EDT', 'daniel_megert'), ('RESOLVED', '2009-03-13 10:26:16 EDT', 'markus.kell.r'), ('FIXED', '2009-03-13 10:26:16 EDT', 'markus.kell.r'), ('3.5 M7', '2009-03-13 10:26:16 EDT', 'markus.kell.r'), ('per', '2009-05-04 09:12:58 EDT', 'daniel_megert'), ('mulova', '2009-06-15 08:27:42 EDT', 'markus.kell.r')]</t>
  </si>
  <si>
    <t>2009-03-16 04:28:50 EDT</t>
  </si>
  <si>
    <t>2009-03-15 12:51 EDT</t>
  </si>
  <si>
    <t>2009-03-15 14:30:10 EDT</t>
  </si>
  <si>
    <t>2009-05-05 06:46:14 EDT</t>
  </si>
  <si>
    <t>[('CREATED', '2009-03-15 12:51 EDT'), ('Olivier_Thomann', '2009-03-15 14:30:10 EDT', 'Olivier_Thomann'), ('jdt-ui-inbox', '2009-03-15 14:30:10 EDT', 'Olivier_Thomann'), ('UI', '2009-03-15 14:30:10 EDT', 'Olivier_Thomann'), ('daniel_megert', '2009-03-16 04:28:50 EDT', 'daniel_megert'), ('RESOLVED', '2009-03-16 04:28:50 EDT', 'daniel_megert'), ('WORKSFORME', '2009-03-16 04:28:50 EDT', 'daniel_megert'), ('[extract class] Refactor/Extract Class seems incomplete', '2009-03-16 04:28:50 EDT', 'daniel_megert'), ('3.5', '2009-05-05 06:46:14 EDT', 'daniel_megert')]</t>
  </si>
  <si>
    <t>20036</t>
  </si>
  <si>
    <t>341774</t>
  </si>
  <si>
    <t>2020-03-29 05:40:13 EDT</t>
  </si>
  <si>
    <t>2009-03-17 15:53 EDT</t>
  </si>
  <si>
    <t>2009-03-17 15:56:39 EDT</t>
  </si>
  <si>
    <t>[('CREATED', '2009-03-17 15:53 EDT'), ('hbernstein', '2009-03-17 15:56:39 EDT', 'jpetrakis'), ('fabickfo', '2009-03-17 16:14:32 EDT', 'fabickfo'), ('loskutov', '2010-04-05 05:09:49 EDT', 'loskutov'), ('ekke', '2010-04-05 07:40:24 EDT', 'ekke'), ('bastian.doetsch', '2010-04-05 07:54:33 EDT', 'bastian.doetsch'), ('berno.langer', '2010-04-05 09:47:38 EDT', 'berno.langer'), ('gunnar', '2010-04-06 03:11:50 EDT', 'gunnar'), ('carsten.pfeiffer', '2010-04-06 03:26:40 EDT', 'carsten.pfeiffer'), ('digulla', '2010-04-06 07:44:33 EDT', 'digulla'), ('ASSIGNED', '2010-04-06 09:53:38 EDT', 'markus.kell.r'), ('markus_keller', '2010-04-06 09:53:38 EDT', 'markus.kell.r'), ('UI', '2010-04-06 09:53:38 EDT', 'markus.kell.r'), ('20036', '2010-04-06 09:53:38 EDT', 'markus.kell.r'), ('jdt-ui-inbox', '2010-04-06 09:53:38 EDT', 'markus.kell.r'), ('fix candidate', '2010-04-06 09:53:38 EDT', 'markus.kell.r'), ('[ccp] Copy and paste of file with same name from one pkg to another problematic', '2010-04-06 09:54:08 EDT', 'markus.kell.r'), ('[ccp] Copy and paste of file with same name from one pkg to another problematic', '2010-04-06 09:56:13 EDT', 'markus.kell.r'), ('[ccp] Copy and paste of file with same name from one pkg to another problematic', '2010-04-06 09:56:25 EDT', 'markus.kell.r'), ('derek_linttell', '2010-04-22 11:25:57 EDT', 'jpetrakis'), (nan, '2010-04-22 11:27:15 EDT', 'jpetrakis'), ('derek_linttell', '2010-04-22 11:27:30 EDT', 'jpetrakis'), ('chris.velevitch', '2010-05-10 08:48:49 EDT', 'chris.velevitch'), ('matthias.sohn', '2010-06-05 18:59:28 EDT', 'matthias.sohn'), ('francisu', '2010-06-11 17:28:57 EDT', 'francisu'), ('major', '2010-06-11 17:28:57 EDT', 'francisu'), ('krzysztof_daniel', '2010-07-26 03:58:45 EDT', 'krzysztof.daniel'), ('szymon.ptaszkiewicz', '2010-07-26 07:53:01 EDT', 'sptaszkiewicz'), ('P1', '2010-07-27 04:03:15 EDT', 'daniel_megert'), ('daniel_megert', '2010-07-27 04:03:15 EDT', 'daniel_megert'), ('markus_keller', '2010-07-27 04:03:15 EDT', 'daniel_megert'), ('3.4.2+', '2010-07-27 04:03:15 EDT', 'daniel_megert'), ('stefan.lay', '2010-08-10 04:01:42 EDT', 'stefan.lay'), ('P3', '2010-08-10 12:36:29 EDT', 'markus.kell.r'), ('---', '2010-08-10 12:36:29 EDT', 'markus.kell.r'), ('All', '2010-09-30 03:48:01 EDT', 'daniel_megert'), ('normal', '2010-09-30 03:48:01 EDT', 'daniel_megert'), ('All', '2010-09-30 03:48:01 EDT', 'daniel_megert'), ('jdt-ui-inbox', '2010-09-30 03:48:01 EDT', 'daniel_megert'), ('major', '2010-09-30 05:15:52 EDT', 'daniel_megert'), ('341774', '2011-04-04 09:03:43 EDT', 'henrik.lindberg'), ('CLOSED', '2020-03-29 05:40:13 EDT', 'genie'), ('stalebug', '2020-03-29 05:40:13 EDT', 'genie'), ('WONTFIX', '2020-03-29 05:40:13 EDT', 'genie')]</t>
  </si>
  <si>
    <t>265144 (view as bug list)</t>
  </si>
  <si>
    <t>2009-03-19 13:40:52 EDT</t>
  </si>
  <si>
    <t>2009-04-29 04:30:07 EDT</t>
  </si>
  <si>
    <t>2009-03-18 07:32 EDT</t>
  </si>
  <si>
    <t>2009-03-18 07:32:30 EDT</t>
  </si>
  <si>
    <t>[('CREATED', '2009-03-18 07:32 EDT'), ('3.5 M7', '2009-03-18 07:32:30 EDT', 'daniel_megert'), ('michael_schneider', '2009-03-19 11:31:22 EDT', 'markus.kell.r'), ('Tomasz.Zarna', '2009-03-19 11:31:34 EDT', 'markus.kell.r'), ('many exceptions in .log due to JavaElementResourceMapping after deleting a package', '2009-03-19 13:40:52 EDT', 'markus.kell.r'), ('RESOLVED', '2009-03-19 13:40:52 EDT', 'markus.kell.r'), ('FIXED', '2009-03-19 13:40:52 EDT', 'markus.kell.r'), ('VERIFIED', '2009-04-29 04:30:07 EDT', 'daniel_megert')]</t>
  </si>
  <si>
    <t>2020-05-11 17:10:43 EDT</t>
  </si>
  <si>
    <t>2009-03-18 07:35 EDT</t>
  </si>
  <si>
    <t>[('CREATED', '2009-03-18 07:35 EDT'), ('stalebug', '2020-05-11 17:10:43 EDT', 'genie'), ('CLOSED', '2020-05-11 17:10:43 EDT', 'genie'), ('WONTFIX', '2020-05-11 17:10:43 EDT', 'genie')]</t>
  </si>
  <si>
    <t>2020-04-30 00:39:21 EDT</t>
  </si>
  <si>
    <t>2009-03-21 11:11 EDT</t>
  </si>
  <si>
    <t>2009-03-23 05:59:36 EDT</t>
  </si>
  <si>
    <t>[('CREATED', '2009-03-21 11:11 EDT'), ('daniel_megert', '2009-03-23 05:59:36 EDT', 'daniel_megert'), ('ASSIGNED', '2009-03-23 05:59:36 EDT', 'daniel_megert'), ('markus_keller', '2009-03-23 06:36:56 EDT', 'markus.kell.r'), ('P5', '2009-03-23 06:36:56 EDT', 'markus.kell.r'), ('3.5', '2009-07-27 15:34:32 EDT', 'schierlm'), ('3.4', '2009-07-29 07:23:30 EDT', 'daniel_megert'), ('CLOSED', '2020-04-30 00:39:21 EDT', 'genie'), ('stalebug', '2020-04-30 00:39:21 EDT', 'genie'), ('WONTFIX', '2020-04-30 00:39:21 EDT', 'genie')]</t>
  </si>
  <si>
    <t>2020-03-02 11:45:55 EST</t>
  </si>
  <si>
    <t>2009-03-26 07:41 EDT</t>
  </si>
  <si>
    <t>2009-03-26 09:14:43 EDT</t>
  </si>
  <si>
    <t>[('CREATED', '2009-03-26 07:41 EDT'), ('daniel_megert', '2009-03-26 09:14:43 EDT', 'tomasz.zarna'), ('Tomasz.Zarna', '2009-03-26 09:14:43 EDT', 'tomasz.zarna'), ('[compare] Refactor initiated in a CU editor cannot be continued in the Compare Editor', '2009-03-26 09:14:43 EDT', 'tomasz.zarna'), ('markus_keller', '2009-03-26 10:13:08 EDT', 'markus.kell.r'), ('stalebug', '2020-03-02 11:45:55 EST', 'genie'), ('WONTFIX', '2020-03-02 11:45:55 EST', 'genie'), ('CLOSED', '2020-03-02 11:45:55 EST', 'genie')]</t>
  </si>
  <si>
    <t>2009-03-26 12:27:00 EDT</t>
  </si>
  <si>
    <t>2009-03-26 12:24:29 EDT</t>
  </si>
  <si>
    <t>2009-03-26 09:12 EDT</t>
  </si>
  <si>
    <t>2009-03-26 09:16:46 EDT</t>
  </si>
  <si>
    <t>[('CREATED', '2009-03-26 09:12 EDT'), ('Olivier_Thomann', '2009-03-26 09:16:46 EDT', 'Olivier_Thomann'), ('jdt-ui-inbox', '2009-03-26 09:16:46 EDT', 'Olivier_Thomann'), ('UI', '2009-03-26 09:16:46 EDT', 'Olivier_Thomann'), ('daniel_megert', '2009-03-26 10:43:39 EDT', 'daniel_megert'), ('RESOLVED', '2009-03-26 10:43:39 EDT', 'daniel_megert'), ('WORKSFORME', '2009-03-26 10:43:39 EDT', 'daniel_megert'), ("[quick fix] Raw type quick fix for multiple selection doesn't work", '2009-03-26 10:43:39 EDT', 'daniel_megert'), ('REOPENED', '2009-03-26 12:24:29 EDT', 'al.dexter'), ('---', '2009-03-26 12:24:29 EDT', 'al.dexter'), ('RESOLVED', '2009-03-26 12:27:00 EDT', 'daniel_megert'), ('WORKSFORME', '2009-03-26 12:27:00 EDT', 'daniel_megert')]</t>
  </si>
  <si>
    <t>RESOLVED  DUPLICATE  of bug 180884</t>
  </si>
  <si>
    <t>2009-03-29 02:20 EDT</t>
  </si>
  <si>
    <t>2009-03-29 20:49:43 EDT</t>
  </si>
  <si>
    <t>[('CREATED', '2009-03-29 02:20 EDT'), ('Olivier_Thomann', '2009-03-29 20:49:43 EDT', 'Olivier_Thomann'), ('jdt-ui-inbox', '2009-03-29 20:49:43 EDT', 'Olivier_Thomann'), ('UI', '2009-03-29 20:49:43 EDT', 'Olivier_Thomann'), ('[JUnit] Make the JUnit plugin generic to other test frameworks', '2009-03-29 20:49:43 EDT', 'Olivier_Thomann'), ('daniel_megert', '2009-03-30 04:52:06 EDT', 'daniel_megert'), ('RESOLVED', '2009-03-30 04:52:06 EDT', 'daniel_megert'), ('DUPLICATE', '2009-03-30 04:52:06 EDT', 'daniel_megert')]</t>
  </si>
  <si>
    <t>2009-04-02 05:46:21 EDT</t>
  </si>
  <si>
    <t>2009-04-01 22:10 EDT</t>
  </si>
  <si>
    <t>2009-04-02 05:46:36 EDT</t>
  </si>
  <si>
    <t>[('CREATED', '2009-04-01 22:10 EDT'), ('daniel_megert', '2009-04-02 05:46:21 EDT', 'daniel_megert'), ('RESOLVED', '2009-04-02 05:46:21 EDT', 'daniel_megert'), ('WORKSFORME', '2009-04-02 05:46:21 EDT', 'daniel_megert'), ('[change method signature] Changing Exception only in Method Signature shows Method signature unchanged', '2009-04-02 05:46:21 EDT', 'daniel_megert'), ('3.5', '2009-04-02 05:46:36 EDT', 'daniel_megert')]</t>
  </si>
  <si>
    <t>2009-04-22 19:13:55 EDT</t>
  </si>
  <si>
    <t>2009-04-03 11:23 EDT</t>
  </si>
  <si>
    <t>2009-04-21 15:33:24 EDT</t>
  </si>
  <si>
    <t>[('CREATED', '2009-04-03 11:23 EDT'), ('jdt-ui-inbox', '2009-04-21 15:33:24 EDT', 'cocoakevin'), ('UI', '2009-04-21 15:33:24 EDT', 'cocoakevin'), ('All', '2009-04-21 15:33:24 EDT', 'cocoakevin'), ('JDT', '2009-04-21 15:33:24 EDT', 'cocoakevin'), ('All', '2009-04-21 15:33:24 EDT', 'cocoakevin'), ('remy.suen', '2009-04-21 15:35:52 EDT', 'remy.suen'), ('daniel_megert', '2009-04-22 02:27:21 EDT', 'daniel_megert'), ('markus_keller', '2009-04-22 02:27:21 EDT', 'daniel_megert'), ('[rename] button clipped in Rename dialog', '2009-04-22 02:27:56 EDT', 'daniel_megert'), ('ASSIGNED', '2009-04-22 08:18:02 EDT', 'markus.kell.r'), ('3.5 M7', '2009-04-22 08:18:02 EDT', 'markus.kell.r'), ('robin.rosenberg', '2009-04-22 08:51:01 EDT', 'robin.rosenberg'), ('RESOLVED', '2009-04-22 19:13:55 EDT', 'markus.kell.r'), ('FIXED', '2009-04-22 19:13:55 EDT', 'markus.kell.r')]</t>
  </si>
  <si>
    <t>266885</t>
  </si>
  <si>
    <t>2010-04-13 06:59:37 EDT</t>
  </si>
  <si>
    <t>2009-04-04 13:57 EDT</t>
  </si>
  <si>
    <t>2009-04-06 03:35:06 EDT</t>
  </si>
  <si>
    <t>[('CREATED', '2009-04-04 13:57 EDT'), ('daniel_megert', '2009-04-06 03:35:06 EDT', 'daniel_megert'), ('markus_keller', '2009-04-06 03:35:06 EDT', 'daniel_megert'), ('[encapsulate field] Encapsulate field on multi-variable declarations drops modifiers', '2009-04-06 03:35:06 EDT', 'daniel_megert'), ('266885', '2009-04-07 06:00:51 EDT', 'markus.kell.r'), ('ASSIGNED', '2009-04-07 06:00:51 EDT', 'markus.kell.r'), ('All', '2009-05-15 07:02:38 EDT', 'markus.kell.r'), ('All', '2009-05-15 07:02:38 EDT', 'markus.kell.r'), ('3.6', '2009-05-15 07:02:38 EDT', 'markus.kell.r'), ('RESOLVED', '2010-04-13 06:59:37 EDT', 'markus.kell.r'), ('FIXED', '2010-04-13 06:59:37 EDT', 'markus.kell.r'), ('3.6 M7', '2010-04-13 06:59:37 EDT', 'markus.kell.r')]</t>
  </si>
  <si>
    <t>2020-01-24 08:41:12 EST</t>
  </si>
  <si>
    <t>2009-04-07 17:14 EDT</t>
  </si>
  <si>
    <t>2009-04-08 03:06:45 EDT</t>
  </si>
  <si>
    <t>[('CREATED', '2009-04-07 17:14 EDT'), ('[extract constant] extract constant not offered for generic anonymous', '2009-04-08 03:06:45 EDT', 'daniel_megert'), ('daniel_megert', '2009-04-08 03:06:45 EDT', 'daniel_megert'), ('ASSIGNED', '2009-04-08 03:06:45 EDT', 'daniel_megert'), ('All', '2009-04-08 03:06:45 EDT', 'daniel_megert'), ('All', '2009-04-08 03:06:45 EDT', 'daniel_megert'), ('bugday', '2014-05-13 08:13:03 EDT', 'markus.kell.r'), ('markus_keller', '2014-05-13 08:13:03 EDT', 'markus.kell.r'), ('[extract constant] blocked offered for anonymous and lambdas', '2014-05-13 08:13:03 EDT', 'markus.kell.r'), ('[extract constant] blocked for anonymous and lambdas that declare variables', '2014-05-13 09:43:24 EDT', 'markus.kell.r'), ('jerome.cambon', '2014-05-19 09:10:28 EDT', 'jerome.cambon'), ('jerome.cambon', '2014-05-19 09:11:40 EDT', 'daniel_megert'), ('1', '2014-05-28 06:16:48 EDT', 'jerome.cambon'), ('review?', '2014-05-28 06:16:48 EDT', 'jerome.cambon'), ('review-', '2014-07-16 12:36:03 EDT', 'markus.kell.r'), ('1', '2014-09-17 04:08:23 EDT', 'jerome.cambon'), ('review?', '2014-09-17 04:08:23 EDT', 'jerome.cambon'), ('review?(markus_keller)', '2014-10-21 09:39:26 EDT', 'daniel_megert'), ('stalebug', '2020-01-24 08:41:12 EST', 'genie'), ('WONTFIX', '2020-01-24 08:41:12 EST', 'genie'), ('CLOSED', '2020-01-24 08:41:12 EST', 'genie')]</t>
  </si>
  <si>
    <t>287701</t>
  </si>
  <si>
    <t>2009-04-08 10:39 EDT</t>
  </si>
  <si>
    <t>2009-04-09 03:55:55 EDT</t>
  </si>
  <si>
    <t>2019-05-14 05:33:11 EDT</t>
  </si>
  <si>
    <t>[('CREATED', '2009-04-08 10:39 EDT'), ('daniel_megert', '2009-04-09 03:55:55 EDT', 'daniel_megert'), ('ASSIGNED', '2009-04-09 03:55:55 EDT', 'daniel_megert'), ("[extract local] can't extract temp from array element assignment", '2009-04-09 03:55:55 EDT', 'daniel_megert'), ('markus_keller', '2009-08-26 10:56:35 EDT', 'markus.kell.r'), ('287701', '2009-08-26 10:56:35 EDT', 'markus.kell.r'), ("[extract local] can't extract temp from assignment inside another expression", '2009-08-26 10:56:35 EDT', 'markus.kell.r'), ('stalebug', '2019-05-14 05:33:11 EDT', 'genie')]</t>
  </si>
  <si>
    <t>2010-08-08 11:18:53 EDT</t>
  </si>
  <si>
    <t>2010-09-14 05:41:40 EDT</t>
  </si>
  <si>
    <t>2009-04-15 11:47:32 EDT</t>
  </si>
  <si>
    <t>2009-05-04 05:05:13 EDT</t>
  </si>
  <si>
    <t>2009-04-15 11:34 EDT</t>
  </si>
  <si>
    <t>2009-04-15 11:39:21 EDT</t>
  </si>
  <si>
    <t>2010-09-14 06:45:28 EDT</t>
  </si>
  <si>
    <t>rthakkar</t>
  </si>
  <si>
    <t>[('CREATED', '2009-04-15 11:34 EDT'), ('Olivier_Thomann', '2009-04-15 11:39:21 EDT', 'Olivier_Thomann'), ('jdt-ui-inbox', '2009-04-15 11:39:21 EDT', 'Olivier_Thomann'), ('UI', '2009-04-15 11:39:21 EDT', 'Olivier_Thomann'), ('daniel_megert', '2009-04-15 11:47:32 EDT', 'daniel_megert'), ('RESOLVED', '2009-04-15 11:47:32 EDT', 'daniel_megert'), ('WORKSFORME', '2009-04-15 11:47:32 EDT', 'daniel_megert'), ('[quick fix] New refactoring: if-else statement to ternary', '2009-04-15 11:47:32 EDT', 'daniel_megert'), ('markus_keller', '2009-04-30 12:02:05 EDT', 'markus.kell.r'), ('REOPENED', '2009-05-04 05:05:13 EDT', 'markus.kell.r'), ('---', '2009-05-04 05:05:13 EDT', 'markus.kell.r'), ("[quick assist] 'Replace conditional with if-else' should also work on VariableDeclarationFragment", '2009-05-04 05:05:13 EDT', 'markus.kell.r'), ('NEW', '2009-05-04 05:05:42 EDT', 'markus.kell.r'), ('markus_keller', '2009-05-04 05:06:20 EDT', 'markus.kell.r'), ('3.6', '2009-05-04 05:06:39 EDT', 'markus.kell.r'), ('deepak.azad', '2010-04-20 14:48:00 EDT', 'markus.kell.r'), ('3.6 RC1', '2010-04-27 10:18:53 EDT', 'markus.kell.r'), ('3.7', '2010-05-03 08:35:21 EDT', 'deepakazad'), ('RESOLVED', '2010-08-08 11:18:53 EDT', 'deepakazad'), ('FIXED', '2010-08-08 11:18:53 EDT', 'deepakazad'), ('3.7 M2', '2010-08-08 11:18:53 EDT', 'deepakazad'), ('VERIFIED', '2010-09-14 05:41:40 EDT', 'raksha.vasisht'), ('raksha.vasisht', '2010-09-14 05:41:40 EDT', 'raksha.vasisht'), ('rthakkar', '2010-09-14 06:45:28 EDT', 'rthakkar')]</t>
  </si>
  <si>
    <t>2009-04-22 13:36:52 EDT</t>
  </si>
  <si>
    <t>2009-04-15 15:01 EDT</t>
  </si>
  <si>
    <t>2009-04-16 02:35:38 EDT</t>
  </si>
  <si>
    <t>[('CREATED', '2009-04-15 15:01 EDT'), ('[ltk] LTK RefactoringWizardOpenOperation opens window with no window title text', '2009-04-16 02:35:38 EDT', 'daniel_megert'), ('daniel_megert', '2009-04-16 02:35:38 EDT', 'daniel_megert'), ('markus_keller', '2009-04-16 02:35:38 EDT', 'daniel_megert'), ('UI', '2009-04-16 02:35:38 EDT', 'daniel_megert'), ('JDT', '2009-04-16 02:35:38 EDT', 'daniel_megert'), ('RESOLVED', '2009-04-22 13:36:52 EDT', 'markus.kell.r'), ('FIXED', '2009-04-22 13:36:52 EDT', 'markus.kell.r'), ('3.5 M7', '2009-04-22 13:36:52 EDT', 'markus.kell.r')]</t>
  </si>
  <si>
    <t>2020-03-06 17:17:53 EST</t>
  </si>
  <si>
    <t>2009-04-22 02:35 EDT</t>
  </si>
  <si>
    <t>2009-04-22 09:32:49 EDT</t>
  </si>
  <si>
    <t>[('CREATED', '2009-04-22 02:35 EDT'), ('Olivier_Thomann', '2009-04-22 09:32:49 EDT', 'Olivier_Thomann'), ('jdt-ui-inbox', '2009-04-22 09:32:49 EDT', 'Olivier_Thomann'), ('UI', '2009-04-22 09:32:49 EDT', 'Olivier_Thomann'), ('daniel_megert', '2009-04-22 09:53:20 EDT', 'daniel_megert'), ('ASSIGNED', '2009-04-22 09:53:20 EDT', 'daniel_megert'), ('All', '2009-04-22 09:53:20 EDT', 'daniel_megert'), ('All', '2009-04-22 09:53:20 EDT', 'daniel_megert'), ('[encapsulate field] Encapsulate Field Refactoring causes compile error', '2009-04-22 09:53:20 EDT', 'daniel_megert'), ('WONTFIX', '2020-03-06 17:17:53 EST', 'genie'), ('CLOSED', '2020-03-06 17:17:53 EST', 'genie'), ('stalebug', '2020-03-06 17:17:53 EST', 'genie')]</t>
  </si>
  <si>
    <t>2009-04-22 02:47 EDT</t>
  </si>
  <si>
    <t>2009-04-22 09:29:02 EDT</t>
  </si>
  <si>
    <t>2019-08-30 07:29:54 EDT</t>
  </si>
  <si>
    <t>[('CREATED', '2009-04-22 02:47 EDT'), ('Olivier_Thomann', '2009-04-22 09:29:02 EDT', 'Olivier_Thomann'), ('jdt-ui-inbox', '2009-04-22 09:29:02 EDT', 'Olivier_Thomann'), ('UI', '2009-04-22 09:29:02 EDT', 'Olivier_Thomann'), ('daniel_megert', '2009-04-22 10:47:40 EDT', 'daniel_megert'), ('ASSIGNED', '2009-04-22 10:47:40 EDT', 'daniel_megert'), ('[encapsulate field] Encapsulate Field Refactoring fails to handle concatenated assignments', '2009-04-22 10:47:40 EDT', 'daniel_megert'), ('markus_keller', '2009-06-19 05:45:43 EDT', 'markus.kell.r'), ('P5', '2009-06-19 05:45:43 EDT', 'markus.kell.r'), ('stalebug', '2019-08-30 07:29:54 EDT', 'genie')]</t>
  </si>
  <si>
    <t>2009-04-28 08:24 EDT</t>
  </si>
  <si>
    <t>2009-04-28 10:37:50 EDT</t>
  </si>
  <si>
    <t>2010-03-08 09:10:10 EST</t>
  </si>
  <si>
    <t>[('CREATED', '2009-04-28 08:24 EDT'), ('francisu', '2009-04-28 10:37:50 EDT', 'francisu'), ('jdt-ui-inbox', '2009-04-28 10:37:50 EDT', 'francisu'), ('UI', '2009-04-28 10:37:50 EDT', 'francisu'), ('JDT', '2009-04-28 10:37:50 EDT', 'francisu'), ('daniel_megert', '2009-04-28 11:51:59 EDT', 'daniel_megert'), ('ASSIGNED', '2009-04-28 11:51:59 EDT', 'daniel_megert'), ('[reorg] After copy &amp; paste the copy should be selected', '2009-04-28 11:51:59 EDT', 'daniel_megert'), ('markus_keller', '2009-04-28 14:24:36 EDT', 'markus.kell.r'), ('[reorg] After copy &amp; paste or drag &amp; drop, the copy should be selected', '2009-04-28 14:24:36 EDT', 'markus.kell.r'), ('fix candidate', '2010-03-08 09:10:02 EST', 'markus.kell.r'), ('markus_keller', '2010-03-08 09:10:10 EST', 'markus.kell.r')]</t>
  </si>
  <si>
    <t>274388</t>
  </si>
  <si>
    <t>2009-04-29 17:47:55 EDT</t>
  </si>
  <si>
    <t>2009-04-29 15:48 EDT</t>
  </si>
  <si>
    <t>[('CREATED', '2009-04-29 15:48 EDT'), ('markus_keller', '2009-04-29 17:47:55 EDT', 'markus.kell.r'), ('RESOLVED', '2009-04-29 17:47:55 EDT', 'markus.kell.r'), ('FIXED', '2009-04-29 17:47:55 EDT', 'markus.kell.r'), ('3.5 M7', '2009-04-29 17:47:55 EDT', 'markus.kell.r')]</t>
  </si>
  <si>
    <t>2009-05-04 06:14:04 EDT</t>
  </si>
  <si>
    <t>2009-05-01 17:12 EDT</t>
  </si>
  <si>
    <t>2009-05-04 03:47:17 EDT</t>
  </si>
  <si>
    <t>[('CREATED', '2009-05-01 17:12 EDT'), ('daniel_megert, markus_keller', '2009-05-04 03:47:17 EDT', 'daniel_megert'), ('ASSIGNED', '2009-05-04 03:47:17 EDT', 'daniel_megert'), ('[extract method] "Extract to Method" not available for boolean expressions', '2009-05-04 03:47:17 EDT', 'daniel_megert'), ('DUPLICATE', '2009-05-04 06:14:04 EDT', 'markus.kell.r'), ('RESOLVED', '2009-05-04 06:14:04 EDT', 'markus.kell.r')]</t>
  </si>
  <si>
    <t>RESOLVED  DUPLICATE  of bug 267616</t>
  </si>
  <si>
    <t>2009-05-04 09:12:58 EDT</t>
  </si>
  <si>
    <t>2009-05-04 05:10 EDT</t>
  </si>
  <si>
    <t>2009-05-04 07:09:57 EDT</t>
  </si>
  <si>
    <t>[('CREATED', '2009-05-04 05:10 EDT'), ('remy.suen', '2009-05-04 07:09:57 EDT', 'remy.suen'), ('jdt-text-inbox', '2009-05-04 07:09:57 EDT', 'remy.suen'), ('Text', '2009-05-04 07:09:57 EDT', 'remy.suen'), ('JDT', '2009-05-04 07:09:57 EDT', 'remy.suen'), ('daniel_megert', '2009-05-04 09:12:48 EDT', 'daniel_megert'), ('jdt-ui-inbox', '2009-05-04 09:12:48 EDT', 'daniel_megert'), ('UI', '2009-05-04 09:12:48 EDT', 'daniel_megert'), ('[rename] Copy/Paste refactoring renaming constant quirks', '2009-05-04 09:12:48 EDT', 'daniel_megert'), ('RESOLVED', '2009-05-04 09:12:58 EDT', 'daniel_megert'), ('DUPLICATE', '2009-05-04 09:12:58 EDT', 'daniel_megert')]</t>
  </si>
  <si>
    <t>2020-05-05 14:49:50 EDT</t>
  </si>
  <si>
    <t>2009-05-13 10:30 EDT</t>
  </si>
  <si>
    <t>2009-05-13 10:33:31 EDT</t>
  </si>
  <si>
    <t>[('CREATED', '2009-05-13 10:30 EDT'), ('daniel_megert', '2009-05-13 10:33:31 EDT', 'daniel_megert'), ('markus_keller', '2009-05-13 10:33:31 EDT', 'daniel_megert'), ('[reorg] moving packages to a non-source folder failed in I20090511-2000', '2009-05-13 10:33:31 EDT', 'daniel_megert'), ('3.6', '2009-05-14 10:52:19 EDT', 'markus.kell.r'), ('ASSIGNED', '2009-05-14 10:52:19 EDT', 'markus.kell.r'), ('[reorg] moving package and subpackage to a non-source folder failed', '2009-05-14 10:52:19 EDT', 'markus.kell.r'), ('M1', '2009-05-14 10:52:19 EDT', 'markus.kell.r'), ('All', '2009-05-14 11:36:04 EDT', 'markus.kell.r'), ('All', '2009-05-14 11:36:04 EDT', 'markus.kell.r'), (nan, '2009-06-09 06:06:19 EDT', 'daniel_megert'), ('3.6 M1', '2009-06-09 06:06:19 EDT', 'daniel_megert'), ('3.6 M2', '2009-08-05 10:24:24 EDT', 'markus.kell.r'), ('3.6', '2009-09-14 13:59:26 EDT', 'markus.kell.r'), ('3.7', '2010-04-13 05:44:47 EDT', 'markus.kell.r'), ('---', '2011-04-19 10:16:38 EDT', 'markus.kell.r'), ('fix candidate', '2011-04-19 10:16:38 EDT', 'markus.kell.r'), ('WONTFIX', '2020-05-05 14:49:50 EDT', 'genie'), ('stalebug', '2020-05-05 14:49:50 EDT', 'genie'), ('CLOSED', '2020-05-05 14:49:50 EDT', 'genie')]</t>
  </si>
  <si>
    <t>2011-11-15 10:36:48 EST</t>
  </si>
  <si>
    <t>2009-05-15 06:17 EDT</t>
  </si>
  <si>
    <t>2009-05-15 06:39:08 EDT</t>
  </si>
  <si>
    <t>[('CREATED', '2009-05-15 06:17 EDT'), ('[quick assist] Extract local variable extracts only one term when part of a sum is selected', '2009-05-15 06:39:08 EDT', 'daniel_megert'), ('daniel_megert', '2009-05-15 06:39:08 EDT', 'daniel_megert'), ('ASSIGNED', '2009-05-15 06:39:08 EDT', 'daniel_megert'), ('All', '2009-05-15 06:39:08 EDT', 'daniel_megert'), ('All', '2009-05-15 06:39:08 EDT', 'daniel_megert'), ('deepak.azad', '2011-11-04 03:30:11 EDT', 'deepakazad'), ('deepak.azad', '2011-11-04 03:30:11 EDT', 'deepakazad'), ('markus_keller', '2011-11-07 13:11:34 EST', 'markus.kell.r'), ('3.8 M4', '2011-11-07 13:11:34 EST', 'markus.kell.r'), ('RESOLVED', '2011-11-15 10:36:48 EST', 'deepakazad'), ('FIXED', '2011-11-15 10:36:48 EST', 'deepakazad')]</t>
  </si>
  <si>
    <t>2009-05-19 08:52:08 EDT</t>
  </si>
  <si>
    <t>2009-05-20 09:51:33 EDT</t>
  </si>
  <si>
    <t>2009-05-18 12:17 EDT</t>
  </si>
  <si>
    <t>2009-05-18 12:23:06 EDT</t>
  </si>
  <si>
    <t>[('CREATED', '2009-05-18 12:17 EDT'), ('3.5 RC2', '2009-05-18 12:23:06 EDT', 'markus.kell.r'), ('daniel_megert', '2009-05-19 06:22:03 EDT', 'daniel_megert'), ('ASSIGNED', '2009-05-19 06:22:03 EDT', 'daniel_megert'), ('markus_keller', '2009-05-19 08:31:46 EDT', 'markus.kell.r'), ('review+', '2009-05-19 08:31:46 EDT', 'markus.kell.r'), ('review?(martin_aeschlimann)', '2009-05-19 08:39:29 EDT', 'daniel_megert'), ('martin_aeschlimann', '2009-05-19 08:46:39 EDT', 'martinae'), ('review+', '2009-05-19 08:46:39 EDT', 'martinae'), ('RESOLVED', '2009-05-19 08:52:08 EDT', 'daniel_megert'), ('FIXED', '2009-05-19 08:52:08 EDT', 'daniel_megert'), ('VERIFIED', '2009-05-20 09:51:33 EDT', 'daniel_megert')]</t>
  </si>
  <si>
    <t>2009-05-20 02:57:28 EDT</t>
  </si>
  <si>
    <t>2009-05-19 12:15 EDT</t>
  </si>
  <si>
    <t>[('CREATED', '2009-05-19 12:15 EDT'), ('daniel_megert', '2009-05-20 02:57:28 EDT', 'daniel_megert'), ('RESOLVED', '2009-05-20 02:57:28 EDT', 'daniel_megert'), ('WORKSFORME', '2009-05-20 02:57:28 EDT', 'daniel_megert')]</t>
  </si>
  <si>
    <t>2009-06-12 14:10:53 EDT</t>
  </si>
  <si>
    <t>2009-05-19 19:03 EDT</t>
  </si>
  <si>
    <t>2009-05-20 03:09:50 EDT</t>
  </si>
  <si>
    <t>2009-06-12 14:15:34 EDT</t>
  </si>
  <si>
    <t>[('CREATED', '2009-05-19 19:03 EDT'), ('All', '2009-05-20 03:09:50 EDT', 'daniel_megert'), ('[rename] Renaming type parameter also renames arguments of the same name', '2009-05-20 03:09:50 EDT', 'daniel_megert'), ('daniel_megert', '2009-05-20 03:09:50 EDT', 'daniel_megert'), ('markus_keller', '2009-05-20 03:09:50 EDT', 'daniel_megert'), ('All', '2009-05-20 03:09:50 EDT', 'daniel_megert'), ('ASSIGNED', '2009-05-20 06:22:33 EDT', 'markus.kell.r'), ('3.6', '2009-05-20 06:22:33 EDT', 'markus.kell.r'), ('RESOLVED', '2009-06-12 14:10:53 EDT', 'markus.kell.r'), ('FIXED', '2009-06-12 14:10:53 EDT', 'markus.kell.r'), ('3.6 M1', '2009-06-12 14:15:34 EDT', 'markus.kell.r')]</t>
  </si>
  <si>
    <t>2009-05-28 04:11 EDT</t>
  </si>
  <si>
    <t>2009-05-28 06:52:27 EDT</t>
  </si>
  <si>
    <t>[('CREATED', '2009-05-28 04:11 EDT'), ('markus_keller', '2009-05-28 06:52:27 EDT', 'markus.kell.r'), ('ASSIGNED', '2009-05-28 06:52:27 EDT', 'markus.kell.r'), ('[introduce factory] Allow the creation of non-static factory methods', '2009-05-28 06:52:27 EDT', 'markus.kell.r')]</t>
  </si>
  <si>
    <t>2009-05-28 04:29 EDT</t>
  </si>
  <si>
    <t>2009-05-28 06:09:24 EDT</t>
  </si>
  <si>
    <t>2013-03-01 06:58:41 EST</t>
  </si>
  <si>
    <t>alishah_ph</t>
  </si>
  <si>
    <t>[('CREATED', '2009-05-28 04:29 EDT'), ('markus_keller', '2009-05-28 06:09:24 EDT', 'markus.kell.r'), ('ASSIGNED', '2009-05-28 06:09:24 EDT', 'markus.kell.r'), ('[introduce factory] Enable "Introduce Factory" for static nested classes', '2009-05-28 06:09:24 EDT', 'markus.kell.r'), ('alishah_ph', '2013-03-01 06:58:41 EST', 'alishah_ph')]</t>
  </si>
  <si>
    <t>263547 243293 278845</t>
  </si>
  <si>
    <t>2009-09-02 10:44:18 EDT</t>
  </si>
  <si>
    <t>2009-09-10 03:09:50 EDT</t>
  </si>
  <si>
    <t>2009-06-03 03:35:08 EDT</t>
  </si>
  <si>
    <t>2009-06-03 06:13:00 EDT</t>
  </si>
  <si>
    <t>2009-06-02 14:32 EDT</t>
  </si>
  <si>
    <t>2009-06-02 14:42:15 EDT</t>
  </si>
  <si>
    <t>2009-09-21 14:37:48 EDT</t>
  </si>
  <si>
    <t>caniszczyk</t>
  </si>
  <si>
    <t>[('CREATED', '2009-06-02 14:32 EDT'), ('278845', '2009-06-02 14:42:15 EDT', 'achim.demelt'), ('243293', '2009-06-02 14:51:57 EDT', 'achim.demelt'), ('zx', '2009-06-02 15:19:34 EDT', 'caniszczyk'), ('oisin.hurley', '2009-06-02 16:13:53 EDT', 'oisin.hurley'), ('remy.suen', '2009-06-02 16:45:00 EDT', 'remy.suen'), ('henrik.lindberg', '2009-06-02 19:21:55 EDT', 'henrik.lindberg'), ('All', '2009-06-03 02:40:40 EDT', 'daniel_megert'), ('daniel_megert', '2009-06-03 02:40:40 EDT', 'daniel_megert'), ('All', '2009-06-03 02:40:40 EDT', 'daniel_megert'), ('RESOLVED', '2009-06-03 03:35:08 EDT', 'daniel_megert'), ('WONTFIX', '2009-06-03 03:35:08 EDT', 'daniel_megert'), ('thomas', '2009-06-03 03:38:36 EDT', 'thomas'), ('REOPENED', '2009-06-03 06:13:00 EDT', 'daniel_megert'), ('---', '2009-06-03 06:13:00 EDT', 'daniel_megert'), ('a.demelt', '2009-06-03 06:14:11 EDT', 'daniel_megert'), ('NEW', '2009-06-03 06:14:11 EDT', 'daniel_megert'), ('markus_keller', '2009-06-03 06:18:34 EDT', 'markus.kell.r'), ('ASSIGNED', '2009-06-03 06:26:05 EDT', 'achim.demelt'), ('cwindatt, Darin_Wright', '2009-06-03 10:11:23 EDT', 'curtis.windatt.public'), ('dann', '2009-06-04 05:42:17 EDT', 'dann'), ('neale', '2009-06-04 06:27:37 EDT', 'neale'), ('slewis', '2009-06-04 10:57:22 EDT', 'slewis'), ('263547', '2009-06-04 11:55:39 EDT', 'thomas'), ('3.6', '2009-06-18 07:17:10 EDT', 'markus.kell.r'), ('review?(markus_keller)', '2009-06-18 07:17:10 EDT', 'markus.kell.r'), ('P2', '2009-06-18 07:17:10 EDT', 'markus.kell.r'), ('1', '2009-07-10 07:46:12 EDT', 'achim.demelt'), ('1', '2009-07-10 07:46:12 EDT', 'achim.demelt'), (nan, '2009-07-10 07:54:24 EDT', 'achim.demelt'), ('markus_keller', '2009-07-10 07:54:24 EDT', 'achim.demelt'), ('NEW', '2009-07-10 07:54:24 EDT', 'achim.demelt'), ('a.demelt', '2009-07-10 09:45:30 EDT', 'daniel_megert'), ('Sebastian.Zarnekow', '2009-07-20 09:20:25 EDT', 'sebastian.zarnekow'), ('1', '2009-07-26 13:55:46 EDT', 'achim.demelt'), ('markus_keller', '2009-08-03 06:54:26 EDT', 'markus.kell.r'), ('ASSIGNED', '2009-08-03 06:54:26 EDT', 'markus.kell.r'), ('3.6 M2', '2009-08-03 06:54:26 EDT', 'markus.kell.r'), ('1', '2009-08-11 02:35:07 EDT', 'achim.demelt'), ('pmc_approved?(daniel_megert)', '2009-08-12 13:24:16 EDT', 'markus.kell.r'), ('pmc_approved+', '2009-08-13 01:52:44 EDT', 'daniel_megert'), ('1', '2009-08-20 12:54:26 EDT', 'markus.kell.r'), ('RESOLVED', '2009-09-02 10:44:18 EDT', 'markus.kell.r'), ('FIXED', '2009-09-02 10:44:18 EDT', 'markus.kell.r'), ('review+', '2009-09-02 10:44:18 EDT', 'markus.kell.r'), ('iplog+', '2009-09-02 10:45:41 EDT', 'markus.kell.r'), ('iplog+', '2009-09-02 10:57:08 EDT', 'markus.kell.r'), ('kmoir', '2009-09-02 11:52:02 EDT', 'kim.moir'), ('VERIFIED', '2009-09-10 03:09:50 EDT', 'achim.demelt'), ('[JUnit] Separate UI from non-UI code', '2009-09-14 11:33:53 EDT', 'daniel_megert'), ('290054', '2009-09-21 14:37:19 EDT', 'caniszczyk'), (nan, '2009-09-21 14:37:48 EDT', 'caniszczyk')]</t>
  </si>
  <si>
    <t>RESOLVED  DUPLICATE  of bug 35167</t>
  </si>
  <si>
    <t>2009-06-05 09:34:48 EDT</t>
  </si>
  <si>
    <t>2009-06-05 09:06 EDT</t>
  </si>
  <si>
    <t>2009-06-05 09:08:52 EDT</t>
  </si>
  <si>
    <t>2012-04-17 10:53:47 EDT</t>
  </si>
  <si>
    <t>[('CREATED', '2009-06-05 09:06 EDT'), ('Olivier_Thomann', '2009-06-05 09:08:52 EDT', 'Olivier_Thomann'), ('jdt-ui-inbox', '2009-06-05 09:08:52 EDT', 'Olivier_Thomann'), ('UI', '2009-06-05 09:08:52 EDT', 'Olivier_Thomann'), ('daniel_megert', '2009-06-05 09:34:48 EDT', 'daniel_megert'), ('RESOLVED', '2009-06-05 09:34:48 EDT', 'daniel_megert'), ('DUPLICATE', '2009-06-05 09:34:48 EDT', 'daniel_megert'), ("[pull up] 'pull up' to interface generates unused imports in the interface", '2009-06-05 09:34:48 EDT', 'daniel_megert'), ('reprogrammer', '2012-04-17 10:53:47 EDT', 'reprogrammer')]</t>
  </si>
  <si>
    <t>2009-06-10 03:54:48 EDT</t>
  </si>
  <si>
    <t>2009-06-08 20:02 EDT</t>
  </si>
  <si>
    <t>2009-06-08 20:10:02 EDT</t>
  </si>
  <si>
    <t>[('CREATED', '2009-06-08 20:02 EDT'), ('remy.suen', '2009-06-08 20:10:02 EDT', 'remy.suen'), ('Olivier_Thomann', '2009-06-08 21:07:59 EDT', 'Olivier_Thomann'), ('jdt-ui-inbox', '2009-06-08 21:07:59 EDT', 'Olivier_Thomann'), ('UI', '2009-06-08 21:07:59 EDT', 'Olivier_Thomann'), ('daniel_megert', '2009-06-09 03:40:09 EDT', 'daniel_megert'), ('[pull up] Broken Pull Up Method Behavior', '2009-06-09 03:40:09 EDT', 'daniel_megert'), ('needinfo', '2009-06-09 04:15:08 EDT', 'daniel_megert'), ('markus_keller', '2009-06-09 08:16:29 EDT', 'markus.kell.r'), ('RESOLVED', '2009-06-10 03:54:48 EDT', 'daniel_megert'), ('WORKSFORME', '2009-06-10 03:54:48 EDT', 'daniel_megert')]</t>
  </si>
  <si>
    <t>259092</t>
  </si>
  <si>
    <t>2009-06-12 07:56 EDT</t>
  </si>
  <si>
    <t>2009-06-12 09:33:23 EDT</t>
  </si>
  <si>
    <t>2009-06-17 08:54:53 EDT</t>
  </si>
  <si>
    <t>[('CREATED', '2009-06-12 07:56 EDT'), ('markus_keller', '2009-06-12 09:33:23 EDT', 'markus.kell.r'), ('259092', '2009-06-12 09:33:23 EDT', 'markus.kell.r'), ('enhancement', '2009-06-12 09:33:23 EDT', 'markus.kell.r'), ('ASSIGNED', '2009-06-17 08:54:53 EDT', 'markus.kell.r')]</t>
  </si>
  <si>
    <t>2009-06-25 08:58:30 EDT</t>
  </si>
  <si>
    <t>2009-08-04 14:06:22 EDT</t>
  </si>
  <si>
    <t>2009-06-12 08:40 EDT</t>
  </si>
  <si>
    <t>2009-06-12 09:12:26 EDT</t>
  </si>
  <si>
    <t>[('CREATED', '2009-06-12 08:40 EDT'), ('daniel_megert', '2009-06-12 09:12:26 EDT', 'daniel_megert'), ('jdt-ui-inbox', '2009-06-12 09:12:26 EDT', 'daniel_megert'), ('UI', '2009-06-12 09:12:26 EDT', 'daniel_megert'), ('markus_keller', '2009-06-12 12:44:03 EDT', 'markus.kell.r'), ('ASSIGNED', '2009-06-12 12:44:03 EDT', 'markus.kell.r'), ('major', '2009-06-12 12:56:16 EDT', 'markus.kell.r'), ('3.5.1', '2009-06-12 12:56:16 EDT', 'markus.kell.r'), ('review?(daniel_megert)', '2009-06-12 12:56:16 EDT', 'markus.kell.r'), ('review+', '2009-06-15 05:10:14 EDT', 'daniel_megert'), ('1', '2009-06-15 05:10:56 EDT', 'daniel_megert'), ('[hotbug] Rename/Refactor package breaks plugin.xml when pressing Back on Preview', '2009-06-15 05:48:26 EDT', 'manderse'), ('[rename] Rename/Refactor package breaks plugin.xml when pressing Back on Preview', '2009-06-15 06:16:32 EDT', 'markus.kell.r'), ('RESOLVED', '2009-06-25 08:58:30 EDT', 'daniel_megert'), ('FIXED', '2009-06-25 08:58:30 EDT', 'daniel_megert'), ('raksha.vasisht', '2009-08-04 07:33:28 EDT', 'raksha.vasisht'), ('VERIFIED', '2009-08-04 14:06:22 EDT', 'markus.kell.r')]</t>
  </si>
  <si>
    <t>2009-06-15 02:19 EDT</t>
  </si>
  <si>
    <t>2009-06-15 07:58:42 EDT</t>
  </si>
  <si>
    <t>[('CREATED', '2009-06-15 02:19 EDT'), ('david_audel', '2009-06-15 07:58:42 EDT', 'david_audel'), ('jdt-ui-inbox', '2009-06-15 07:58:42 EDT', 'david_audel'), ('UI', '2009-06-15 07:58:42 EDT', 'david_audel'), ('DUPLICATE', '2009-06-15 08:27:42 EDT', 'markus.kell.r'), ('markus_keller', '2009-06-15 08:27:42 EDT', 'markus.kell.r'), ('RESOLVED', '2009-06-15 08:27:42 EDT', 'markus.kell.r')]</t>
  </si>
  <si>
    <t>2009-08-03 07:59:13 EDT</t>
  </si>
  <si>
    <t>2009-08-06 03:26:16 EDT</t>
  </si>
  <si>
    <t>2009-06-16 09:27:01 EDT</t>
  </si>
  <si>
    <t>2009-06-22 12:09:30 EDT</t>
  </si>
  <si>
    <t>2009-06-15 15:34 EDT</t>
  </si>
  <si>
    <t>2009-06-16 07:40:50 EDT</t>
  </si>
  <si>
    <t>2009-08-10 08:24:07 EDT</t>
  </si>
  <si>
    <t>paulslau</t>
  </si>
  <si>
    <t>[('CREATED', '2009-06-15 15:34 EDT'), ('pwebster, Boris_Bokowski', '2009-06-16 07:40:50 EDT', 'pwebster'), ('jdt-ui-inbox', '2009-06-16 07:40:50 EDT', 'pwebster'), ('UI', '2009-06-16 07:40:50 EDT', 'pwebster'), ('JDT', '2009-06-16 07:40:50 EDT', 'pwebster'), ('markus_keller', '2009-06-16 09:27:01 EDT', 'markus.kell.r'), ('RESOLVED', '2009-06-16 09:27:01 EDT', 'markus.kell.r'), ('WONTFIX', '2009-06-16 09:27:01 EDT', 'markus.kell.r'), ('[refactoring] Refactoring wizard remains open with enabled buttons after refactoring operation completes', '2009-06-16 09:27:01 EDT', 'markus.kell.r'), ('REOPENED', '2009-06-22 12:09:30 EDT', 'paulslau'), ('---', '2009-06-22 12:09:30 EDT', 'paulslau'), ('daniel_megert', '2009-06-23 02:30:39 EDT', 'daniel_megert'), ('markus_keller', '2009-06-23 02:30:39 EDT', 'daniel_megert'), ('trivial', '2009-06-23 02:30:39 EDT', 'daniel_megert'), ('NEW', '2009-06-23 02:30:39 EDT', 'daniel_megert'), ('[refactoring] enhance Javadoc of RefactoringWizard.performFinish() (was: Refactoring wizard remains open with enabled buttons after refactoring operation completes)', '2009-06-23 02:30:39 EDT', 'daniel_megert'), ('3.6 M1', '2009-06-23 02:30:39 EDT', 'daniel_megert'), ('RESOLVED', '2009-08-03 07:59:13 EDT', 'markus.kell.r'), ('FIXED', '2009-08-03 07:59:13 EDT', 'markus.kell.r'), ('VERIFIED', '2009-08-06 03:26:16 EDT', 'daniel_megert'), ('CLOSED', '2009-08-10 08:24:07 EDT', 'paulslau')]</t>
  </si>
  <si>
    <t>RESOLVED  DUPLICATE  of bug 250425</t>
  </si>
  <si>
    <t>2009-06-17 03:28:03 EDT</t>
  </si>
  <si>
    <t>2009-06-16 21:27 EDT</t>
  </si>
  <si>
    <t>2009-06-17 03:27:21 EDT</t>
  </si>
  <si>
    <t>david_audel</t>
  </si>
  <si>
    <t>[('CREATED', '2009-06-16 21:27 EDT'), ('david_audel', '2009-06-17 03:27:21 EDT', 'david_audel'), ('jdt-ui-inbox', '2009-06-17 03:27:21 EDT', 'david_audel'), ('UI', '2009-06-17 03:27:21 EDT', 'david_audel'), ('RESOLVED', '2009-06-17 03:28:03 EDT', 'david_audel'), ('DUPLICATE', '2009-06-17 03:28:03 EDT', 'david_audel')]</t>
  </si>
  <si>
    <t>2009-06-17 03:29:48 EDT</t>
  </si>
  <si>
    <t>2009-06-16 23:33 EDT</t>
  </si>
  <si>
    <t>2009-06-17 03:29:04 EDT</t>
  </si>
  <si>
    <t>[('CREATED', '2009-06-16 23:33 EDT'), ('david_audel', '2009-06-17 03:29:04 EDT', 'david_audel'), ('jdt-ui-inbox', '2009-06-17 03:29:04 EDT', 'david_audel'), ('UI', '2009-06-17 03:29:04 EDT', 'david_audel'), ('RESOLVED', '2009-06-17 03:29:48 EDT', 'david_audel'), ('DUPLICATE', '2009-06-17 03:29:48 EDT', 'david_audel')]</t>
  </si>
  <si>
    <t>2009-06-19 05:22:01 EDT</t>
  </si>
  <si>
    <t>2009-06-18 14:50 EDT</t>
  </si>
  <si>
    <t>2009-06-18 15:56:05 EDT</t>
  </si>
  <si>
    <t>[('CREATED', '2009-06-18 14:50 EDT'), ('Olivier_Thomann', '2009-06-18 15:56:05 EDT', 'Olivier_Thomann'), ('jdt-ui-inbox', '2009-06-18 15:56:05 EDT', 'Olivier_Thomann'), ('UI', '2009-06-18 15:56:05 EDT', 'Olivier_Thomann'), ('markus_keller', '2009-06-19 05:22:01 EDT', 'markus.kell.r'), ('RESOLVED', '2009-06-19 05:22:01 EDT', 'markus.kell.r'), ('WORKSFORME', '2009-06-19 05:22:01 EDT', 'markus.kell.r')]</t>
  </si>
  <si>
    <t>2009-07-17 12:46:47 EDT</t>
  </si>
  <si>
    <t>2009-07-27 11:25:30 EDT</t>
  </si>
  <si>
    <t>2009-06-22 05:27 EDT</t>
  </si>
  <si>
    <t>2009-06-23 01:01:04 EDT</t>
  </si>
  <si>
    <t>[('CREATED', '2009-06-22 05:27 EDT'), ('francisu', '2009-06-23 01:01:04 EDT', 'francisu'), ('Too much space on RefactoringWizardDialog2', '2009-06-30 06:05:39 EDT', 'krzysztof.daniel'), ('[ltk] Too much space on RefactoringWizardDialog2', '2009-06-30 17:18:39 EDT', 'susan'), ('3.5', '2009-06-30 17:18:39 EDT', 'susan'), ('jdt-ui-inbox', '2009-06-30 17:18:39 EDT', 'susan'), ('UI', '2009-06-30 17:18:39 EDT', 'susan'), ('JDT', '2009-06-30 17:18:39 EDT', 'susan'), ('daniel_megert', '2009-07-06 06:50:07 EDT', 'daniel_megert'), ('minor', '2009-07-06 06:50:07 EDT', 'daniel_megert'), ('ASSIGNED', '2009-07-06 06:50:07 EDT', 'daniel_megert'), ('All', '2009-07-06 06:50:07 EDT', 'daniel_megert'), ('All', '2009-07-06 06:50:07 EDT', 'daniel_megert'), ('markus_keller', '2009-07-17 12:46:47 EDT', 'markus.kell.r'), ('RESOLVED', '2009-07-17 12:46:47 EDT', 'markus.kell.r'), ('INVALID', '2009-07-17 12:46:47 EDT', 'markus.kell.r'), ('krzysztof_daniel', '2009-07-19 11:39:49 EDT', 'krzysztof.daniel'), ('WONTFIX', '2009-07-27 11:25:30 EDT', 'markus.kell.r')]</t>
  </si>
  <si>
    <t>2009-06-23 10:43 EDT</t>
  </si>
  <si>
    <t>2009-06-23 10:44:30 EDT</t>
  </si>
  <si>
    <t>2011-07-07 03:38:12 EDT</t>
  </si>
  <si>
    <t>[('CREATED', '2009-06-23 10:43 EDT'), ('remy.suen', '2009-06-23 10:44:30 EDT', 'remy.suen'), ('daniel_megert', '2009-06-23 10:47:55 EDT', 'daniel_megert'), ('All', '2009-06-23 11:38:50 EDT', 'daniel_megert'), ('[ltk] org.eclipse.ltk.ui.refactoring should not have dependencies on IDE and Team bundles', '2009-06-23 11:38:50 EDT', 'daniel_megert'), ('enhancement', '2009-06-23 11:38:50 EDT', 'daniel_megert'), ('All', '2009-06-23 11:38:50 EDT', 'daniel_megert'), ('ASSIGNED', '2009-06-24 09:48:34 EDT', 'daniel_megert'), ('P5', '2009-06-24 09:48:34 EDT', 'daniel_megert'), ('markus_keller', '2009-07-14 08:22:14 EDT', 'markus.kell.r'), ('karsten.thoms', '2010-09-02 03:44:19 EDT', 'karsten.thoms'), ('peter', '2010-11-19 08:56:53 EST', 'peter'), ('michael.keppler', '2011-07-07 03:38:12 EDT', 'michael.keppler')]</t>
  </si>
  <si>
    <t>2009-06-26 11:17:01 EDT</t>
  </si>
  <si>
    <t>2009-06-26 11:05:24 EDT</t>
  </si>
  <si>
    <t>2009-06-25 14:11 EDT</t>
  </si>
  <si>
    <t>2009-06-25 14:16:20 EDT</t>
  </si>
  <si>
    <t>2009-09-14 12:09:28 EDT</t>
  </si>
  <si>
    <t>[('CREATED', '2009-06-25 14:11 EDT'), ('major', '2009-06-25 14:16:20 EDT', 'joerg'), ('Olivier_Thomann', '2009-06-25 14:20:46 EDT', 'Olivier_Thomann'), ('jdt-ui-inbox', '2009-06-25 14:20:46 EDT', 'Olivier_Thomann'), ('UI', '2009-06-25 14:20:46 EDT', 'Olivier_Thomann'), ('http://subclipse.tigris.org/issues/show_bug.cgi?id=935', '2009-06-25 14:54:52 EDT', 'joerg'), ('markphip', '2009-06-25 15:02:56 EDT', 'markphip'), ('[refactoring] Rename Class/Interface causes code garbage', '2009-06-25 17:25:26 EDT', 'joerg'), ('daniel_megert', '2009-06-26 02:44:23 EDT', 'daniel_megert'), ('RESOLVED', '2009-06-26 02:44:23 EDT', 'daniel_megert'), ('NOT_ECLIPSE', '2009-06-26 02:44:23 EDT', 'daniel_megert'), ('REOPENED', '2009-06-26 11:05:24 EDT', 'markphip'), ('---', '2009-06-26 11:05:24 EDT', 'markphip'), ('RESOLVED', '2009-06-26 11:17:01 EDT', 'daniel_megert'), ('NOT_ECLIPSE', '2009-06-26 11:17:01 EDT', 'daniel_megert'), ('markhobson', '2009-06-29 09:45:33 EDT', 'hello'), ('skarzhevskyy', '2009-06-29 10:13:26 EDT', 'skarzhevskyy'), ('http://subclipse.tigris.org/issues/show_bug.cgi?id=923', '2009-06-29 10:30:54 EDT', 'daniel_megert'), ('markus_keller', '2009-07-27 07:08:27 EDT', 'markus.kell.r'), ('patrick.general', '2009-08-25 11:39:59 EDT', 'markus.kell.r'), ('[refactoring] Rename Class/Interface causes code garbage with Subclipse and keyword substitution', '2009-09-14 12:09:28 EDT', 'markus.kell.r')]</t>
  </si>
  <si>
    <t>220055 (view as bug list)</t>
  </si>
  <si>
    <t>2011-10-24 16:59:28 EDT</t>
  </si>
  <si>
    <t>2011-10-25 11:25:05 EDT</t>
  </si>
  <si>
    <t>2009-06-28 22:53 EDT</t>
  </si>
  <si>
    <t>2009-06-28 22:55:13 EDT</t>
  </si>
  <si>
    <t>[('CREATED', '2009-06-28 22:53 EDT'), ('IDE', '2009-06-28 22:55:13 EDT', 'joelle.lam'), ('3.5', '2009-06-28 22:55:13 EDT', 'joelle.lam'), ('remy.suen', '2009-06-28 23:11:45 EDT', 'remy.suen'), ('Szymon.Brandys', '2009-06-29 05:06:43 EDT', 'Szymon.Brandys'), ('platform-ide-inbox', '2009-06-29 05:07:44 EDT', 'Szymon.Brandys'), ('platform-ui-triaged', '2009-07-08 18:00:58 EDT', 'susan'), ('pwebster', '2009-07-08 18:00:58 EDT', 'susan'), ('[IDE] Warn user when deleting project contents from a non-workspace location', '2009-07-08 18:00:58 EDT', 'susan'), ('susan_franklin', '2009-07-08 18:02:20 EDT', 'susan'), ('[IDE] Explain what folder will be deleted when deleting a project', '2009-07-08 18:02:20 EDT', 'susan'), ('pwebster', '2009-07-09 05:26:23 EDT', 'pwebster'), ('3.6', '2009-07-09 05:26:23 EDT', 'pwebster'), ('daniel_megert', '2009-07-14 14:17:10 EDT', 'daniel_megert'), ('krzysztof_daniel', '2009-07-15 02:34:34 EDT', 'krzysztof.daniel'), ('All', '2009-07-15 02:41:19 EDT', 'daniel_megert'), ('---', '2010-04-12 09:47:50 EDT', 'pwebster'), ('sandipchitale', '2010-04-12 13:00:22 EDT', 'sandipchitale'), ('ekuleshov', '2011-09-21 09:07:31 EDT', 'markus.kell.r'), ('markus_keller', '2011-09-21 09:11:40 EDT', 'markus.kell.r'), ('3.8 M3', '2011-10-24 16:59:28 EDT', 'markus.kell.r'), ('[ltk] Explain what folder will be deleted when deleting a project', '2011-10-24 16:59:28 EDT', 'markus.kell.r'), ('RESOLVED', '2011-10-24 16:59:28 EDT', 'markus.kell.r'), ('UI', '2011-10-24 16:59:28 EDT', 'markus.kell.r'), ('FIXED', '2011-10-24 16:59:28 EDT', 'markus.kell.r'), ('markus_keller', '2011-10-24 16:59:28 EDT', 'markus.kell.r'), ('JDT', '2011-10-24 16:59:28 EDT', 'markus.kell.r'), ('VERIFIED', '2011-10-25 11:25:05 EDT', 'daniel_megert')]</t>
  </si>
  <si>
    <t>2020-02-16 09:11:10 EST</t>
  </si>
  <si>
    <t>2009-06-30 02:01 EDT</t>
  </si>
  <si>
    <t>2009-06-30 07:56:23 EDT</t>
  </si>
  <si>
    <t>[('CREATED', '2009-06-30 02:01 EDT'), ('jdt-ui-inbox', '2009-06-30 07:56:23 EDT', 'pwebster'), ('UI', '2009-06-30 07:56:23 EDT', 'pwebster'), ('JDT', '2009-06-30 07:56:23 EDT', 'pwebster'), ('daniel_megert', '2009-06-30 08:34:32 EDT', 'daniel_megert'), ('major', '2009-06-30 08:34:32 EDT', 'daniel_megert'), ('markus_keller', '2009-07-06 06:43:40 EDT', 'daniel_megert'), ('[rename] Rename method with name of constructor results in unexpected behavior', '2009-07-06 06:43:40 EDT', 'daniel_megert'), ('WONTFIX', '2020-02-16 09:11:10 EST', 'genie'), ('stalebug', '2020-02-16 09:11:10 EST', 'genie'), ('CLOSED', '2020-02-16 09:11:10 EST', 'genie')]</t>
  </si>
  <si>
    <t>2020-02-10 11:46:09 EST</t>
  </si>
  <si>
    <t>2009-06-30 02:12 EDT</t>
  </si>
  <si>
    <t>2009-06-30 07:56:07 EDT</t>
  </si>
  <si>
    <t>[('CREATED', '2009-06-30 02:12 EDT'), ('jdt-ui-inbox', '2009-06-30 07:56:07 EDT', 'pwebster'), ('UI', '2009-06-30 07:56:07 EDT', 'pwebster'), ('JDT', '2009-06-30 07:56:07 EDT', 'pwebster'), ('markus_keller', '2009-07-06 10:29:20 EDT', 'daniel_megert'), ('[convert local] Convert local variable to field shadows the existing local variable', '2009-07-06 10:29:20 EDT', 'daniel_megert'), ('daniel_megert', '2009-07-06 10:29:20 EDT', 'daniel_megert'), ('All', '2009-07-06 10:29:46 EDT', 'daniel_megert'), ('All', '2009-07-06 10:29:46 EDT', 'daniel_megert'), ('ASSIGNED', '2009-07-17 12:44:32 EDT', 'markus.kell.r'), ('3.6', '2009-07-17 12:44:32 EDT', 'markus.kell.r'), ('deepak.azad', '2010-04-20 14:56:59 EDT', 'markus.kell.r'), ('P2', '2010-04-21 02:56:50 EDT', 'daniel_megert'), ('3.6 M7', '2010-04-21 02:56:50 EDT', 'daniel_megert'), ('3.6 RC1', '2010-04-27 10:18:53 EDT', 'markus.kell.r'), ('P3', '2010-05-03 08:35:47 EDT', 'deepakazad'), ('3.7', '2010-05-03 08:35:47 EDT', 'deepakazad'), ('P2', '2011-02-09 03:11:29 EST', 'daniel_megert'), ('3.7 M6', '2011-02-09 03:11:29 EST', 'daniel_megert'), ('3.7 M7', '2011-03-02 04:48:49 EST', 'deepakazad'), ('P3', '2011-04-05 06:12:24 EDT', 'daniel_megert'), ('3.8', '2011-04-21 03:01:17 EDT', 'deepakazad'), ('4.3', '2012-04-25 09:46:04 EDT', 'deepakazad'), ('noopur_gupta', '2013-02-19 09:20:35 EST', 'daniel_megert'), ('review?(daniel_megert)', '2013-02-22 05:56:15 EST', 'noopur_gupta'), ('markus_keller', '2013-03-24 03:40:40 EDT', 'daniel_megert'), ('review?(markus_keller)', '2013-04-02 08:48:06 EDT', 'noopur_gupta'), ('4.4', '2013-04-30 08:17:09 EDT', 'noopur_gupta'), ('4.5', '2014-04-22 06:35:55 EDT', 'noopur_gupta'), ('4.6', '2015-05-13 05:38:46 EDT', 'markus.kell.r'), ('---', '2016-04-23 03:27:11 EDT', 'noopur_gupta'), ('stalebug', '2020-02-10 11:46:09 EST', 'genie'), ('CLOSED', '2020-02-10 11:46:09 EST', 'genie'), ('WONTFIX', '2020-02-10 11:46:09 EST', 'genie')]</t>
  </si>
  <si>
    <t>2009-06-30 05:58 EDT</t>
  </si>
  <si>
    <t>2009-06-30 06:31:57 EDT</t>
  </si>
  <si>
    <t>2020-01-13 02:20:45 EST</t>
  </si>
  <si>
    <t>[('CREATED', '2009-06-30 05:58 EDT'), ('normal', '2009-06-30 06:31:57 EDT', 'stan6'), ('stan6', '2009-06-30 06:32:48 EDT', 'stan6'), ('jdt-ui-inbox', '2009-06-30 07:53:18 EDT', 'pwebster'), ('UI', '2009-06-30 07:53:18 EDT', 'pwebster'), ('JDT', '2009-06-30 07:53:18 EDT', 'pwebster'), ('daniel_megert', '2009-07-06 05:43:31 EDT', 'daniel_megert'), ('minor', '2009-07-06 05:43:31 EDT', 'daniel_megert'), ('ASSIGNED', '2009-07-06 05:43:31 EDT', 'daniel_megert'), ('All', '2009-07-06 05:43:31 EDT', 'daniel_megert'), ('All', '2009-07-06 05:43:31 EDT', 'daniel_megert'), ('[convert local] Cannot convert local variable in a for statement to field', '2009-07-06 05:43:31 EDT', 'daniel_megert'), ('stalebug', '2020-01-13 02:20:45 EST', 'genie')]</t>
  </si>
  <si>
    <t>2009-10-12 11:49:10 EDT</t>
  </si>
  <si>
    <t>2009-07-07 18:05 EDT</t>
  </si>
  <si>
    <t>2009-07-08 02:31:20 EDT</t>
  </si>
  <si>
    <t>2009-10-12 11:49:24 EDT</t>
  </si>
  <si>
    <t>[('CREATED', '2009-07-07 18:05 EDT'), ('daniel_megert', '2009-07-08 02:31:20 EDT', 'daniel_megert'), ('markus_keller', '2009-07-08 02:31:20 EDT', 'daniel_megert'), ('All', '2009-07-08 02:31:20 EDT', 'daniel_megert'), ('All', '2009-07-08 02:31:20 EDT', 'daniel_megert'), ('[quick assist] "Use \'StringBuilder\' for string concatenation" could fix existing misuses', '2009-07-08 02:31:20 EDT', 'daniel_megert'), ('review?(markus_keller)', '2009-07-08 02:31:20 EDT', 'daniel_megert'), ('3.6', '2009-07-08 02:31:36 EDT', 'daniel_megert'), ('1', '2009-07-08 08:23:17 EDT', 'eclipse'), ('3.6 M3', '2009-09-15 04:44:35 EDT', 'markus.kell.r'), ('review+', '2009-10-12 11:49:10 EDT', 'markus.kell.r'), ('RESOLVED', '2009-10-12 11:49:10 EDT', 'markus.kell.r'), ('FIXED', '2009-10-12 11:49:10 EDT', 'markus.kell.r'), ('iplog+', '2009-10-12 11:49:24 EDT', 'markus.kell.r')]</t>
  </si>
  <si>
    <t>CLOSED  DUPLICATE  of bug 216843</t>
  </si>
  <si>
    <t>2009-09-21 14:38:59 EDT</t>
  </si>
  <si>
    <t>2009-07-13 13:42 EDT</t>
  </si>
  <si>
    <t>2009-08-03 06:30:51 EDT</t>
  </si>
  <si>
    <t>[('CREATED', '2009-07-13 13:42 EDT'), ('ASSIGNED', '2009-08-03 06:30:51 EDT', 'markus.kell.r'), ('[infer type arguments] Infer generics does not find trivial solution', '2009-08-03 06:30:51 EDT', 'markus.kell.r'), ('markus_keller', '2009-08-03 06:30:51 EDT', 'markus.kell.r'), ('CLOSED', '2009-09-21 14:38:59 EDT', 'stephan.herrmann'), ('DUPLICATE', '2009-09-21 14:38:59 EDT', 'stephan.herrmann')]</t>
  </si>
  <si>
    <t>2009-07-14 10:55:29 EDT</t>
  </si>
  <si>
    <t>2009-07-14 09:42 EDT</t>
  </si>
  <si>
    <t>2009-07-14 09:42:57 EDT</t>
  </si>
  <si>
    <t>[('CREATED', '2009-07-14 09:42 EDT'), ('jlgosse', '2009-07-14 09:42:57 EDT', 'jlgosse'), ('jdt-ui-inbox', '2009-07-14 09:49:33 EDT', 'remy.suen'), ('UI', '2009-07-14 09:49:33 EDT', 'remy.suen'), ('JDT', '2009-07-14 09:49:33 EDT', 'remy.suen'), ('markus_keller', '2009-07-14 10:55:29 EDT', 'markus.kell.r'), ('RESOLVED', '2009-07-14 10:55:29 EDT', 'markus.kell.r'), ('WORKSFORME', '2009-07-14 10:55:29 EDT', 'markus.kell.r'), ('[refactoring] Can not "Refactor &gt; Extract Class..." inner classes', '2009-07-14 10:55:29 EDT', 'markus.kell.r')]</t>
  </si>
  <si>
    <t>2010-03-08 15:15:00 EST</t>
  </si>
  <si>
    <t>2009-07-14 10:51 EDT</t>
  </si>
  <si>
    <t>2009-07-14 10:56:14 EDT</t>
  </si>
  <si>
    <t>[('CREATED', '2009-07-14 10:51 EDT'), ('remy.suen', '2009-07-14 10:56:14 EDT', 'remy.suen'), ('jdt-ui-inbox', '2009-07-14 10:56:14 EDT', 'remy.suen'), ('UI', '2009-07-14 10:56:14 EDT', 'remy.suen'), ('JDT', '2009-07-14 10:56:14 EDT', 'remy.suen'), ('pwebster', '2009-07-14 13:04:48 EDT', 'pwebster'), ('markus_keller', '2009-08-10 09:59:25 EDT', 'markus.kell.r'), ('markus_keller', '2009-08-10 09:59:25 EDT', 'markus.kell.r'), ('api', '2009-08-10 09:59:25 EDT', 'markus.kell.r'), ('[refactoring] [api] RefactoringWizardOpenOperation/RefactoringWizard should have a way to use a specified IRunnableContext', '2009-08-10 09:59:25 EDT', 'markus.kell.r'), ('helpwanted', '2009-08-10 09:59:25 EDT', 'markus.kell.r'), ('3.6', '2009-08-10 09:59:25 EDT', 'markus.kell.r'), ('P2', '2010-01-28 05:09:53 EST', 'daniel_megert'), ('daniel_megert', '2010-01-28 05:09:53 EST', 'daniel_megert'), ('All', '2010-01-28 05:09:53 EST', 'daniel_megert'), ('3.6 M6', '2010-01-28 05:09:53 EST', 'daniel_megert'), ('All', '2010-01-28 05:09:53 EST', 'daniel_megert'), ('1', '2010-03-04 15:07:00 EST', 'markus.kell.r'), ('RESOLVED', '2010-03-08 15:15:00 EST', 'markus.kell.r'), ('FIXED', '2010-03-08 15:15:00 EST', 'markus.kell.r'), (nan, '2010-03-08 15:15:00 EST', 'markus.kell.r')]</t>
  </si>
  <si>
    <t>CLOSED  DUPLICATE  of bug 395229</t>
  </si>
  <si>
    <t>2010-01-27 10:07:04 EST</t>
  </si>
  <si>
    <t>2012-12-12 08:19:38 EST</t>
  </si>
  <si>
    <t>2009-07-20 01:09 EDT</t>
  </si>
  <si>
    <t>2009-08-13 08:42:22 EDT</t>
  </si>
  <si>
    <t>[('CREATED', '2009-07-20 01:09 EDT'), ('UI', '2009-08-13 08:42:22 EDT', 'kentarou'), ('Platform', '2009-08-13 08:42:22 EDT', 'kentarou'), ('3.5', '2009-08-13 08:42:22 EDT', 'kentarou'), ('kentarou', '2009-08-13 08:42:22 EDT', 'kentarou'), ('Platform-UI-Inbox', '2009-08-13 08:42:22 EDT', 'kentarou'), ('pwebster', '2009-08-13 08:57:32 EDT', 'pwebster'), ('jdt-ui-inbox', '2009-08-13 08:57:32 EDT', 'pwebster'), ('UI', '2009-08-13 08:57:32 EDT', 'pwebster'), ('JDT', '2009-08-13 08:57:32 EDT', 'pwebster'), ('markus_keller', '2009-08-17 11:28:58 EDT', 'markus.kell.r'), ('ASSIGNED', '2009-08-17 11:28:58 EDT', 'markus.kell.r'), ('needinfo', '2009-08-17 11:28:58 EDT', 'markus.kell.r'), ('[introduce indirection] NPE in "Introduce Indirection" refactoring', '2009-08-17 11:29:28 EDT', 'markus.kell.r'), ('RESOLVED', '2010-01-27 10:07:04 EST', 'markus.kell.r'), ('WORKSFORME', '2010-01-27 10:07:04 EST', 'markus.kell.r'), ('CLOSED', '2012-12-12 08:19:38 EST', 'daniel_megert'), ('daniel_megert', '2012-12-12 08:19:38 EST', 'daniel_megert'), ('DUPLICATE', '2012-12-12 08:19:38 EST', 'daniel_megert')]</t>
  </si>
  <si>
    <t>2009-08-03 09:55:42 EDT</t>
  </si>
  <si>
    <t>2009-08-04 03:12:49 EDT</t>
  </si>
  <si>
    <t>2009-07-27 11:27 EDT</t>
  </si>
  <si>
    <t>2009-07-27 13:04:53 EDT</t>
  </si>
  <si>
    <t>[('CREATED', '2009-07-27 11:27 EDT'), ('Olivier_Thomann', '2009-07-27 13:04:53 EDT', 'Olivier_Thomann'), ('jdt-ui-inbox', '2009-07-27 13:04:53 EDT', 'Olivier_Thomann'), ('UI', '2009-07-27 13:04:53 EDT', 'Olivier_Thomann'), ('markus_keller', '2009-08-03 09:45:30 EDT', 'markus.kell.r'), ('markus_keller', '2009-08-03 09:45:30 EDT', 'markus.kell.r'), ('RESOLVED', '2009-08-03 09:55:42 EDT', 'markus.kell.r'), ('FIXED', '2009-08-03 09:55:42 EDT', 'markus.kell.r'), ('3.6 M1', '2009-08-03 09:55:42 EDT', 'markus.kell.r'), ('daniel_megert', '2009-08-04 03:12:49 EDT', 'daniel_megert'), ('VERIFIED', '2009-08-04 03:12:49 EDT', 'daniel_megert')]</t>
  </si>
  <si>
    <t>2009-07-28 10:13:16 EDT</t>
  </si>
  <si>
    <t>2009-07-27 14:41 EDT</t>
  </si>
  <si>
    <t>2009-07-28 09:58:08 EDT</t>
  </si>
  <si>
    <t>[('CREATED', '2009-07-27 14:41 EDT'), ('markus_keller', '2009-07-28 09:58:08 EDT', 'markus.kell.r'), ('markus_keller', '2009-07-28 09:58:08 EDT', 'markus.kell.r'), ('[quick assist] convert anonymous type fails silently if a class of the destination name already exists', '2009-07-28 09:58:08 EDT', 'markus.kell.r'), ('3.6 M1', '2009-07-28 10:03:40 EDT', 'markus.kell.r'), ('ASSIGNED', '2009-07-28 10:03:40 EDT', 'markus.kell.r'), ('RESOLVED', '2009-07-28 10:13:16 EDT', 'markus.kell.r'), ('FIXED', '2009-07-28 10:13:16 EDT', 'markus.kell.r')]</t>
  </si>
  <si>
    <t>2009-07-28 12:50:35 EDT</t>
  </si>
  <si>
    <t>2009-07-28 12:32 EDT</t>
  </si>
  <si>
    <t>[('CREATED', '2009-07-28 12:32 EDT'), ('markus_keller', '2009-07-28 12:50:35 EDT', 'markus.kell.r'), ('RESOLVED', '2009-07-28 12:50:35 EDT', 'markus.kell.r'), ('WONTFIX', '2009-07-28 12:50:35 EDT', 'markus.kell.r'), ('[reorg] Deleted packages previously "excluded from source" still appears in "exclusion patterns"', '2009-07-28 12:50:35 EDT', 'markus.kell.r')]</t>
  </si>
  <si>
    <t>2009-08-11 05:13:14 EDT</t>
  </si>
  <si>
    <t>2009-08-27 06:48:52 EDT</t>
  </si>
  <si>
    <t>2009-08-03 09:43 EDT</t>
  </si>
  <si>
    <t>2009-08-03 09:44:09 EDT</t>
  </si>
  <si>
    <t>[('CREATED', '2009-08-03 09:43 EDT'), ('ASSIGNED', '2009-08-03 09:44:09 EDT', 'markus.kell.r'), ('3.5.1', '2009-08-03 09:44:09 EDT', 'markus.kell.r'), ('daniel_megert', '2009-08-04 03:17:49 EDT', 'daniel_megert'), ('review?(daniel_megert)', '2009-08-06 15:16:12 EDT', 'markus.kell.r'), ('review+', '2009-08-07 09:23:31 EDT', 'daniel_megert'), ('review+', '2009-08-07 09:23:47 EDT', 'daniel_megert'), ('RESOLVED', '2009-08-11 05:13:14 EDT', 'markus.kell.r'), ('FIXED', '2009-08-11 05:13:14 EDT', 'markus.kell.r'), ('raksha.vasisht', '2009-08-27 05:00:33 EDT', 'raksha.vasisht'), ('VERIFIED', '2009-08-27 06:48:52 EDT', 'daniel_megert')]</t>
  </si>
  <si>
    <t>CLOSED  DUPLICATE  of bug 488942</t>
  </si>
  <si>
    <t>2019-04-09 08:58:37 EDT</t>
  </si>
  <si>
    <t>2009-08-04 06:47 EDT</t>
  </si>
  <si>
    <t>2009-08-04 06:51:35 EDT</t>
  </si>
  <si>
    <t>Lars.Vogel</t>
  </si>
  <si>
    <t>[('CREATED', '2009-08-04 06:47 EDT'), ('raksha.vasisht', '2009-08-04 06:51:35 EDT', 'raksha.vasisht'), ('daniel_megert', '2009-08-04 06:52:19 EDT', 'daniel_megert'), ('bmuskalla', '2009-08-05 10:41:57 EDT', 'markus.kell.r'), ('[extract method] Erroneous return type while extracting code out of a nested for loop', '2009-08-05 10:41:57 EDT', 'markus.kell.r'), ('3.6 M2', '2009-08-05 10:41:57 EDT', 'markus.kell.r'), ('markus_keller', '2009-08-05 10:41:57 EDT', 'markus.kell.r'), ('3.6 M3', '2009-09-15 05:47:07 EDT', 'markus.kell.r'), ('3.6 M4', '2009-10-19 08:38:14 EDT', 'daniel_megert'), ('3.6 M5', '2009-12-07 14:08:07 EST', 'markus.kell.r'), ('3.6 M6', '2010-01-25 12:51:52 EST', 'markus.kell.r'), ('3.6 M7', '2010-03-08 09:29:00 EST', 'markus.kell.r'), ('3.7', '2010-04-08 11:19:14 EDT', 'daniel_megert'), ('jdt-ui-inbox', '2011-04-26 05:29:44 EDT', 'markus.kell.r'), ('3.8', '2011-04-26 05:29:44 EDT', 'markus.kell.r'), ('ASSIGNED', '2012-04-24 11:45:58 EDT', 'markus.kell.r'), ('---', '2012-04-24 11:45:58 EDT', 'markus.kell.r'), ('fix candidate', '2012-04-24 11:45:58 EDT', 'markus.kell.r'), ('jarthana', '2019-04-08 05:52:20 EDT', 'jarthana'), ('noopur_gupta', '2019-04-08 06:58:58 EDT', 'jarthana'), ('CLOSED', '2019-04-09 08:58:37 EDT', 'Lars.Vogel'), ('Lars.Vogel', '2019-04-09 08:58:37 EDT', 'Lars.Vogel'), ('DUPLICATE', '2019-04-09 08:58:37 EDT', 'Lars.Vogel')]</t>
  </si>
  <si>
    <t>2009-08-04 08:40 EDT</t>
  </si>
  <si>
    <t>2009-08-04 09:18:20 EDT</t>
  </si>
  <si>
    <t>2018-10-18 15:25:28 EDT</t>
  </si>
  <si>
    <t>[('CREATED', '2009-08-04 08:40 EDT'), ('markus_keller', '2009-08-04 09:18:20 EDT', 'markus.kell.r'), ('bmuskalla', '2009-08-04 09:18:20 EDT', 'markus.kell.r'), ('3.6 M2', '2009-08-04 09:18:20 EDT', 'markus.kell.r'), ('3.6 M3', '2009-09-15 05:47:06 EDT', 'markus.kell.r'), ('3.6 M4', '2009-10-19 08:38:08 EDT', 'daniel_megert'), ('3.6 M5', '2009-12-07 14:08:05 EST', 'markus.kell.r'), ('3.6 M6', '2010-01-25 12:51:49 EST', 'markus.kell.r'), ('3.6 M7', '2010-03-08 09:28:57 EST', 'markus.kell.r'), ('3.7', '2010-04-08 11:17:30 EDT', 'daniel_megert'), ('---', '2011-04-26 05:27:57 EDT', 'markus.kell.r'), ('fix candidate', '2011-04-26 05:27:57 EDT', 'markus.kell.r'), ('stalebug', '2018-10-18 15:25:28 EDT', 'genie')]</t>
  </si>
  <si>
    <t>2009-08-10 13:59:37 EDT</t>
  </si>
  <si>
    <t>2009-08-06 13:29 EDT</t>
  </si>
  <si>
    <t>2009-08-08 19:14:53 EDT</t>
  </si>
  <si>
    <t>[('CREATED', '2009-08-06 13:29 EDT'), ('Olivier_Thomann', '2009-08-08 19:14:53 EDT', 'Olivier_Thomann'), ('jdt-ui-inbox', '2009-08-08 19:14:53 EDT', 'Olivier_Thomann'), ('UI', '2009-08-08 19:14:53 EDT', 'Olivier_Thomann'), ('markus_keller', '2009-08-10 13:59:37 EDT', 'markus.kell.r'), ('enhancement', '2009-08-10 13:59:37 EDT', 'markus.kell.r'), ('RESOLVED', '2009-08-10 13:59:37 EDT', 'markus.kell.r'), ('WONTFIX', '2009-08-10 13:59:37 EDT', 'markus.kell.r')]</t>
  </si>
  <si>
    <t>2009-08-11 04:56:21 EDT</t>
  </si>
  <si>
    <t>2009-08-10 17:12 EDT</t>
  </si>
  <si>
    <t>2009-08-10 23:59:05 EDT</t>
  </si>
  <si>
    <t>[('CREATED', '2009-08-10 17:12 EDT'), ('jdt-ui-inbox', '2009-08-10 23:59:05 EDT', 'prakash'), ('UI', '2009-08-10 23:59:54 EDT', 'prakash'), ('JDT', '2009-08-10 23:59:54 EDT', 'prakash'), ('markus_keller', '2009-08-11 04:56:21 EDT', 'markus.kell.r'), ('RESOLVED', '2009-08-11 04:56:21 EDT', 'markus.kell.r'), ('WORKSFORME', '2009-08-11 04:56:21 EDT', 'markus.kell.r'), ('[extract method] bug with ambiguous return value', '2009-08-11 04:56:21 EDT', 'markus.kell.r')]</t>
  </si>
  <si>
    <t>2009-08-17 12:40:46 EDT</t>
  </si>
  <si>
    <t>2009-08-11 07:26 EDT</t>
  </si>
  <si>
    <t>2009-08-17 12:39:48 EDT</t>
  </si>
  <si>
    <t>[('CREATED', '2009-08-11 07:26 EDT'), ('markus_keller', '2009-08-17 12:39:48 EDT', 'markus.kell.r'), ('markus_keller', '2009-08-17 12:39:48 EDT', 'markus.kell.r'), ('RESOLVED', '2009-08-17 12:40:46 EDT', 'markus.kell.r'), ('FIXED', '2009-08-17 12:40:46 EDT', 'markus.kell.r'), ('3.6 M2', '2009-08-17 12:40:46 EDT', 'markus.kell.r')]</t>
  </si>
  <si>
    <t>310922</t>
  </si>
  <si>
    <t>2020-01-17 11:42:34 EST</t>
  </si>
  <si>
    <t>2009-08-11 08:01 EDT</t>
  </si>
  <si>
    <t>2009-08-17 12:44:02 EDT</t>
  </si>
  <si>
    <t>[('CREATED', '2009-08-11 08:01 EDT'), ('ASSIGNED', '2009-08-17 12:44:02 EDT', 'markus.kell.r'), ('markus_keller', '2009-08-17 12:44:02 EDT', 'markus.kell.r'), ('stephan', '2010-01-14 23:10:32 EST', 'stephan.herrmann'), ('310922', '2010-04-28 18:04:35 EDT', 'stephan.herrmann'), ('[refactoring][move method] Move method refactoring can produce overriding', '2010-08-20 02:41:04 EDT', 'stephan.herrmann'), ('stalebug', '2020-01-17 11:42:34 EST', 'genie'), ('CLOSED', '2020-01-17 11:42:34 EST', 'genie'), ('WONTFIX', '2020-01-17 11:42:34 EST', 'genie')]</t>
  </si>
  <si>
    <t>2009-08-17 12:52:35 EDT</t>
  </si>
  <si>
    <t>2009-08-11 08:14 EDT</t>
  </si>
  <si>
    <t>2009-08-11 08:52:34 EDT</t>
  </si>
  <si>
    <t>[('CREATED', '2009-08-11 08:14 EDT'), ('pwebster', '2009-08-11 08:52:34 EDT', 'pwebster'), ('jdt-ui-inbox', '2009-08-11 08:52:34 EDT', 'pwebster'), ('UI', '2009-08-11 08:52:34 EDT', 'pwebster'), ('JDT', '2009-08-11 08:52:34 EDT', 'pwebster'), ('markus_keller', '2009-08-17 12:52:35 EDT', 'markus.kell.r'), ('RESOLVED', '2009-08-17 12:52:35 EDT', 'markus.kell.r'), ('DUPLICATE', '2009-08-17 12:52:35 EDT', 'markus.kell.r')]</t>
  </si>
  <si>
    <t>2012-03-12 17:38:42 EDT</t>
  </si>
  <si>
    <t>2009-08-20 00:08 EDT</t>
  </si>
  <si>
    <t>2009-08-20 06:45:57 EDT</t>
  </si>
  <si>
    <t>[('CREATED', '2009-08-20 00:08 EDT'), ('ASSIGNED', '2009-08-20 06:45:57 EDT', 'markus.kell.r'), ('helpwanted', '2009-08-20 06:45:57 EDT', 'markus.kell.r'), ('[quick fix][api] Make ASTRewriteCorrectionProposal and parents public API', '2009-08-20 06:45:57 EDT', 'markus.kell.r'), ('3.6', '2009-08-20 06:45:57 EDT', 'markus.kell.r'), ('markus_keller', '2009-08-20 06:45:57 EDT', 'markus.kell.r'), ('daniel_megert', '2010-01-28 05:11:14 EST', 'daniel_megert'), ('---', '2010-01-28 05:11:14 EST', 'daniel_megert'), ('fix candidate', '2010-04-12 13:47:19 EDT', 'markus.kell.r'), ('api', '2010-04-13 02:25:18 EDT', 'daniel_megert'), ('deepak.azad', '2011-08-12 09:57:02 EDT', 'markus.kell.r'), ('deepak.azad', '2011-08-13 03:37:08 EDT', 'deepakazad'), ('review?(markus_keller)', '2011-08-13 03:38:19 EDT', 'deepakazad'), ('P2', '2012-01-31 04:55:27 EST', 'daniel_megert'), ('All', '2012-01-31 04:55:27 EST', 'daniel_megert'), ('3.8 M6', '2012-01-31 04:55:27 EST', 'daniel_megert'), ('All', '2012-01-31 04:55:27 EST', 'daniel_megert'), ('1', '2012-01-31 09:30:14 EST', 'deepakazad'), (nan, '2012-03-12 17:38:42 EDT', 'markus.kell.r'), ('RESOLVED', '2012-03-12 17:38:42 EDT', 'markus.kell.r'), ('FIXED', '2012-03-12 17:38:42 EDT', 'markus.kell.r'), (nan, '2012-03-12 17:38:42 EDT', 'markus.kell.r'), ('review+', '2012-03-12 17:38:42 EDT', 'markus.kell.r')]</t>
  </si>
  <si>
    <t>2020-02-27 18:09:11 EST</t>
  </si>
  <si>
    <t>2009-08-20 09:57 EDT</t>
  </si>
  <si>
    <t>2009-08-20 10:48:29 EDT</t>
  </si>
  <si>
    <t>[('CREATED', '2009-08-20 09:57 EDT'), ('remysuen', '2009-08-20 10:48:29 EDT', 'remy.suen'), ('jdt-ui-inbox', '2009-08-20 10:48:29 EDT', 'remy.suen'), ('UI', '2009-08-20 10:48:29 EDT', 'remy.suen'), ('JDT', '2009-08-20 10:48:29 EDT', 'remy.suen'), ('markus_keller', '2009-08-20 14:37:50 EDT', 'markus.kell.r'), ('ASSIGNED', '2009-08-20 14:37:50 EDT', 'markus.kell.r'), ('Move function does not update .classpath when a *.jar file is moved', '2009-08-20 14:37:50 EDT', 'markus.kell.r'), ('3.5', '2009-08-20 14:37:50 EDT', 'markus.kell.r'), ('helpwanted', '2009-08-21 05:18:59 EDT', 'markus.kell.r'), ('[reorg] Move refactoring does not update .classpath when a *.jar file is moved', '2009-08-21 05:18:59 EDT', 'markus.kell.r'), ('CLOSED', '2020-02-27 18:09:11 EST', 'genie'), ('stalebug', '2020-02-27 18:09:11 EST', 'genie'), ('WONTFIX', '2020-02-27 18:09:11 EST', 'genie')]</t>
  </si>
  <si>
    <t>2010-09-01 13:36:58 EDT</t>
  </si>
  <si>
    <t>2009-08-23 06:57 EDT</t>
  </si>
  <si>
    <t>2009-08-26 06:42:35 EDT</t>
  </si>
  <si>
    <t>[('CREATED', '2009-08-23 06:57 EDT'), ('markus_keller', '2009-08-26 06:42:35 EDT', 'markus.kell.r'), ('ASSIGNED', '2009-08-26 06:42:35 EDT', 'markus.kell.r'), ('ildella', '2009-10-21 05:46:08 EDT', 'ildella'), ('deepak.azad', '2010-09-01 13:36:29 EDT', 'deepakazad'), ('FIXED', '2010-09-01 13:36:58 EDT', 'deepakazad'), ('3.7 M2', '2010-09-01 13:36:58 EDT', 'deepakazad'), ('RESOLVED', '2010-09-01 13:36:58 EDT', 'deepakazad')]</t>
  </si>
  <si>
    <t>2009-08-26 12:24:28 EDT</t>
  </si>
  <si>
    <t>2009-08-23 11:58 EDT</t>
  </si>
  <si>
    <t>2009-08-26 12:24:16 EDT</t>
  </si>
  <si>
    <t>[('CREATED', '2009-08-23 11:58 EDT'), ('markus_keller', '2009-08-26 12:24:16 EDT', 'markus.kell.r'), ('markus_keller', '2009-08-26 12:24:16 EDT', 'markus.kell.r'), ('[inline] Inline Method throws MalformedTreeException if return statement surrounded by comments', '2009-08-26 12:24:16 EDT', 'markus.kell.r'), ('3.6 M2', '2009-08-26 12:24:16 EDT', 'markus.kell.r'), ('RESOLVED', '2009-08-26 12:24:28 EDT', 'markus.kell.r'), ('FIXED', '2009-08-26 12:24:28 EDT', 'markus.kell.r')]</t>
  </si>
  <si>
    <t>289361 369654 (view as bug list)</t>
  </si>
  <si>
    <t>2009-08-25 11:39:59 EDT</t>
  </si>
  <si>
    <t>2009-08-25 05:33 EDT</t>
  </si>
  <si>
    <t>2009-08-25 10:15:14 EDT</t>
  </si>
  <si>
    <t>2012-01-25 12:54:55 EST</t>
  </si>
  <si>
    <t>[('CREATED', '2009-08-25 05:33 EDT'), ('Olivier_Thomann', '2009-08-25 10:15:14 EDT', 'Olivier_Thomann'), ('jdt-ui-inbox', '2009-08-25 10:15:14 EDT', 'Olivier_Thomann'), ('UI', '2009-08-25 10:15:14 EDT', 'Olivier_Thomann'), ('RESOLVED', '2009-08-25 11:39:59 EDT', 'markus.kell.r'), ('needinfo', '2009-08-25 11:39:59 EDT', 'markus.kell.r'), ('DUPLICATE', '2009-08-25 11:39:59 EDT', 'markus.kell.r'), ('[refactoring][rename][reorg] Corrupt source code when refactoring classes', '2009-08-25 11:39:59 EDT', 'markus.kell.r'), ('markus_keller', '2009-08-25 11:39:59 EDT', 'markus.kell.r'), (nan, '2009-09-14 12:12:32 EDT', 'markus.kell.r'), ('NOT_ECLIPSE', '2009-09-14 12:12:32 EDT', 'markus.kell.r'), ('[refactoring][rename][reorg] Corrupt source code when refactoring classes with Subversion and keyword substitution', '2009-09-14 12:12:32 EDT', 'markus.kell.r'), ('larry', '2009-09-14 12:13:03 EDT', 'markus.kell.r'), ('Sharon.Ben-Asher', '2012-01-25 12:54:55 EST', 'daniel_megert')]</t>
  </si>
  <si>
    <t>2020-03-22 16:40:09 EDT</t>
  </si>
  <si>
    <t>2009-08-27 06:30 EDT</t>
  </si>
  <si>
    <t>2009-08-27 06:43:10 EDT</t>
  </si>
  <si>
    <t>[('CREATED', '2009-08-27 06:30 EDT'), ('markus_keller', '2009-08-27 06:43:10 EDT', 'markus.kell.r'), ('ASSIGNED', '2009-08-27 06:43:10 EDT', 'markus.kell.r'), ('[pull up][push down] should show be enabled for nested types', '2009-08-27 06:43:10 EDT', 'markus.kell.r'), ('stalebug', '2020-03-22 16:40:09 EDT', 'genie'), ('CLOSED', '2020-03-22 16:40:09 EDT', 'genie'), ('WONTFIX', '2020-03-22 16:40:09 EDT', 'genie')]</t>
  </si>
  <si>
    <t>291275 301937 (view as bug list)</t>
  </si>
  <si>
    <t>2010-03-02 09:09:36 EST</t>
  </si>
  <si>
    <t>2009-09-02 13:16 EDT</t>
  </si>
  <si>
    <t>2009-09-09 10:23:03 EDT</t>
  </si>
  <si>
    <t>[('CREATED', '2009-09-02 13:16 EDT'), ('Olivier_Thomann', '2009-09-09 10:23:03 EDT', 'Olivier_Thomann'), ('UI', '2009-09-09 10:23:03 EDT', 'Olivier_Thomann'), ('jdt-ui-inbox', '2009-09-09 10:23:03 EDT', 'Olivier_Thomann'), ('[clean up] Internal error with configured profiles from multiple projects', '2009-09-09 12:39:08 EDT', 'markus.kell.r'), ('markus_keller', '2009-09-09 12:39:08 EDT', 'markus.kell.r'), ('daniel_megert', '2009-09-09 12:39:08 EDT', 'markus.kell.r'), ('3.6', '2009-09-09 12:39:08 EDT', 'markus.kell.r'), ('stepper', '2010-02-08 04:29:14 EST', 'daniel_megert'), ('3.6 M6', '2010-02-08 04:45:44 EST', 'daniel_megert'), ('RESOLVED', '2010-03-02 09:09:36 EST', 'daniel_megert'), ('FIXED', '2010-03-02 09:09:36 EST', 'daniel_megert')]</t>
  </si>
  <si>
    <t>2009-09-03 10:44:48 EDT</t>
  </si>
  <si>
    <t>2009-09-03 04:13 EDT</t>
  </si>
  <si>
    <t>2009-09-03 09:26:49 EDT</t>
  </si>
  <si>
    <t>[('CREATED', '2009-09-03 04:13 EDT'), ('Olivier_Thomann', '2009-09-03 09:26:49 EDT', 'Olivier_Thomann'), ('UI', '2009-09-03 09:26:49 EDT', 'Olivier_Thomann'), ('jdt-ui-inbox', '2009-09-03 09:26:49 EDT', 'Olivier_Thomann'), ('RESOLVED', '2009-09-03 10:44:48 EDT', 'markus.kell.r'), ('markus_keller', '2009-09-03 10:44:48 EDT', 'markus.kell.r'), ('WORKSFORME', '2009-09-03 10:44:48 EDT', 'markus.kell.r')]</t>
  </si>
  <si>
    <t>2010-01-28 03:01:16 EST</t>
  </si>
  <si>
    <t>2010-02-10 07:09:10 EST</t>
  </si>
  <si>
    <t>2009-09-05 17:54 EDT</t>
  </si>
  <si>
    <t>2009-09-05 17:59:24 EDT</t>
  </si>
  <si>
    <t>[('CREATED', '2009-09-05 17:54 EDT'), ('remysuen', '2009-09-05 17:59:24 EDT', 'remy.suen'), ('needinfo', '2009-09-07 05:43:33 EDT', 'markus.kell.r'), ('ASSIGNED', '2009-09-07 05:43:33 EDT', 'markus.kell.r'), ('markus_keller', '2009-09-07 05:43:33 EDT', 'markus.kell.r'), ('[actions] New Package Wizard hang', '2009-09-07 05:44:35 EDT', 'markus.kell.r'), ('fyaoxy', '2009-12-12 05:10:19 EST', 'fyaoxy'), ('daniel_megert', '2009-12-14 03:15:05 EST', 'daniel_megert'), ('RESOLVED', '2010-01-28 03:01:16 EST', 'daniel_megert'), ('WORKSFORME', '2010-01-28 03:01:16 EST', 'daniel_megert'), ('DUPLICATE', '2010-02-10 07:09:10 EST', 'markus.kell.r')]</t>
  </si>
  <si>
    <t>2009-09-08 14:52:54 EDT</t>
  </si>
  <si>
    <t>2009-09-08 13:40 EDT</t>
  </si>
  <si>
    <t>2009-09-08 14:04:04 EDT</t>
  </si>
  <si>
    <t>[('CREATED', '2009-09-08 13:40 EDT'), ('[type hierarchy] NPE from type hierarchy view when refactoring a method', '2009-09-08 14:04:04 EDT', 'markus.kell.r'), ('ASSIGNED', '2009-09-08 14:04:04 EDT', 'markus.kell.r'), ('markus_keller', '2009-09-08 14:04:04 EDT', 'markus.kell.r'), ('markus_keller', '2009-09-08 14:04:04 EDT', 'markus.kell.r'), ('RESOLVED', '2009-09-08 14:52:54 EDT', 'markus.kell.r'), ('FIXED', '2009-09-08 14:52:54 EDT', 'markus.kell.r'), ('3.6 M2', '2009-09-08 14:52:54 EDT', 'markus.kell.r')]</t>
  </si>
  <si>
    <t>CLOSED  DUPLICATE  of bug 394723</t>
  </si>
  <si>
    <t>2012-11-21 21:10:46 EST</t>
  </si>
  <si>
    <t>2009-09-09 06:22 EDT</t>
  </si>
  <si>
    <t>2009-09-09 07:41:24 EDT</t>
  </si>
  <si>
    <t>[('CREATED', '2009-09-09 06:22 EDT'), ('Olivier_Thomann', '2009-09-09 07:41:24 EDT', 'Olivier_Thomann'), ('UI', '2009-09-09 07:41:24 EDT', 'Olivier_Thomann'), ('jdt-ui-inbox', '2009-09-09 07:41:24 EDT', 'Olivier_Thomann'), ('markus_keller', '2009-09-10 06:04:58 EDT', 'markus.kell.r'), ('[inline] Inlining final local variable breaks inner classes (referenced variable not final)', '2009-09-10 06:04:58 EDT', 'markus.kell.r'), ('ASSIGNED', '2009-09-10 06:04:58 EDT', 'markus.kell.r'), ('CLOSED', '2012-11-21 21:10:46 EST', 'deepakazad'), ('deepakazad', '2012-11-21 21:10:46 EST', 'deepakazad'), ('DUPLICATE', '2012-11-21 21:10:46 EST', 'deepakazad')]</t>
  </si>
  <si>
    <t>2009-09-13 20:55 EDT</t>
  </si>
  <si>
    <t>2009-09-14 13:21:56 EDT</t>
  </si>
  <si>
    <t>2019-10-16 19:57:12 EDT</t>
  </si>
  <si>
    <t>[('CREATED', '2009-09-13 20:55 EDT'), ('helpwanted', '2009-09-14 13:21:56 EDT', 'markus.kell.r'), ('ASSIGNED', '2009-09-14 13:21:56 EDT', 'markus.kell.r'), ('markus_keller', '2009-09-14 13:21:56 EDT', 'markus.kell.r'), ('[use supertype] incorrectly changes method return type to return type of overridden method', '2009-09-14 13:21:56 EDT', 'markus.kell.r'), ('stalebug', '2019-10-16 19:57:12 EDT', 'genie')]</t>
  </si>
  <si>
    <t>2020-03-08 04:51:24 EDT</t>
  </si>
  <si>
    <t>2009-09-13 21:24 EDT</t>
  </si>
  <si>
    <t>2009-09-14 13:44:55 EDT</t>
  </si>
  <si>
    <t>[('CREATED', '2009-09-13 21:24 EDT'), ('ASSIGNED', '2009-09-14 13:44:55 EDT', 'markus.kell.r'), ('markus_keller', '2009-09-14 13:44:55 EDT', 'markus.kell.r'), ('[infer type arguments] Refactoring incorrectly infers the generic type of a returned variable (recursive List&lt;List&lt;...&gt;&gt;)', '2009-09-14 13:44:55 EDT', 'markus.kell.r'), ('CLOSED', '2020-03-08 04:51:24 EDT', 'genie'), ('stalebug', '2020-03-08 04:51:24 EDT', 'genie'), ('WONTFIX', '2020-03-08 04:51:24 EDT', 'genie')]</t>
  </si>
  <si>
    <t>RESOLVED  DUPLICATE  of bug 287539</t>
  </si>
  <si>
    <t>2009-09-14 11:30:21 EDT</t>
  </si>
  <si>
    <t>2009-09-14 12:13:03 EDT</t>
  </si>
  <si>
    <t>2009-09-14 10:52 EDT</t>
  </si>
  <si>
    <t>2009-09-14 10:58:37 EDT</t>
  </si>
  <si>
    <t>[('CREATED', '2009-09-14 10:52 EDT'), ('Olivier_Thomann', '2009-09-14 10:58:37 EDT', 'Olivier_Thomann'), ('UI', '2009-09-14 10:58:37 EDT', 'Olivier_Thomann'), ('jdt-ui-inbox', '2009-09-14 10:58:37 EDT', 'Olivier_Thomann'), ('daniel_megert', '2009-09-14 11:05:20 EDT', 'daniel_megert'), ('RESOLVED', '2009-09-14 11:30:21 EDT', 'daniel_megert'), ('NOT_ECLIPSE', '2009-09-14 11:30:21 EDT', 'daniel_megert'), ('markus_keller', '2009-09-14 12:13:03 EDT', 'markus.kell.r'), ('DUPLICATE', '2009-09-14 12:13:03 EDT', 'markus.kell.r')]</t>
  </si>
  <si>
    <t>185050 (view as bug list)</t>
  </si>
  <si>
    <t>2009-09-18 10:18:38 EDT</t>
  </si>
  <si>
    <t>2009-09-16 16:51 EDT</t>
  </si>
  <si>
    <t>2009-09-17 02:17:54 EDT</t>
  </si>
  <si>
    <t>2010-06-30 09:06:55 EDT</t>
  </si>
  <si>
    <t>[('CREATED', '2009-09-16 16:51 EDT'), ('daniel_megert', '2009-09-17 02:17:54 EDT', 'daniel_megert'), ('RESOLVED', '2009-09-18 10:18:38 EDT', 'markus.kell.r'), ('markus_keller', '2009-09-18 10:18:38 EDT', 'markus.kell.r'), ('FIXED', '2009-09-18 10:18:38 EDT', 'markus.kell.r'), ('markus_keller', '2009-09-18 10:18:38 EDT', 'markus.kell.r'), ('3.6 M3', '2009-09-18 10:18:38 EDT', 'markus.kell.r'), ('[rename] Refactor rename in editor is slow with many matches', '2009-09-18 10:18:38 EDT', 'markus.kell.r'), ('benno.baumgartner', '2010-06-30 09:06:55 EDT', 'markus.kell.r')]</t>
  </si>
  <si>
    <t>2020-02-19 20:02:04 EST</t>
  </si>
  <si>
    <t>2009-09-23 02:50 EDT</t>
  </si>
  <si>
    <t>2009-10-05 14:18:14 EDT</t>
  </si>
  <si>
    <t>[('CREATED', '2009-09-23 02:50 EDT'), ('helpwanted', '2009-10-05 14:18:14 EDT', 'markus.kell.r'), ('ASSIGNED', '2009-10-05 14:18:14 EDT', 'markus.kell.r'), ('markus_keller', '2009-10-05 14:18:14 EDT', 'markus.kell.r'), ('stalebug', '2020-02-19 20:02:04 EST', 'genie'), ('CLOSED', '2020-02-19 20:02:04 EST', 'genie'), ('WONTFIX', '2020-02-19 20:02:04 EST', 'genie')]</t>
  </si>
  <si>
    <t>29522 (view as bug list)</t>
  </si>
  <si>
    <t>2020-03-10 16:18:17 EDT</t>
  </si>
  <si>
    <t>2009-09-24 11:39 EDT</t>
  </si>
  <si>
    <t>2009-10-06 06:54:22 EDT</t>
  </si>
  <si>
    <t>[('CREATED', '2009-09-24 11:39 EDT'), ('ASSIGNED', '2009-10-06 06:54:22 EDT', 'markus.kell.r'), ('markus_keller', '2009-10-06 06:54:22 EDT', 'markus.kell.r'), ('akiezun', '2009-10-06 06:54:40 EDT', 'markus.kell.r'), ('nikolaymetchev', '2009-10-06 07:26:57 EDT', 'nikolaymetchev'), ('jongwook.kim', '2015-10-21 16:19:35 EDT', 'jongwook.kim'), ('stalebug', '2020-03-10 16:18:17 EDT', 'genie'), ('CLOSED', '2020-03-10 16:18:17 EDT', 'genie'), ('WONTFIX', '2020-03-10 16:18:17 EDT', 'genie')]</t>
  </si>
  <si>
    <t>2009-09-25 20:26 EDT</t>
  </si>
  <si>
    <t>2009-10-06 06:56:35 EDT</t>
  </si>
  <si>
    <t>2019-10-27 04:53:27 EDT</t>
  </si>
  <si>
    <t>[('CREATED', '2009-09-25 20:26 EDT'), ('markus_keller', '2009-10-06 06:56:35 EDT', 'markus.kell.r'), ('[pull up] the program behavior changes for call to super.k()', '2009-10-06 06:56:35 EDT', 'markus.kell.r'), ('ASSIGNED', '2009-10-06 06:56:35 EDT', 'markus.kell.r'), ('stalebug', '2019-10-27 04:53:27 EDT', 'genie')]</t>
  </si>
  <si>
    <t>CLOSED  DUPLICATE  of bug 211860</t>
  </si>
  <si>
    <t>2010-06-15 15:49:33 EDT</t>
  </si>
  <si>
    <t>2009-09-25 21:02 EDT</t>
  </si>
  <si>
    <t>2009-10-05 14:19:22 EDT</t>
  </si>
  <si>
    <t>[('CREATED', '2009-09-25 21:02 EDT'), ('ASSIGNED', '2009-10-05 14:19:22 EDT', 'markus.kell.r'), ('markus_keller', '2009-10-05 14:19:22 EDT', 'markus.kell.r'), ('[push down] program behavior changes: calls overloaded method', '2009-10-05 14:19:22 EDT', 'markus.kell.r'), ('CLOSED', '2010-06-15 15:49:33 EDT', 'deepakazad'), ('deepak.azad', '2010-06-15 15:49:33 EDT', 'deepakazad'), ('DUPLICATE', '2010-06-15 15:49:33 EDT', 'deepakazad')]</t>
  </si>
  <si>
    <t>434745 (view as bug list)</t>
  </si>
  <si>
    <t>2009-09-28 09:17 EDT</t>
  </si>
  <si>
    <t>2009-09-28 09:18:51 EDT</t>
  </si>
  <si>
    <t>2019-07-13 12:56:48 EDT</t>
  </si>
  <si>
    <t>[('CREATED', '2009-09-28 09:17 EDT'), ('[Inline Method] The inline method refactoring can produce visibility errors for private member accesses [refactoring]', '2009-09-28 09:18:51 EDT', 'jogeb'), ('ASSIGNED', '2009-10-06 07:01:10 EDT', 'markus.kell.r'), ('markus_keller', '2009-10-06 07:01:10 EDT', 'markus.kell.r'), ('[inline] inline method refactoring can produce visibility errors for private member accesses', '2009-10-06 07:01:10 EDT', 'markus.kell.r'), ('timo.kinnunen', '2014-05-14 23:05:58 EDT', 'manju656'), ('stalebug', '2019-03-17 10:24:17 EDT', 'genie'), (nan, '2019-03-22 12:44:42 EDT', 'daniel_megert'), ('daniel_megert', '2019-03-22 12:44:42 EDT', 'daniel_megert'), ('pyvesdev', '2019-07-13 12:56:48 EDT', 'pyvesdev')]</t>
  </si>
  <si>
    <t>2009-10-01 09:37:16 EDT</t>
  </si>
  <si>
    <t>2009-09-29 10:30 EDT</t>
  </si>
  <si>
    <t>[('CREATED', '2009-09-29 10:30 EDT'), ('RESOLVED', '2009-10-01 09:37:16 EDT', 'markus.kell.r'), ('markus_keller', '2009-10-01 09:37:16 EDT', 'markus.kell.r'), ('INVALID', '2009-10-01 09:37:16 EDT', 'markus.kell.r')]</t>
  </si>
  <si>
    <t>CLOSED  DUPLICATE  of bug 288385</t>
  </si>
  <si>
    <t>2009-10-05 05:21:39 EDT</t>
  </si>
  <si>
    <t>2009-10-03 10:43 EDT</t>
  </si>
  <si>
    <t>[('CREATED', '2009-10-03 10:43 EDT'), ('CLOSED', '2009-10-05 05:21:39 EDT', 'daniel_megert'), ('daniel_megert', '2009-10-05 05:21:39 EDT', 'daniel_megert'), ('DUPLICATE', '2009-10-05 05:21:39 EDT', 'daniel_megert')]</t>
  </si>
  <si>
    <t>CLOSED  DUPLICATE  of bug 144249</t>
  </si>
  <si>
    <t>2009-10-05 08:14:52 EDT</t>
  </si>
  <si>
    <t>2009-10-03 19:04 EDT</t>
  </si>
  <si>
    <t>[('CREATED', '2009-10-03 19:04 EDT'), ('CLOSED', '2009-10-05 08:14:52 EDT', 'markus.kell.r'), ('markus_keller', '2009-10-05 08:14:52 EDT', 'markus.kell.r'), ('DUPLICATE', '2009-10-05 08:14:52 EDT', 'markus.kell.r'), ('[rename] Refactoring (renaming) results in Internal Error (InvocationTargetException)', '2009-10-05 08:14:52 EDT', 'markus.kell.r')]</t>
  </si>
  <si>
    <t>2020-01-26 11:53:21 EST</t>
  </si>
  <si>
    <t>2009-10-06 07:31 EDT</t>
  </si>
  <si>
    <t>2009-10-06 07:34:49 EDT</t>
  </si>
  <si>
    <t>[('CREATED', '2009-10-06 07:31 EDT'), ('giribaxi, raji', '2009-10-06 07:34:49 EDT', 'giribaxi'), ('3.4.2', '2009-10-06 07:34:49 EDT', 'giribaxi'), ('ASSIGNED', '2009-10-07 03:59:43 EDT', 'daniel_megert'), ('daniel_megert', '2009-10-07 03:59:43 EDT', 'daniel_megert'), ('All', '2009-10-07 03:59:43 EDT', 'daniel_megert'), ('[refactoring] Moving a source folder from a java project root to any other folder from the project, removes that folder from the list of source folders for that java project', '2009-10-07 03:59:43 EDT', 'daniel_megert'), ('All', '2009-10-07 03:59:43 EDT', 'daniel_megert'), ('minor', '2009-10-07 03:59:43 EDT', 'daniel_megert'), ('[refactoring] Moving a source folder to another folder from the same project removes the source folder from the Java build path', '2010-01-06 05:45:23 EST', 'daniel_megert'), ('Olivier_Thomann', '2010-01-06 08:50:29 EST', 'Olivier_Thomann'), ('CLOSED', '2020-01-26 11:53:21 EST', 'genie'), ('stalebug', '2020-01-26 11:53:21 EST', 'genie'), ('WONTFIX', '2020-01-26 11:53:21 EST', 'genie')]</t>
  </si>
  <si>
    <t>301258 300220</t>
  </si>
  <si>
    <t>2010-01-20 13:05:42 EST</t>
  </si>
  <si>
    <t>2020-02-25 13:57:19 EST</t>
  </si>
  <si>
    <t>2010-01-29 10:39:40 EST</t>
  </si>
  <si>
    <t>2009-10-08 11:58 EDT</t>
  </si>
  <si>
    <t>2009-10-16 05:00:20 EDT</t>
  </si>
  <si>
    <t>[('CREATED', '2009-10-08 11:58 EDT'), ('daniel_megert', '2009-10-16 05:00:20 EDT', 'daniel_megert'), ('markus_keller', '2009-10-16 05:00:20 EDT', 'daniel_megert'), ('300220', '2010-01-20 12:16:26 EST', 'markus.kell.r'), ('All', '2010-01-20 12:18:29 EST', 'markus.kell.r'), ('3.6', '2010-01-20 12:18:29 EST', 'markus.kell.r'), ('All', '2010-01-20 12:18:29 EST', 'markus.kell.r'), ('ASSIGNED', '2010-01-20 12:18:29 EST', 'markus.kell.r'), ('RESOLVED', '2010-01-20 13:05:42 EST', 'markus.kell.r'), ('FIXED', '2010-01-20 13:05:42 EST', 'markus.kell.r'), ('3.6 M5', '2010-01-20 13:05:42 EST', 'markus.kell.r'), ('[refactoring] Undoing a large move refactoring block the UI before reporting progress', '2010-01-20 13:07:32 EST', 'markus.kell.r'), ('301258', '2010-01-29 10:28:36 EST', 'markus.kell.r'), ('REOPENED', '2010-01-29 10:39:40 EST', 'markus.kell.r'), ('---', '2010-01-29 10:39:40 EST', 'markus.kell.r'), ('3.6 M6', '2010-01-29 10:39:40 EST', 'markus.kell.r'), ('ASSIGNED', '2010-03-08 09:17:50 EST', 'markus.kell.r'), ('---', '2010-03-08 09:17:50 EST', 'markus.kell.r'), ('fix candidate', '2010-03-08 09:17:50 EST', 'markus.kell.r'), ('WONTFIX', '2020-02-25 13:57:19 EST', 'genie'), ('CLOSED', '2020-02-25 13:57:19 EST', 'genie'), ('stalebug', '2020-02-25 13:57:19 EST', 'genie')]</t>
  </si>
  <si>
    <t>2009-10-14 04:41:20 EDT</t>
  </si>
  <si>
    <t>2009-10-11 10:35 EDT</t>
  </si>
  <si>
    <t>2009-10-12 12:06:10 EDT</t>
  </si>
  <si>
    <t>[('CREATED', '2009-10-11 10:35 EDT'), ('daniel_megert', '2009-10-12 12:06:10 EDT', 'daniel_megert'), ('Text', '2009-10-13 06:15:53 EDT', 'markus.kell.r'), ('jdt-text-inbox', '2009-10-13 06:15:53 EDT', 'markus.kell.r'), ('Invalid thread access from JavaMergeViewer during extracting method', '2009-10-13 06:15:53 EDT', 'markus.kell.r'), ('markus_keller', '2009-10-13 06:15:53 EDT', 'markus.kell.r'), ('RESOLVED', '2009-10-14 04:41:20 EDT', 'daniel_megert'), ('UI', '2009-10-14 04:41:20 EDT', 'daniel_megert'), ('FIXED', '2009-10-14 04:41:20 EDT', 'daniel_megert'), ('daniel_megert', '2009-10-14 04:41:20 EDT', 'daniel_megert'), ('3.6 M3', '2009-10-14 04:41:20 EDT', 'daniel_megert'), ('[compare] Invalid thread access from JavaMergeViewer during extracting method', '2009-10-14 04:41:20 EDT', 'daniel_megert')]</t>
  </si>
  <si>
    <t>2009-10-19 03:32:15 EDT</t>
  </si>
  <si>
    <t>2009-10-19 03:40:50 EDT</t>
  </si>
  <si>
    <t>2009-10-17 20:33 EDT</t>
  </si>
  <si>
    <t>2009-10-19 03:54:44 EDT</t>
  </si>
  <si>
    <t>[('CREATED', '2009-10-17 20:33 EDT'), ('daniel_megert', '2009-10-19 03:32:15 EDT', 'daniel_megert'), ('WORKSFORME', '2009-10-19 03:32:15 EDT', 'daniel_megert'), ('RESOLVED', '2009-10-19 03:32:15 EDT', 'daniel_megert'), ('REOPENED', '2009-10-19 03:40:50 EDT', 'prashant.deva'), ('---', '2009-10-19 03:40:50 EDT', 'prashant.deva'), ('ASSIGNED', '2009-10-19 03:54:44 EDT', 'daniel_megert'), ('All', '2009-10-19 03:54:44 EDT', 'daniel_megert'), ("[quick fix] Make 'Change package declaration' quick fix a multi-fix", '2009-10-19 03:54:44 EDT', 'daniel_megert'), ('All', '2009-10-19 03:54:44 EDT', 'daniel_megert'), ('enhancement', '2009-10-19 03:54:44 EDT', 'daniel_megert')]</t>
  </si>
  <si>
    <t>4745</t>
  </si>
  <si>
    <t>2009-11-12 07:03:40 EST</t>
  </si>
  <si>
    <t>2009-12-09 06:06:18 EST</t>
  </si>
  <si>
    <t>2009-10-21 03:49 EDT</t>
  </si>
  <si>
    <t>2009-10-21 03:49:45 EDT</t>
  </si>
  <si>
    <t>[('CREATED', '2009-10-21 03:49 EDT'), ('markus_keller', '2009-10-21 03:49:45 EDT', 'daniel_megert'), ('3.6 M4', '2009-10-21 03:49:45 EDT', 'daniel_megert'), ('[preferences] Finish adding note to Compiler &gt; Javadoc pref page', '2009-10-21 03:49:45 EDT', 'daniel_megert'), ('Windows 7', '2009-10-21 03:49:45 EDT', 'daniel_megert'), ('trivial', '2009-10-21 03:49:45 EDT', 'daniel_megert'), ('P2', '2009-10-21 03:49:45 EDT', 'daniel_megert'), ('deepak.azad', '2009-10-21 04:49:28 EDT', 'daniel_megert'), ('review-', '2009-11-04 05:17:23 EST', 'daniel_megert'), ('1', '2009-11-04 05:17:23 EST', 'daniel_megert'), ('review-', '2009-11-10 06:23:09 EST', 'daniel_megert'), ('1', '2009-11-10 06:23:09 EST', 'daniel_megert'), ('4745', '2009-11-11 10:18:46 EST', 'daniel_megert'), ('1', '2009-11-12 04:50:37 EST', 'deepakazad'), ('RESOLVED', '2009-11-12 07:03:40 EST', 'daniel_megert'), ('FIXED', '2009-11-12 07:03:40 EST', 'daniel_megert'), ('iplog+, review+', '2009-11-12 07:06:21 EST', 'daniel_megert'), ('markus_keller', '2009-12-09 06:06:18 EST', 'markus.kell.r'), ('VERIFIED', '2009-12-09 06:06:18 EST', 'markus.kell.r')]</t>
  </si>
  <si>
    <t>CLOSED  DUPLICATE  of bug 234981</t>
  </si>
  <si>
    <t>355322 (view as bug list)</t>
  </si>
  <si>
    <t>2009-10-22 03:17:52 EDT</t>
  </si>
  <si>
    <t>2009-10-21 22:15 EDT</t>
  </si>
  <si>
    <t>[('CREATED', '2009-10-21 22:15 EDT'), ('[push down] Push down method refactoring changes the program behavior', '2009-10-22 03:17:52 EDT', 'daniel_megert'), ('major', '2009-10-22 03:17:52 EDT', 'daniel_megert'), ('CLOSED', '2009-10-22 03:17:52 EDT', 'daniel_megert'), ('daniel_megert', '2009-10-22 03:17:52 EDT', 'daniel_megert'), ('3.4.2', '2009-10-22 03:17:52 EDT', 'daniel_megert'), ('DUPLICATE', '2009-10-22 03:17:52 EDT', 'daniel_megert')]</t>
  </si>
  <si>
    <t>CLOSED  DUPLICATE  of bug 234980</t>
  </si>
  <si>
    <t>2009-10-22 03:22:33 EDT</t>
  </si>
  <si>
    <t>2009-10-21 22:43 EDT</t>
  </si>
  <si>
    <t>[('CREATED', '2009-10-21 22:43 EDT'), ('CLOSED', '2009-10-22 03:22:33 EDT', 'daniel_megert'), ('daniel_megert', '2009-10-22 03:22:33 EDT', 'daniel_megert'), ('DUPLICATE', '2009-10-22 03:22:33 EDT', 'daniel_megert'), ('[pull up] Pull up refactoring changes the program behavior', '2009-10-22 03:22:33 EDT', 'daniel_megert')]</t>
  </si>
  <si>
    <t>2009-10-22 03:21:07 EDT</t>
  </si>
  <si>
    <t>2009-10-21 22:56 EDT</t>
  </si>
  <si>
    <t>2009-10-23 10:02:14 EDT</t>
  </si>
  <si>
    <t>[('CREATED', '2009-10-21 22:56 EDT'), ('RESOLVED', '2009-10-22 03:21:07 EDT', 'daniel_megert'), ('daniel_megert', '2009-10-22 03:21:07 EDT', 'daniel_megert'), ('INVALID', '2009-10-22 03:21:07 EDT', 'daniel_megert'), ('[push down][Push down method refactoring] the program behavior changes after the transformation', '2009-10-22 03:21:07 EDT', 'daniel_megert'), ('[push down] Push down method refactoring changes program behavior', '2009-10-23 10:02:14 EDT', 'daniel_megert')]</t>
  </si>
  <si>
    <t>2009-11-04 09:57 EST</t>
  </si>
  <si>
    <t>2009-11-05 12:02:07 EST</t>
  </si>
  <si>
    <t>2019-09-10 18:45:35 EDT</t>
  </si>
  <si>
    <t>[('CREATED', '2009-11-04 09:57 EST'), ('P5', '2009-11-05 12:02:07 EST', 'markus.kell.r'), ('ASSIGNED', '2009-11-05 12:02:07 EST', 'markus.kell.r'), ('markus_keller', '2009-11-05 12:02:07 EST', 'markus.kell.r'), ('[move member type] compile error when the member type inherits non-static member type of the enclosing class', '2009-11-05 12:02:07 EST', 'markus.kell.r'), ('stalebug', '2019-09-10 18:45:35 EDT', 'genie')]</t>
  </si>
  <si>
    <t>2009-11-17 02:58:14 EST</t>
  </si>
  <si>
    <t>2009-12-08 04:01:33 EST</t>
  </si>
  <si>
    <t>2009-11-08 08:44 EST</t>
  </si>
  <si>
    <t>2009-11-09 08:11:41 EST</t>
  </si>
  <si>
    <t>[('CREATED', '2009-11-08 08:44 EST'), ('daniel_megert, markus_keller', '2009-11-09 08:11:41 EST', 'markus.kell.r'), ('deepak.azad', '2009-11-09 08:11:41 EST', 'markus.kell.r'), ('3.6 M4', '2009-11-09 08:11:41 EST', 'markus.kell.r'), ('RESOLVED', '2009-11-17 02:58:14 EST', 'daniel_megert'), ('FIXED', '2009-11-17 02:58:14 EST', 'daniel_megert'), ('iplog+, review+', '2009-11-17 02:59:17 EST', 'daniel_megert'), ('VERIFIED', '2009-12-08 04:01:33 EST', 'raksha.vasisht'), ('raksha.vasisht', '2009-12-08 04:01:33 EST', 'raksha.vasisht')]</t>
  </si>
  <si>
    <t>327190 (view as bug list)</t>
  </si>
  <si>
    <t>2009-11-12 13:42:29 EST</t>
  </si>
  <si>
    <t>2009-11-13 02:57:37 EST</t>
  </si>
  <si>
    <t>2009-11-11 06:17 EST</t>
  </si>
  <si>
    <t>2009-11-11 06:50:57 EST</t>
  </si>
  <si>
    <t>2010-10-08 09:23:14 EDT</t>
  </si>
  <si>
    <t>[('CREATED', '2009-11-11 06:17 EST'), ('david.balazic', '2009-11-11 06:50:57 EST', 'david.balazic'), ('markus_keller', '2009-11-12 13:42:29 EST', 'markus.kell.r'), ('3.6 M4', '2009-11-12 13:42:29 EST', 'markus.kell.r'), ('RESOLVED', '2009-11-12 13:42:29 EST', 'markus.kell.r'), ('markus_keller', '2009-11-12 13:42:29 EST', 'markus.kell.r'), ('FIXED', '2009-11-12 13:42:29 EST', 'markus.kell.r'), ('VERIFIED', '2009-11-13 02:57:37 EST', 'daniel_megert'), ('gjevremovic', '2010-10-08 09:23:14 EDT', 'markus.kell.r')]</t>
  </si>
  <si>
    <t>2010-02-03 08:56:39 EST</t>
  </si>
  <si>
    <t>2009-11-12 09:33 EST</t>
  </si>
  <si>
    <t>2009-11-16 03:03:04 EST</t>
  </si>
  <si>
    <t>2010-02-11 09:53:19 EST</t>
  </si>
  <si>
    <t>[('CREATED', '2009-11-12 09:33 EST'), ('deepak.azad', '2009-11-16 03:03:04 EST', 'daniel_megert'), ('3.6 M4', '2009-11-16 03:03:04 EST', 'daniel_megert'), ('daniel_megert', '2009-11-16 03:03:04 EST', 'daniel_megert'), ('markus_keller', '2009-12-07 13:42:45 EST', 'markus.kell.r'), ('3.6 M5', '2009-12-07 13:42:45 EST', 'markus.kell.r'), ('P2', '2010-01-25 12:07:06 EST', 'daniel_megert'), ('3.6 M6', '2010-01-25 12:07:06 EST', 'daniel_megert'), ('review?(daniel_megert)', '2010-01-25 12:07:06 EST', 'daniel_megert'), ('iplog+, review+', '2010-02-02 10:48:52 EST', 'daniel_megert'), ('RESOLVED', '2010-02-03 08:56:39 EST', 'daniel_megert'), ('All', '2010-02-03 08:56:39 EST', 'daniel_megert'), ('FIXED', '2010-02-03 08:56:39 EST', 'daniel_megert'), ('All', '2010-02-03 08:56:39 EST', 'daniel_megert'), ('iplog+, review+', '2010-02-03 08:57:25 EST', 'daniel_megert'), ('review+', '2010-02-11 09:53:19 EST', 'daniel_megert')]</t>
  </si>
  <si>
    <t>2019-06-10 11:05:19 EDT</t>
  </si>
  <si>
    <t>2009-11-13 04:50 EST</t>
  </si>
  <si>
    <t>2009-11-13 08:47:08 EST</t>
  </si>
  <si>
    <t>[('CREATED', '2009-11-13 04:50 EST'), ('UI', '2009-11-13 08:47:08 EST', 'Olivier_Thomann'), ('jdt-ui-inbox', '2009-11-13 08:47:08 EST', 'Olivier_Thomann'), ('Olivier_Thomann', '2009-11-13 08:47:08 EST', 'Olivier_Thomann'), ('ASSIGNED', '2009-11-16 04:46:03 EST', 'markus.kell.r'), ('markus_keller', '2009-11-16 04:46:03 EST', 'markus.kell.r'), ('"Use supertype where possible" doesn\'t work for Generics', '2009-11-16 04:46:03 EST', 'markus.kell.r'), ('normal', '2009-11-16 04:46:03 EST', 'markus.kell.r'), ('stalebug', '2019-06-07 17:19:20 EDT', 'genie'), ('WORKSFORME', '2019-06-10 11:05:19 EDT', 'daniel_megert'), ('RESOLVED', '2019-06-10 11:05:19 EDT', 'daniel_megert'), (nan, '2019-06-10 11:05:19 EDT', 'daniel_megert'), ('daniel_megert', '2019-06-10 11:05:19 EDT', 'daniel_megert')]</t>
  </si>
  <si>
    <t>299049</t>
  </si>
  <si>
    <t>2010-02-08 13:44:12 EST</t>
  </si>
  <si>
    <t>2010-02-10 04:59:48 EST</t>
  </si>
  <si>
    <t>2009-12-19 10:43:55 EST</t>
  </si>
  <si>
    <t>2009-11-13 16:20 EST</t>
  </si>
  <si>
    <t>2009-11-16 10:15:38 EST</t>
  </si>
  <si>
    <t>[('CREATED', '2009-11-13 16:20 EST'), ('RESOLVED', '2009-11-16 10:15:38 EST', 'pwebster'), ('3.4.2', '2009-11-16 10:15:38 EST', 'pwebster'), ('NOT_ECLIPSE', '2009-11-16 10:15:38 EST', 'pwebster'), ('---', '2009-12-19 10:43:55 EST', 'frankar'), ('REOPENED', '2009-12-19 10:43:55 EST', 'frankar'), ('obesedin', '2009-12-21 09:54:46 EST', 'ob1.eclipse'), ('UI', '2009-12-21 09:54:46 EST', 'ob1.eclipse'), ('jdt-ui-inbox', '2009-12-21 09:54:46 EST', 'ob1.eclipse'), ('JDT', '2009-12-21 09:54:46 EST', 'ob1.eclipse'), ('ASSIGNED', '2010-01-05 05:34:26 EST', 'markus.kell.r'), ('markus_keller', '2010-01-05 05:34:26 EST', 'markus.kell.r'), ('markus_keller', '2010-01-05 05:34:26 EST', 'markus.kell.r'), ('3.6 M5', '2010-01-05 05:34:26 EST', 'markus.kell.r'), ('299049', '2010-01-07 10:46:39 EST', 'markus.kell.r'), ('3.6 M6', '2010-01-20 11:11:11 EST', 'markus.kell.r'), ('RESOLVED', '2010-02-08 13:44:12 EST', 'markus.kell.r'), ('FIXED', '2010-02-08 13:44:12 EST', 'markus.kell.r'), ("[refactoring] java.lang.IllegalArgumentException: Illegal pattern character 'j'", '2010-02-08 13:44:12 EST', 'markus.kell.r'), ('VERIFIED', '2010-02-10 04:59:48 EST', 'markus.kell.r')]</t>
  </si>
  <si>
    <t>318471 (view as bug list)</t>
  </si>
  <si>
    <t>2011-04-21 11:58:45 EDT</t>
  </si>
  <si>
    <t>2011-04-26 10:34:34 EDT</t>
  </si>
  <si>
    <t>2009-11-16 02:03 EST</t>
  </si>
  <si>
    <t>2009-11-26 13:11:32 EST</t>
  </si>
  <si>
    <t>[('CREATED', '2009-11-16 02:03 EST'), ('Olivier_Thomann', '2009-11-26 13:11:32 EST', 'Olivier_Thomann'), ('Olivier_Thomann', '2010-02-11 15:21:45 EST', 'Olivier_Thomann'), ('markus_keller', '2010-03-17 12:02:53 EDT', 'Olivier_Thomann'), ('[ASTrewrite] Inline local variable refactoring deletes comment right before the variable declaration', '2010-03-18 13:13:09 EDT', 'Olivier_Thomann'), ('jdt-ui-inbox', '2010-03-18 13:46:04 EDT', 'markus.kell.r'), ('[inline] Inline local variable refactoring deletes comment right before the variable declaration', '2010-03-18 13:46:04 EDT', 'markus.kell.r'), ('normal', '2010-03-18 13:46:04 EDT', 'markus.kell.r'), ('ASSIGNED', '2010-03-18 13:46:04 EDT', 'markus.kell.r'), ('UI', '2010-03-18 13:46:04 EDT', 'markus.kell.r'), ('deepak.azad', '2010-03-18 14:13:18 EDT', 'deepakazad'), ('fix candidate', '2010-03-19 07:38:15 EDT', 'markus.kell.r'), ('major', '2011-01-24 13:53:26 EST', 'john.arthorne'), ('johannes_rieken', '2011-01-24 14:27:22 EST', 'markus.kell.r'), ('raksha.vasisht', '2011-01-24 14:29:48 EST', 'markus.kell.r'), ('3.7', '2011-01-24 14:29:48 EST', 'markus.kell.r'), (nan, '2011-01-24 14:29:48 EST', 'markus.kell.r'), ('P2', '2011-01-25 03:01:28 EST', 'daniel_megert'), ('daniel_megert', '2011-01-25 03:01:28 EST', 'daniel_megert'), ('3.7 M7', '2011-03-02 04:50:43 EST', 'daniel_megert'), ('P3', '2011-04-05 06:12:53 EDT', 'daniel_megert'), ('review+', '2011-04-21 10:03:22 EDT', 'markus.kell.r'), ('FIXED', '2011-04-21 11:58:45 EDT', 'raksha.vasisht'), ('RESOLVED', '2011-04-21 11:58:45 EDT', 'raksha.vasisht'), ('VERIFIED', '2011-04-26 10:34:34 EDT', 'daniel_megert')]</t>
  </si>
  <si>
    <t>2009-11-16 09:22:47 EST</t>
  </si>
  <si>
    <t>2009-12-08 12:31:53 EST</t>
  </si>
  <si>
    <t>2009-11-16 04:21 EST</t>
  </si>
  <si>
    <t>2009-11-16 04:22:40 EST</t>
  </si>
  <si>
    <t>[('CREATED', '2009-11-16 04:21 EST'), ('markus_keller', '2009-11-16 04:22:40 EST', 'daniel_megert'), ('RESOLVED', '2009-11-16 09:22:47 EST', 'markus.kell.r'), ('FIXED', '2009-11-16 09:22:47 EST', 'markus.kell.r'), ('3.6 M4', '2009-11-16 09:22:47 EST', 'markus.kell.r'), ('deepak.azad', '2009-12-08 11:17:00 EST', 'deepakazad'), ('VERIFIED', '2009-12-08 12:31:53 EST', 'markus.kell.r')]</t>
  </si>
  <si>
    <t>2009-12-07 12:01:02 EST</t>
  </si>
  <si>
    <t>2009-11-17 05:04 EST</t>
  </si>
  <si>
    <t>2009-11-18 12:24:07 EST</t>
  </si>
  <si>
    <t>[('CREATED', '2009-11-17 05:04 EST'), ('Olivier_Thomann', '2009-11-18 12:24:07 EST', 'Olivier_Thomann'), ('UI', '2009-11-18 12:24:07 EST', 'Olivier_Thomann'), ('jdt-ui-inbox', '2009-11-18 12:24:07 EST', 'Olivier_Thomann'), ('ASSIGNED', '2009-12-07 11:56:55 EST', 'markus.kell.r'), ('markus_keller', '2009-12-07 11:56:55 EST', 'markus.kell.r'), ('markus_keller', '2009-12-07 11:56:55 EST', 'markus.kell.r'), ('3.6 M4', '2009-12-07 11:56:55 EST', 'markus.kell.r'), ('[change method signature] Error attempting to change method signature when method uses generic exception', '2009-12-07 12:00:31 EST', 'markus.kell.r'), ('RESOLVED', '2009-12-07 12:01:02 EST', 'markus.kell.r'), ('FIXED', '2009-12-07 12:01:02 EST', 'markus.kell.r')]</t>
  </si>
  <si>
    <t>303108</t>
  </si>
  <si>
    <t>194358 235253 295220 297828 304174</t>
  </si>
  <si>
    <t>2010-03-05 18:15:52 EST</t>
  </si>
  <si>
    <t>2009-11-19 13:44 EST</t>
  </si>
  <si>
    <t>2009-11-19 14:03:33 EST</t>
  </si>
  <si>
    <t>[('CREATED', '2009-11-19 13:44 EST'), ('ASSIGNED', '2009-11-19 14:03:33 EST', 'markus.kell.r'), ('markus_keller', '2009-11-19 14:03:33 EST', 'markus.kell.r'), ('3.6 M4', '2009-11-19 14:03:33 EST', 'markus.kell.r'), ('194358', '2009-11-23 00:04:10 EST', 'jarthana'), ('daniel_megert', '2009-11-23 02:55:50 EST', 'daniel_megert'), ('deepak.azad', '2009-12-01 07:25:21 EST', 'markus.kell.r'), ('3.6 M5', '2009-12-01 07:25:21 EST', 'markus.kell.r'), ('1', '2010-01-19 13:31:22 EST', 'deepakazad'), ('295220', '2010-01-22 10:33:55 EST', 'Olivier_Thomann'), ('kellyc', '2010-01-22 10:37:18 EST', 'kellyc'), ('3.6 M6', '2010-01-25 05:47:35 EST', 'daniel_megert'), ('297828', '2010-01-25 11:39:53 EST', 'markus.kell.r'), ('303108', '2010-02-17 14:21:09 EST', 'markus.kell.r'), ('iplog+', '2010-02-18 16:29:14 EST', 'markus.kell.r'), ('304174', '2010-03-01 08:06:40 EST', 'markus.kell.r'), ('1', '2010-03-03 06:29:22 EST', 'deepakazad'), ('RESOLVED', '2010-03-05 18:15:52 EST', 'markus.kell.r'), ('FIXED', '2010-03-05 18:15:52 EST', 'markus.kell.r')]</t>
  </si>
  <si>
    <t>2009-12-01 13:45:58 EST</t>
  </si>
  <si>
    <t>2009-12-01 11:21 EST</t>
  </si>
  <si>
    <t>[('CREATED', '2009-12-01 11:21 EST'), ('markus_keller', '2009-12-01 13:45:58 EST', 'markus.kell.r'), ('INVALID', '2009-12-01 13:45:58 EST', 'markus.kell.r'), ('RESOLVED', '2009-12-01 13:45:58 EST', 'markus.kell.r')]</t>
  </si>
  <si>
    <t>2010-01-25 14:24:05 EST</t>
  </si>
  <si>
    <t>2009-12-03 05:38 EST</t>
  </si>
  <si>
    <t>2009-12-03 08:04:40 EST</t>
  </si>
  <si>
    <t>[('CREATED', '2009-12-03 05:38 EST'), ('markus_keller', '2009-12-03 08:04:40 EST', 'markus.kell.r'), ('markus_keller', '2009-12-03 08:04:40 EST', 'markus.kell.r'), ('3.6 M5', '2009-12-03 08:04:40 EST', 'markus.kell.r'), ('RESOLVED', '2010-01-25 14:24:05 EST', 'markus.kell.r'), ('FIXED', '2010-01-25 14:24:05 EST', 'markus.kell.r')]</t>
  </si>
  <si>
    <t>2010-11-12 04:36:21 EST</t>
  </si>
  <si>
    <t>2010-11-11 11:22:18 EST</t>
  </si>
  <si>
    <t>2009-12-03 07:32 EST</t>
  </si>
  <si>
    <t>2009-12-03 07:32:56 EST</t>
  </si>
  <si>
    <t>2011-01-18 11:49:58 EST</t>
  </si>
  <si>
    <t>[('CREATED', '2009-12-03 07:32 EST'), ('geraskov', '2009-12-03 07:32:56 EST', 'geraskov'), ('Text', '2009-12-03 08:33:38 EST', 'Olivier_Thomann'), ('jdt-text-inbox', '2009-12-03 08:33:38 EST', 'Olivier_Thomann'), ('Olivier_Thomann', '2009-12-03 08:33:38 EST', 'Olivier_Thomann'), ('markus_keller', '2009-12-03 09:39:39 EST', 'markus.kell.r'), ('UI', '2009-12-03 09:39:39 EST', 'markus.kell.r'), ('jdt-ui-inbox', '2009-12-03 09:39:39 EST', 'markus.kell.r'), ('3.6 M5', '2009-12-03 09:39:39 EST', 'markus.kell.r'), ('DocumentChange fails if document is not thread safe', '2009-12-03 09:39:39 EST', 'markus.kell.r'), ('markus_keller', '2009-12-03 09:40:01 EST', 'markus.kell.r'), ('daniel_megert', '2009-12-03 09:45:49 EST', 'daniel_megert'), ('vyemialyanchyk', '2009-12-08 07:32:46 EST', 'vyemialyanchyk'), ('3.6 M6', '2010-01-25 06:58:27 EST', 'markus.kell.r'), ('3.6 M7', '2010-03-08 09:11:54 EST', 'markus.kell.r'), ('sokorac', '2010-03-30 10:56:55 EDT', 'sokorac'), ('P2', '2010-03-30 11:00:00 EDT', 'daniel_megert'), ('RESOLVED', '2010-04-21 16:15:17 EDT', 'markus.kell.r'), ('FIXED', '2010-04-21 16:15:17 EDT', 'markus.kell.r'), ('REOPENED', '2010-04-21 16:17:12 EDT', 'markus.kell.r'), ('---', '2010-04-21 16:17:12 EDT', 'markus.kell.r'), ('RESOLVED', '2010-04-21 16:49:17 EDT', 'markus.kell.r'), ('FIXED', '2010-04-21 16:49:17 EDT', 'markus.kell.r'), ('REOPENED', '2010-11-11 11:22:18 EST', 'jan.koehnlein'), ('---', '2010-11-11 11:22:18 EST', 'jan.koehnlein'), ('jan.koehnlein', '2010-11-11 11:22:18 EST', 'jan.koehnlein'), ('jan.koehnlein', '2010-11-11 11:23:19 EST', 'jan.koehnlein'), ('RESOLVED', '2010-11-12 04:36:21 EST', 'daniel_megert'), ('FIXED', '2010-11-12 04:36:21 EST', 'daniel_megert'), ('markus_keller', '2010-11-12 04:36:48 EST', 'daniel_megert'), ('[ltk] DocumentChange fails if document is not thread safe', '2010-11-17 06:33:05 EST', 'daniel_megert'), ('1', '2011-01-18 11:49:58 EST', 'markus.kell.r')]</t>
  </si>
  <si>
    <t>2020-05-12 07:58:56 EDT</t>
  </si>
  <si>
    <t>2009-12-07 04:04 EST</t>
  </si>
  <si>
    <t>2009-12-07 04:07:49 EST</t>
  </si>
  <si>
    <t>[('CREATED', '2009-12-07 04:04 EST'), ('giribaxi, raji', '2009-12-07 04:07:49 EST', 'giribaxi'), ('3.5.1', '2009-12-07 04:07:49 EST', 'giribaxi'), ('jdt-ui-inbox', '2011-08-16 06:29:23 EDT', 'Szymon.Brandys'), ('JDT', '2011-08-16 06:29:23 EDT', 'Szymon.Brandys'), ('markus_keller, Szymon.Brandys', '2011-08-16 06:29:23 EDT', 'Szymon.Brandys'), ('UI', '2011-08-16 06:29:23 EDT', 'Szymon.Brandys'), ('john_arthorne', '2011-08-16 11:13:35 EDT', 'john.arthorne'), ('deepak.azad', '2011-11-23 06:37:00 EST', 'deepakazad'), ('CLOSED', '2020-05-12 07:58:56 EDT', 'genie'), ('WONTFIX', '2020-05-12 07:58:56 EDT', 'genie'), ('stalebug', '2020-05-12 07:58:56 EDT', 'genie')]</t>
  </si>
  <si>
    <t>CLOSED  DUPLICATE  of bug 297752</t>
  </si>
  <si>
    <t>2010-01-28 10:25:17 EST</t>
  </si>
  <si>
    <t>2009-12-07 11:57 EST</t>
  </si>
  <si>
    <t>2009-12-07 15:08:41 EST</t>
  </si>
  <si>
    <t>[('CREATED', '2009-12-07 11:57 EST'), ('Olivier_Thomann', '2009-12-07 15:08:41 EST', 'Olivier_Thomann'), ('UI', '2009-12-10 09:18:23 EST', 'Olivier_Thomann'), ('jdt-ui-inbox', '2009-12-10 09:18:23 EST', 'Olivier_Thomann'), ('ASSIGNED', '2009-12-10 14:16:27 EST', 'markus.kell.r'), ('markus_keller', '2009-12-10 14:16:27 EST', 'markus.kell.r'), ('[reorg] Refactoring: Textual move members does not allow compilation unit as target', '2009-12-10 14:16:27 EST', 'markus.kell.r'), ('CLOSED', '2010-01-28 10:25:17 EST', 'markus.kell.r'), ('DUPLICATE', '2010-01-28 10:25:17 EST', 'markus.kell.r')]</t>
  </si>
  <si>
    <t>2009-12-09 12:07:09 EST</t>
  </si>
  <si>
    <t>2009-12-08 10:39 EST</t>
  </si>
  <si>
    <t>[('CREATED', '2009-12-08 10:39 EST'), ('RESOLVED', '2009-12-09 12:07:09 EST', 'markus.kell.r'), ('markus_keller', '2009-12-09 12:07:09 EST', 'markus.kell.r'), ('WORKSFORME', '2009-12-09 12:07:09 EST', 'markus.kell.r')]</t>
  </si>
  <si>
    <t>2010-01-12 11:51:37 EST</t>
  </si>
  <si>
    <t>2009-12-09 15:26 EST</t>
  </si>
  <si>
    <t>2009-12-09 15:27:50 EST</t>
  </si>
  <si>
    <t>[('CREATED', '2009-12-09 15:26 EST'), ('cisco, nrekha', '2009-12-09 15:27:50 EST', 'nrekha'), ('daniel_megert', '2009-12-10 01:47:47 EST', 'daniel_megert'), ('All', '2009-12-10 01:47:47 EST', 'daniel_megert'), ('daniel_megert', '2009-12-10 01:47:47 EST', 'daniel_megert'), ('3.6 M5', '2009-12-10 01:47:47 EST', 'daniel_megert'), ('All', '2009-12-10 01:47:47 EST', 'daniel_megert'), ('enhancement', '2009-12-10 01:47:47 EST', 'daniel_megert'), ('pwebster', '2009-12-14 14:21:31 EST', 'pwebster'), ('RESOLVED', '2010-01-12 11:51:37 EST', 'daniel_megert'), ('FIXED', '2010-01-12 11:51:37 EST', 'daniel_megert')]</t>
  </si>
  <si>
    <t>2010-01-13 04:32:23 EST</t>
  </si>
  <si>
    <t>2010-01-27 05:47:56 EST</t>
  </si>
  <si>
    <t>2009-12-10 03:31 EST</t>
  </si>
  <si>
    <t>2009-12-10 05:28:48 EST</t>
  </si>
  <si>
    <t>[('CREATED', '2009-12-10 03:31 EST'), ('Pawel.Pogorzelski', '2009-12-10 05:28:48 EST', 'pawel.pogorzelski1'), ('UI', '2009-12-10 05:33:15 EST', 'pawel.pogorzelski1'), ('jdt-ui-inbox', '2009-12-10 05:33:15 EST', 'pawel.pogorzelski1'), ('JDT', '2009-12-10 05:33:15 EST', 'pawel.pogorzelski1'), ('markus_keller', '2009-12-10 09:43:16 EST', 'markus.kell.r'), ('raksha.vasisht', '2009-12-10 09:43:16 EST', 'markus.kell.r'), ("[ccp] Can't copy files out of a JAR", '2009-12-10 09:43:16 EST', 'markus.kell.r'), ('daniel_megert', '2009-12-14 04:26:48 EST', 'daniel_megert'), ('3.6 M5', '2009-12-14 04:26:48 EST', 'daniel_megert'), ('review-', '2009-12-17 08:43:13 EST', 'markus.kell.r'), ('1', '2010-01-05 03:54:55 EST', 'raksha.vasisht'), ('FIXED', '2010-01-13 04:32:23 EST', 'raksha.vasisht'), ('RESOLVED', '2010-01-13 04:32:23 EST', 'raksha.vasisht'), ('deepak.azad', '2010-01-26 07:32:08 EST', 'deepakazad'), ('VERIFIED', '2010-01-27 05:47:56 EST', 'daniel_megert')]</t>
  </si>
  <si>
    <t>297808</t>
  </si>
  <si>
    <t>2010-01-19 04:39:22 EST</t>
  </si>
  <si>
    <t>2009-12-11 17:31:57 EST</t>
  </si>
  <si>
    <t>2009-12-10 14:55 EST</t>
  </si>
  <si>
    <t>2009-12-10 14:55:32 EST</t>
  </si>
  <si>
    <t>[('CREATED', '2009-12-10 14:55 EST'), ('cisco, nrekha', '2009-12-10 14:55:32 EST', 'nrekha'), ('remysuen', '2009-12-10 17:04:14 EST', 'remy.suen'), ('pwebster', '2009-12-10 17:06:39 EST', 'pwebster'), ('nitind', '2009-12-10 17:22:39 EST', 'thatnitind'), ('RESOLVED', '2009-12-11 07:15:20 EST', 'daniel_megert'), ('daniel_megert, Darin_Wright', '2009-12-11 07:15:20 EST', 'daniel_megert'), ('NOT_ECLIPSE', '2009-12-11 07:15:20 EST', 'daniel_megert'), ('REOPENED', '2009-12-11 17:31:57 EST', 'nrekha'), ('---', '2009-12-11 17:31:57 EST', 'nrekha'), ('lj', '2009-12-14 14:06:28 EST', 'lj'), ('grprakash', '2009-12-15 03:23:55 EST', 'prakash'), ('All', '2009-12-15 03:37:55 EST', 'daniel_megert'), ('daniel_megert', '2009-12-15 03:37:55 EST', 'daniel_megert'), ('3.6 M5', '2009-12-15 03:37:55 EST', 'daniel_megert'), ('All', '2009-12-15 03:37:55 EST', 'daniel_megert'), ('enhancement', '2009-12-15 03:37:55 EST', 'daniel_megert'), ('297808', '2009-12-15 03:41:10 EST', 'daniel_megert'), ('ASSIGNED', '2009-12-15 03:42:16 EST', 'daniel_megert'), ('RESOLVED', '2010-01-19 04:39:22 EST', 'daniel_megert'), ('FIXED', '2010-01-19 04:39:22 EST', 'daniel_megert')]</t>
  </si>
  <si>
    <t>2010-03-29 09:06:53 EDT</t>
  </si>
  <si>
    <t>2009-12-11 04:10 EST</t>
  </si>
  <si>
    <t>2009-12-11 12:19:44 EST</t>
  </si>
  <si>
    <t>[('CREATED', '2009-12-11 04:10 EST'), ('needinfo', '2009-12-11 12:19:44 EST', 'Olivier_Thomann'), ('Olivier_Thomann', '2009-12-11 12:19:44 EST', 'Olivier_Thomann'), ('Olivier_Thomann', '2009-12-11 12:19:44 EST', 'Olivier_Thomann'), ('eclipse', '2010-02-11 12:19:24 EST', 'eclipse'), (nan, '2010-03-18 15:26:05 EDT', 'Olivier_Thomann'), ('UI', '2010-03-18 15:26:05 EDT', 'Olivier_Thomann'), ('jdt-ui-inbox', '2010-03-18 15:26:05 EDT', 'Olivier_Thomann'), ('P2', '2010-03-24 03:54:50 EDT', 'daniel_megert'), ('daniel_megert, markus_keller', '2010-03-24 03:54:50 EDT', 'daniel_megert'), ('markus_keller', '2010-03-24 03:54:50 EDT', 'daniel_megert'), ('RESOLVED', '2010-03-29 09:06:53 EDT', 'markus.kell.r'), ('FIXED', '2010-03-29 09:06:53 EDT', 'markus.kell.r'), ('3.6 M7', '2010-03-29 09:06:53 EDT', 'markus.kell.r'), ('[clean up] StackOverflow in callsWrittingConstructor of VariableDeclarationFinder in VariableDeclarationFix on Save', '2010-03-29 09:06:53 EDT', 'markus.kell.r')]</t>
  </si>
  <si>
    <t>2010-01-19 04:54:18 EST</t>
  </si>
  <si>
    <t>2010-01-26 04:37:43 EST</t>
  </si>
  <si>
    <t>2009-12-14 13:16 EST</t>
  </si>
  <si>
    <t>2010-01-19 04:38:42 EST</t>
  </si>
  <si>
    <t>2010-01-26 07:11:16 EST</t>
  </si>
  <si>
    <t>[('CREATED', '2009-12-14 13:16 EST'), ('[inline] inlining autoboxed constant gives bad cast', '2010-01-19 04:38:42 EST', 'markus.kell.r'), ('markus_keller', '2010-01-19 04:38:42 EST', 'markus.kell.r'), ('markus_keller', '2010-01-19 04:38:42 EST', 'markus.kell.r'), ('RESOLVED', '2010-01-19 04:54:18 EST', 'markus.kell.r'), ('FIXED', '2010-01-19 04:54:18 EST', 'markus.kell.r'), ('3.6 M5', '2010-01-19 04:54:18 EST', 'markus.kell.r'), ('VERIFIED', '2010-01-26 04:37:43 EST', 'daniel_megert'), ('daniel_megert', '2010-01-26 04:37:43 EST', 'daniel_megert'), ('deepak.azad', '2010-01-26 07:11:16 EST', 'deepakazad')]</t>
  </si>
  <si>
    <t>2010-01-06 05:47:25 EST</t>
  </si>
  <si>
    <t>2009-12-16 14:46 EST</t>
  </si>
  <si>
    <t>2009-12-16 14:54:04 EST</t>
  </si>
  <si>
    <t>[('CREATED', '2009-12-16 14:46 EST'), ('Olivier_Thomann', '2009-12-16 14:54:04 EST', 'Olivier_Thomann'), ('UI', '2009-12-16 14:54:04 EST', 'Olivier_Thomann'), ('jdt-ui-inbox', '2009-12-16 14:54:04 EST', 'Olivier_Thomann'), ('daniel_megert', '2010-01-06 05:47:25 EST', 'daniel_megert'), ('WONTFIX', '2010-01-06 05:47:25 EST', 'daniel_megert'), ('[reorg] Should be easier way to rename "src" to "src/java"', '2010-01-06 05:47:25 EST', 'daniel_megert'), ('RESOLVED', '2010-01-06 05:47:25 EST', 'daniel_megert')]</t>
  </si>
  <si>
    <t>2009-12-18 06:24:17 EST</t>
  </si>
  <si>
    <t>2009-12-16 21:24 EST</t>
  </si>
  <si>
    <t>2009-12-16 21:47:25 EST</t>
  </si>
  <si>
    <t>[('CREATED', '2009-12-16 21:24 EST'), ('raji', '2009-12-16 21:47:25 EST', 'raji'), ('daniel_megert', '2009-12-17 10:12:27 EST', 'daniel_megert'), ('RESOLVED', '2009-12-18 06:24:17 EST', 'markus.kell.r'), ('markus_keller', '2009-12-18 06:24:17 EST', 'markus.kell.r'), ('3.4.2', '2009-12-18 06:24:17 EST', 'markus.kell.r'), ('NOT_ECLIPSE', '2009-12-18 06:24:17 EST', 'markus.kell.r')]</t>
  </si>
  <si>
    <t>2010-01-05 14:09:07 EST</t>
  </si>
  <si>
    <t>2010-01-11 06:49:18 EST</t>
  </si>
  <si>
    <t>2009-12-17 07:05 EST</t>
  </si>
  <si>
    <t>tomasz.zarna</t>
  </si>
  <si>
    <t>[('CREATED', '2009-12-17 07:05 EST'), ('RESOLVED', '2010-01-05 14:09:07 EST', 'markus.kell.r'), ('markus_keller', '2010-01-05 14:09:07 EST', 'markus.kell.r'), ('FIXED', '2010-01-05 14:09:07 EST', 'markus.kell.r'), ('markus_keller', '2010-01-05 14:09:07 EST', 'markus.kell.r'), ('3.6 M5', '2010-01-05 14:09:07 EST', 'markus.kell.r'), ('[nls tooling] Refactoring removes comments in *.properties when done for a message key', '2010-01-05 14:09:07 EST', 'markus.kell.r'), ('VERIFIED', '2010-01-11 06:49:18 EST', 'tomasz.zarna')]</t>
  </si>
  <si>
    <t>2010-01-05 08:48:10 EST</t>
  </si>
  <si>
    <t>2009-12-21 05:07 EST</t>
  </si>
  <si>
    <t>2009-12-21 05:08:34 EST</t>
  </si>
  <si>
    <t>[('CREATED', '2009-12-21 05:07 EST'), ('spierepf', '2009-12-21 05:08:34 EST', 'spierepf'), ('UI', '2009-12-21 08:18:40 EST', 'frederic_fusier'), ('jdt-ui-inbox', '2009-12-21 08:18:40 EST', 'frederic_fusier'), ('markus_keller', '2010-01-05 08:47:40 EST', 'markus.kell.r'), ('3.6 M5', '2010-01-05 08:47:40 EST', 'markus.kell.r'), ('[introduce factory] Introduce Factory gets confused when replacing vararg constructor', '2010-01-05 08:47:40 EST', 'markus.kell.r'), ('markus_keller', '2010-01-05 08:47:40 EST', 'markus.kell.r'), ('RESOLVED', '2010-01-05 08:48:10 EST', 'markus.kell.r'), ('FIXED', '2010-01-05 08:48:10 EST', 'markus.kell.r')]</t>
  </si>
  <si>
    <t>CLOSED  DUPLICATE  of bug 139719</t>
  </si>
  <si>
    <t>2010-01-12 23:55 EST</t>
  </si>
  <si>
    <t>[('CREATED', '2010-01-12 23:55 EST'), ('CLOSED', '2010-01-13 04:04:41 EST', 'daniel_megert'), ('daniel_megert', '2010-01-13 04:04:41 EST', 'daniel_megert'), ('DUPLICATE', '2010-01-13 04:04:41 EST', 'daniel_megert'), ('[change method signature] Adding a new int parameter gives compile errors', '2010-01-13 04:04:41 EST', 'daniel_megert')]</t>
  </si>
  <si>
    <t>CLOSED  DUPLICATE  of bug 37772</t>
  </si>
  <si>
    <t>2010-01-15 05:09:24 EST</t>
  </si>
  <si>
    <t>2010-01-13 17:16 EST</t>
  </si>
  <si>
    <t>2010-01-14 09:38:58 EST</t>
  </si>
  <si>
    <t>[('CREATED', '2010-01-13 17:16 EST'), ('Text', '2010-01-14 09:38:58 EST', 'ob1.eclipse'), ('3.5', '2010-01-14 09:38:58 EST', 'ob1.eclipse'), ('jdt-text-inbox', '2010-01-14 09:38:58 EST', 'ob1.eclipse'), ('JDT', '2010-01-14 09:38:58 EST', 'ob1.eclipse'), ('UI', '2010-01-15 05:08:59 EST', 'daniel_megert'), ('jdt-ui-inbox', '2010-01-15 05:08:59 EST', 'daniel_megert'), ('[expand selection] Expand Selection Too Coarse Grained', '2010-01-15 05:08:59 EST', 'daniel_megert'), ('daniel_megert', '2010-01-15 05:08:59 EST', 'daniel_megert'), ('CLOSED', '2010-01-15 05:09:24 EST', 'daniel_megert'), ('DUPLICATE', '2010-01-15 05:09:24 EST', 'daniel_megert')]</t>
  </si>
  <si>
    <t>2010-01-20 11:44:12 EST</t>
  </si>
  <si>
    <t>2010-01-26 02:58:55 EST</t>
  </si>
  <si>
    <t>2010-01-14 08:49 EST</t>
  </si>
  <si>
    <t>2010-01-14 08:57:32 EST</t>
  </si>
  <si>
    <t>[('CREATED', '2010-01-14 08:49 EST'), ('3.6 M5', '2010-01-14 08:57:32 EST', 'daniel_megert'), ('RESOLVED', '2010-01-20 11:44:12 EST', 'markus.kell.r'), ('FIXED', '2010-01-20 11:44:12 EST', 'markus.kell.r'), ('[refactoring] We need to restore JavaMoveProcessor.canUpdateReferences()', '2010-01-20 11:44:12 EST', 'markus.kell.r'), ('VERIFIED', '2010-01-26 02:58:55 EST', 'daniel_megert')]</t>
  </si>
  <si>
    <t>2010-01-15 07:13:03 EST</t>
  </si>
  <si>
    <t>2010-01-25 08:25:20 EST</t>
  </si>
  <si>
    <t>2010-01-14 12:27 EST</t>
  </si>
  <si>
    <t>2010-01-14 12:27:27 EST</t>
  </si>
  <si>
    <t>[('CREATED', '2010-01-14 12:27 EST'), ('3.6 M5', '2010-01-14 12:27:27 EST', 'daniel_megert'), ('RESOLVED', '2010-01-15 07:13:03 EST', 'raksha.vasisht'), ('FIXED', '2010-01-15 07:13:03 EST', 'raksha.vasisht'), ('VERIFIED', '2010-01-25 08:25:20 EST', 'daniel_megert')]</t>
  </si>
  <si>
    <t>CLOSED  DUPLICATE  of bug 188595</t>
  </si>
  <si>
    <t>2010-01-20 06:45:35 EST</t>
  </si>
  <si>
    <t>2010-01-19 11:49 EST</t>
  </si>
  <si>
    <t>2010-01-19 11:53:43 EST</t>
  </si>
  <si>
    <t>[('CREATED', '2010-01-19 11:49 EST'), ('daniel_megert', '2010-01-19 11:53:43 EST', 'daniel_megert'), ('UI', '2010-01-19 11:53:43 EST', 'daniel_megert'), ('jdt-ui-inbox', '2010-01-19 11:53:43 EST', 'daniel_megert'), ('[pull up] Pull up refactoring broken for pulling method from concrete class to interface', '2010-01-19 11:53:43 EST', 'daniel_megert'), ('DUPLICATE', '2010-01-20 06:45:35 EST', 'markus.kell.r'), ('CLOSED', '2010-01-20 06:45:35 EST', 'markus.kell.r'), ('markus_keller', '2010-01-20 06:45:35 EST', 'markus.kell.r')]</t>
  </si>
  <si>
    <t>2010-01-24 19:03:51 EST</t>
  </si>
  <si>
    <t>2010-01-26 04:45:55 EST</t>
  </si>
  <si>
    <t>2010-01-22 14:01 EST</t>
  </si>
  <si>
    <t>2010-01-22 16:56:31 EST</t>
  </si>
  <si>
    <t>[('CREATED', '2010-01-22 14:01 EST'), ('Olivier_Thomann', '2010-01-22 16:56:31 EST', 'Olivier_Thomann'), ('major', '2010-01-22 17:00:31 EST', 'bokowski'), ('markus_keller', '2010-01-24 16:16:41 EST', 'markus.kell.r'), ('markus_keller', '2010-01-24 16:16:41 EST', 'markus.kell.r'), ('3.6 M5', '2010-01-24 16:16:41 EST', 'markus.kell.r'), ('[quick fix] Invalid thread access while undoing quick fix', '2010-01-24 16:16:41 EST', 'markus.kell.r'), ('RESOLVED', '2010-01-24 19:03:51 EST', 'markus.kell.r'), ('FIXED', '2010-01-24 19:03:51 EST', 'markus.kell.r'), ('raksha.vasisht', '2010-01-25 15:52:38 EST', 'raksha.vasisht'), ('VERIFIED', '2010-01-26 04:45:55 EST', 'daniel_megert'), ('daniel_megert', '2010-01-26 04:45:55 EST', 'daniel_megert')]</t>
  </si>
  <si>
    <t>2010-01-25 17:30 EST</t>
  </si>
  <si>
    <t>2010-01-27 05:14:39 EST</t>
  </si>
  <si>
    <t>2019-09-08 12:39:25 EDT</t>
  </si>
  <si>
    <t>[('CREATED', '2010-01-25 17:30 EST'), ('ASSIGNED', '2010-01-27 05:14:39 EST', 'markus.kell.r'), ('markus_keller', '2010-01-27 05:14:39 EST', 'markus.kell.r'), ('eclipse.rc', '2013-10-22 10:23:27 EDT', 'eclipse'), ('stalebug', '2019-09-08 12:39:25 EDT', 'genie')]</t>
  </si>
  <si>
    <t>2010-01-26 17:04:14 EST</t>
  </si>
  <si>
    <t>2010-01-27 05:41:33 EST</t>
  </si>
  <si>
    <t>2010-01-26 08:14 EST</t>
  </si>
  <si>
    <t>2010-01-26 08:57:53 EST</t>
  </si>
  <si>
    <t>[('CREATED', '2010-01-26 08:14 EST'), ('ASSIGNED', '2010-01-26 08:57:53 EST', 'markus.kell.r'), ('3.6 M5', '2010-01-26 08:57:53 EST', 'markus.kell.r'), ('[clean up] Invalid thread access after undo', '2010-01-26 08:57:53 EST', 'markus.kell.r'), ('john_arthorne', '2010-01-26 14:20:12 EST', 'john.arthorne'), ('RESOLVED', '2010-01-26 17:04:14 EST', 'markus.kell.r'), ('FIXED', '2010-01-26 17:04:14 EST', 'markus.kell.r'), ('VERIFIED', '2010-01-27 05:41:33 EST', 'daniel_megert')]</t>
  </si>
  <si>
    <t>2010-03-30 04:04:51 EDT</t>
  </si>
  <si>
    <t>2010-01-27 07:22 EST</t>
  </si>
  <si>
    <t>2010-01-27 08:44:31 EST</t>
  </si>
  <si>
    <t>[('CREATED', '2010-01-27 07:22 EST'), ('needinfo', '2010-01-27 08:44:31 EST', 'markus.kell.r'), ('ASSIGNED', '2010-01-27 08:44:31 EST', 'markus.kell.r'), ('markus_keller', '2010-01-27 08:44:31 EST', 'markus.kell.r'), ('[rename] Rename Java package--encoding problem', '2010-01-27 08:45:38 EST', 'markus.kell.r'), ('NEW', '2010-01-27 09:49:25 EST', 'markus.kell.r'), ('daniel_megert', '2010-03-30 04:04:51 EDT', 'daniel_megert'), ('WORKSFORME', '2010-03-30 04:04:51 EDT', 'daniel_megert'), ('RESOLVED', '2010-03-30 04:04:51 EDT', 'daniel_megert')]</t>
  </si>
  <si>
    <t>CLOSED  DUPLICATE  of bug 250914</t>
  </si>
  <si>
    <t>2010-01-28 14:04 EST</t>
  </si>
  <si>
    <t>2010-01-28 14:17:49 EST</t>
  </si>
  <si>
    <t>[('CREATED', '2010-01-28 14:04 EST'), ('Olivier_Thomann', '2010-01-28 14:17:49 EST', 'Olivier_Thomann'), ('UI', '2010-01-28 14:17:49 EST', 'Olivier_Thomann'), ('jdt-ui-inbox', '2010-01-28 14:17:49 EST', 'Olivier_Thomann'), ('CLOSED', '2010-01-29 11:10:58 EST', 'markus.kell.r'), ('markus_keller', '2010-01-29 11:10:58 EST', 'markus.kell.r'), ('DUPLICATE', '2010-01-29 11:10:58 EST', 'markus.kell.r')]</t>
  </si>
  <si>
    <t>2010-01-29 10:19:06 EST</t>
  </si>
  <si>
    <t>2010-01-29 19:13:09 EST</t>
  </si>
  <si>
    <t>2010-01-29 08:34 EST</t>
  </si>
  <si>
    <t>2010-01-29 09:23:07 EST</t>
  </si>
  <si>
    <t>[('CREATED', '2010-01-29 08:34 EST'), ('Boris_Bokowski, daniel_megert, susan_franklin', '2010-01-29 09:23:07 EST', 'markus.kell.r'), ('markus_keller', '2010-01-29 09:23:07 EST', 'markus.kell.r'), ('3.6 M5', '2010-01-29 09:23:07 EST', 'markus.kell.r'), ('RESOLVED', '2010-01-29 10:19:06 EST', 'markus.kell.r'), ('FIXED', '2010-01-29 10:19:06 EST', 'markus.kell.r'), ('remysuen', '2010-01-29 10:24:23 EST', 'remy.suen'), ('VERIFIED', '2010-01-29 19:13:09 EST', 'markus.kell.r')]</t>
  </si>
  <si>
    <t>2010-02-08 04:29:14 EST</t>
  </si>
  <si>
    <t>2010-02-05 05:30 EST</t>
  </si>
  <si>
    <t>[('CREATED', '2010-02-05 05:30 EST'), ('CLOSED', '2010-02-08 04:29:14 EST', 'daniel_megert'), ('daniel_megert', '2010-02-08 04:29:14 EST', 'daniel_megert'), ('DUPLICATE', '2010-02-08 04:29:14 EST', 'daniel_megert'), ('[clean up] Error if applied to multiple projects', '2010-02-08 04:29:14 EST', 'daniel_megert')]</t>
  </si>
  <si>
    <t>2010-02-08 05:53:23 EST</t>
  </si>
  <si>
    <t>2010-02-06 23:49 EST</t>
  </si>
  <si>
    <t>2010-02-07 09:50:07 EST</t>
  </si>
  <si>
    <t>[('CREATED', '2010-02-06 23:49 EST'), ('Olivier_Thomann', '2010-02-07 09:50:07 EST', 'Olivier_Thomann'), ('UI', '2010-02-07 09:50:07 EST', 'Olivier_Thomann'), ('jdt-ui-inbox', '2010-02-07 09:50:07 EST', 'Olivier_Thomann'), ('RESOLVED', '2010-02-08 05:53:23 EST', 'markus.kell.r'), ('markus_keller', '2010-02-08 05:53:23 EST', 'markus.kell.r'), ('WORKSFORME', '2010-02-08 05:53:23 EST', 'markus.kell.r')]</t>
  </si>
  <si>
    <t>302280</t>
  </si>
  <si>
    <t>2010-02-09 15:55:17 EST</t>
  </si>
  <si>
    <t>2010-02-25 12:56:13 EST</t>
  </si>
  <si>
    <t>2010-02-09 13:33 EST</t>
  </si>
  <si>
    <t>2010-02-09 13:33:52 EST</t>
  </si>
  <si>
    <t>[('CREATED', '2010-02-09 13:33 EST'), ('302280', '2010-02-09 13:33:52 EST', 'kim.moir'), ('markus_keller', '2010-02-09 15:11:54 EST', 'markus.kell.r'), ('markus_keller', '2010-02-09 15:55:17 EST', 'markus.kell.r'), ('3.6 M6', '2010-02-09 15:55:17 EST', 'markus.kell.r'), ("[refactoring] org.eclipse.ltk.ui.refactoring isn't signed in the 3.5.2 stream", '2010-02-09 15:55:17 EST', 'markus.kell.r'), ('RESOLVED', '2010-02-09 15:55:17 EST', 'markus.kell.r'), ('FIXED', '2010-02-09 15:55:17 EST', 'markus.kell.r'), ('daniel_megert', '2010-02-10 03:29:02 EST', 'daniel_megert'), ('3.5.2', '2010-02-10 04:57:37 EST', 'daniel_megert'), ('3.5.2', '2010-02-10 05:58:57 EST', 'daniel_megert'), ('VERIFIED', '2010-02-25 12:56:13 EST', 'markus.kell.r')]</t>
  </si>
  <si>
    <t>CLOSED  DUPLICATE  of bug 99596</t>
  </si>
  <si>
    <t>2010-02-15 05:11:31 EST</t>
  </si>
  <si>
    <t>2010-02-14 17:27 EST</t>
  </si>
  <si>
    <t>[('CREATED', '2010-02-14 17:27 EST'), ('CLOSED', '2010-02-15 05:11:31 EST', 'markus.kell.r'), ('markus_keller', '2010-02-15 05:11:31 EST', 'markus.kell.r'), ('DUPLICATE', '2010-02-15 05:11:31 EST', 'markus.kell.r'), ('[change method signature] could be smarter about generic types', '2010-02-15 05:11:31 EST', 'markus.kell.r')]</t>
  </si>
  <si>
    <t>2020-03-16 19:40:50 EDT</t>
  </si>
  <si>
    <t>2010-02-16 06:40 EST</t>
  </si>
  <si>
    <t>2010-02-16 06:43:29 EST</t>
  </si>
  <si>
    <t>[('CREATED', '2010-02-16 06:40 EST'), ('All', '2010-02-16 06:43:29 EST', 'rhm31'), ('All', '2010-02-16 06:43:29 EST', 'rhm31'), ('ASSIGNED', '2010-04-20 15:34:13 EDT', 'markus.kell.r'), ('markus_keller', '2010-04-20 15:34:13 EDT', 'markus.kell.r'), ('stalebug', '2020-03-16 19:40:50 EDT', 'genie'), ('WONTFIX', '2020-03-16 19:40:50 EDT', 'genie'), ('CLOSED', '2020-03-16 19:40:50 EDT', 'genie')]</t>
  </si>
  <si>
    <t>2010-02-19 09:57:27 EST</t>
  </si>
  <si>
    <t>2010-02-18 16:00 EST</t>
  </si>
  <si>
    <t>[('CREATED', '2010-02-18 16:00 EST'), ('RESOLVED', '2010-02-19 09:57:27 EST', 'markus.kell.r'), ('markus_keller', '2010-02-19 09:57:27 EST', 'markus.kell.r'), ('WORKSFORME', '2010-02-19 09:57:27 EST', 'markus.kell.r')]</t>
  </si>
  <si>
    <t>2010-02-19 10:25:39 EST</t>
  </si>
  <si>
    <t>2010-02-19 09:08 EST</t>
  </si>
  <si>
    <t>2010-02-19 09:15:55 EST</t>
  </si>
  <si>
    <t>2010-05-17 10:39:23 EDT</t>
  </si>
  <si>
    <t>[('CREATED', '2010-02-19 09:08 EST'), ('ASSIGNED', '2010-02-19 09:15:55 EST', 'markus.kell.r'), ('markus_keller', '2010-02-19 09:15:55 EST', 'markus.kell.r'), ('3.6 M6', '2010-02-19 09:15:55 EST', 'markus.kell.r'), ('RESOLVED', '2010-02-19 10:25:39 EST', 'markus.kell.r'), ('FIXED', '2010-02-19 10:25:39 EST', 'markus.kell.r'), ('daniel_megert', '2010-05-17 10:39:23 EDT', 'daniel_megert')]</t>
  </si>
  <si>
    <t>2010-06-18 12:07:51 EDT</t>
  </si>
  <si>
    <t>2010-02-23 08:53 EST</t>
  </si>
  <si>
    <t>2010-02-25 10:18:17 EST</t>
  </si>
  <si>
    <t>[('CREATED', '2010-02-23 08:53 EST'), ('markus_keller', '2010-02-25 10:18:17 EST', 'markus.kell.r'), ('raksha.vasisht', '2010-02-25 10:18:17 EST', 'markus.kell.r'), ('3.7 M1', '2010-06-08 07:02:40 EDT', 'raksha.vasisht'), ('1', '2010-06-18 03:52:02 EDT', 'raksha.vasisht'), ('RESOLVED', '2010-06-18 12:07:51 EDT', 'raksha.vasisht'), ('FIXED', '2010-06-18 12:07:51 EDT', 'raksha.vasisht')]</t>
  </si>
  <si>
    <t>2010-03-08 05:01:04 EST</t>
  </si>
  <si>
    <t>2010-02-23 16:22 EST</t>
  </si>
  <si>
    <t>2010-03-08 05:01:19 EST</t>
  </si>
  <si>
    <t>[('CREATED', '2010-02-23 16:22 EST'), ('RESOLVED', '2010-03-08 05:01:04 EST', 'markus.kell.r'), ('markus_keller', '2010-03-08 05:01:04 EST', 'markus.kell.r'), ('FIXED', '2010-03-08 05:01:04 EST', 'markus.kell.r'), ('markus_keller', '2010-03-08 05:01:04 EST', 'markus.kell.r'), ('3.6 M6', '2010-03-08 05:01:04 EST', 'markus.kell.r'), ("[ccp] ReorgPolicies' canEnable() methods return true too often", '2010-03-08 05:01:04 EST', 'markus.kell.r'), ('iplog+', '2010-03-08 05:01:19 EST', 'markus.kell.r')]</t>
  </si>
  <si>
    <t>2010-02-24 09:12 EST</t>
  </si>
  <si>
    <t>2010-02-24 09:13:24 EST</t>
  </si>
  <si>
    <t>2012-02-07 05:17:06 EST</t>
  </si>
  <si>
    <t>[('CREATED', '2010-02-24 09:12 EST'), ('3.6', '2010-02-24 09:13:24 EST', 'jakub.jurkiewicz'), ('remysuen', '2010-02-24 09:26:04 EST', 'remy.suen'), ('daniel_megert', '2010-03-01 05:44:17 EST', 'sptaszkiewicz'), ('3.5', '2010-03-01 06:39:22 EST', 'daniel_megert'), ('jdt-ui-inbox', '2010-03-01 06:39:22 EST', 'daniel_megert'), ('JDT', '2010-03-01 06:39:22 EST', 'daniel_megert'), ('[ltk] Deleting a file with open editor saves the changes first', '2010-03-01 06:39:22 EST', 'daniel_megert'), ('minor', '2010-03-01 06:39:22 EST', 'daniel_megert'), ('UI', '2010-03-01 06:39:22 EST', 'daniel_megert'), ('pwebster', '2010-03-01 08:35:44 EST', 'pwebster'), ('enhancement', '2010-03-08 07:21:28 EST', 'jakub.jurkiewicz'), ('P4', '2010-03-08 08:23:12 EST', 'markus.kell.r'), ('ASSIGNED', '2010-03-08 08:23:12 EST', 'markus.kell.r'), ('markus_keller', '2010-03-08 08:23:12 EST', 'markus.kell.r'), ('marek.chodorowski', '2012-02-07 05:00:53 EST', 'marek.chodorowski'), ('szymon.ptaszkiewicz', '2012-02-07 05:17:06 EST', 'sptaszkiewicz')]</t>
  </si>
  <si>
    <t>2010-03-01 08:00:02 EST</t>
  </si>
  <si>
    <t>2010-02-28 17:29 EST</t>
  </si>
  <si>
    <t>2010-02-28 19:19:54 EST</t>
  </si>
  <si>
    <t>[('CREATED', '2010-02-28 17:29 EST'), ('Olivier_Thomann', '2010-02-28 19:19:54 EST', 'Olivier_Thomann'), ('UI', '2010-02-28 19:19:54 EST', 'Olivier_Thomann'), ('jdt-ui-inbox', '2010-02-28 19:19:54 EST', 'Olivier_Thomann'), ('RESOLVED', '2010-03-01 08:00:02 EST', 'markus.kell.r'), ('markus_keller', '2010-03-01 08:00:02 EST', 'markus.kell.r'), ('3.5.1', '2010-03-01 08:00:02 EST', 'markus.kell.r'), ('WORKSFORME', '2010-03-01 08:00:02 EST', 'markus.kell.r')]</t>
  </si>
  <si>
    <t>296470</t>
  </si>
  <si>
    <t>2010-03-08 08:44:34 EST</t>
  </si>
  <si>
    <t>2010-03-01 05:47 EST</t>
  </si>
  <si>
    <t>2010-03-01 05:49:56 EST</t>
  </si>
  <si>
    <t>[('CREATED', '2010-03-01 05:47 EST'), ('serge', '2010-03-01 05:49:56 EST', 'serge'), ('daniel_megert', '2010-03-03 09:48:13 EST', 'daniel_megert'), ('296470', '2010-03-03 09:48:13 EST', 'daniel_megert'), ('RESOLVED', '2010-03-08 08:44:34 EST', 'markus.kell.r'), ('markus_keller', '2010-03-08 08:44:34 EST', 'markus.kell.r'), ('WORKSFORME', '2010-03-08 08:44:34 EST', 'markus.kell.r'), ('3.6 M6', '2010-03-08 08:44:34 EST', 'markus.kell.r')]</t>
  </si>
  <si>
    <t>286955</t>
  </si>
  <si>
    <t>2010-05-19 08:29:23 EDT</t>
  </si>
  <si>
    <t>2010-05-26 03:38:53 EDT</t>
  </si>
  <si>
    <t>2010-03-01 06:49 EST</t>
  </si>
  <si>
    <t>2010-03-01 06:49:50 EST</t>
  </si>
  <si>
    <t>[('CREATED', '2010-03-01 06:49 EST'), ('286955', '2010-03-01 06:49:50 EST', 'frederic_fusier'), ('daniel_megert', '2010-04-14 02:44:08 EDT', 'daniel_megert'), ('markus_keller', '2010-04-14 02:44:08 EDT', 'daniel_megert'), ('3.6 M7', '2010-04-14 02:44:08 EDT', 'daniel_megert'), ('regressions in CleanUpPerfTest and MoveStaticMembersPerfTests* observed since build N20100218-2000', '2010-04-14 02:44:08 EDT', 'daniel_megert'), ('3.6 RC1', '2010-04-27 10:18:54 EDT', 'markus.kell.r'), ('raksha.vasisht', '2010-05-04 06:39:39 EDT', 'daniel_megert'), ('P2', '2010-05-12 12:54:23 EDT', 'daniel_megert'), ('3.6 RC2', '2010-05-12 12:54:23 EDT', 'daniel_megert'), ('deepak.azad', '2010-05-12 15:22:28 EDT', 'deepakazad'), ('P3', '2010-05-13 09:26:14 EDT', 'raksha.vasisht'), ('3.6 RC1', '2010-05-13 09:26:14 EDT', 'raksha.vasisht'), ('3.6 RC2', '2010-05-16 11:31:04 EDT', 'daniel_megert'), ('review?(markus_keller)', '2010-05-16 11:31:04 EDT', 'daniel_megert'), ('markus_keller', '2010-05-18 13:06:57 EDT', 'markus.kell.r'), ('review?(daniel_megert)', '2010-05-19 07:02:24 EDT', 'raksha.vasisht'), ('review+, review?(daniel_megert)', '2010-05-19 07:04:02 EDT', 'markus.kell.r'), ('review+', '2010-05-19 08:04:56 EDT', 'daniel_megert'), ('RESOLVED', '2010-05-19 08:29:23 EDT', 'raksha.vasisht'), ('FIXED', '2010-05-19 08:29:23 EDT', 'raksha.vasisht'), ('313891', '2010-05-21 06:54:04 EDT', 'frederic_fusier'), (nan, '2010-05-21 07:01:03 EDT', 'frederic_fusier'), ('VERIFIED', '2010-05-26 03:38:53 EDT', 'raksha.vasisht')]</t>
  </si>
  <si>
    <t>2010-03-03 03:59 EST</t>
  </si>
  <si>
    <t>2010-03-03 10:06:41 EST</t>
  </si>
  <si>
    <t>2020-07-16 14:41:09 EDT</t>
  </si>
  <si>
    <t>[('CREATED', '2010-03-03 03:59 EST'), ('Olivier_Thomann', '2010-03-03 10:06:41 EST', 'Olivier_Thomann'), ('Olivier_Thomann', '2010-03-03 10:06:41 EST', 'Olivier_Thomann'), ('UI', '2010-03-03 13:49:35 EST', 'Olivier_Thomann'), ('jdt-ui-inbox', '2010-03-03 13:49:35 EST', 'Olivier_Thomann'), ('ASSIGNED', '2010-03-07 12:08:10 EST', 'markus.kell.r'), ('markus_keller', '2010-03-07 12:08:10 EST', 'markus.kell.r'), ('stalebug', '2020-07-16 14:41:09 EDT', 'genie')]</t>
  </si>
  <si>
    <t>2010-03-07 19:00:47 EST</t>
  </si>
  <si>
    <t>2010-03-04 15:47 EST</t>
  </si>
  <si>
    <t>2010-03-04 16:51:56 EST</t>
  </si>
  <si>
    <t>[('CREATED', '2010-03-04 15:47 EST'), ('kellyc', '2010-03-04 16:51:56 EST', 'kellyc'), ('UI', '2010-03-05 03:54:48 EST', 'frederic_fusier'), ('jdt-ui-inbox', '2010-03-05 03:54:48 EST', 'frederic_fusier'), ('RESOLVED', '2010-03-07 19:00:47 EST', 'markus.kell.r'), ('markus_keller', '2010-03-07 19:00:47 EST', 'markus.kell.r'), ('WORKSFORME', '2010-03-07 19:00:47 EST', 'markus.kell.r')]</t>
  </si>
  <si>
    <t>2010-03-07 12:02:06 EST</t>
  </si>
  <si>
    <t>2010-03-05 05:08 EST</t>
  </si>
  <si>
    <t>2010-03-05 05:09:46 EST</t>
  </si>
  <si>
    <t>[('CREATED', '2010-03-05 05:08 EST'), ('P.Haun', '2010-03-05 05:09:46 EST', 'P.Haun'), ('frederic_fusier', '2010-03-05 05:31:36 EST', 'frederic_fusier'), ('UI', '2010-03-05 05:31:36 EST', 'frederic_fusier'), ('jdt-ui-inbox', '2010-03-05 05:31:36 EST', 'frederic_fusier'), ('RESOLVED', '2010-03-07 12:02:06 EST', 'markus.kell.r'), ('markus_keller', '2010-03-07 12:02:06 EST', 'markus.kell.r'), ('FIXED', '2010-03-07 12:02:06 EST', 'markus.kell.r'), ('markus_keller', '2010-03-07 12:02:06 EST', 'markus.kell.r'), ('3.6 M6', '2010-03-07 12:02:06 EST', 'markus.kell.r'), ('[move method] Move a single function between interfaces does not work.', '2010-03-07 12:02:06 EST', 'markus.kell.r'), ('minor', '2010-03-07 12:02:06 EST', 'markus.kell.r')]</t>
  </si>
  <si>
    <t>310510 305026</t>
  </si>
  <si>
    <t>2010-03-05 10:16 EST</t>
  </si>
  <si>
    <t>2010-03-05 10:37:18 EST</t>
  </si>
  <si>
    <t>2020-01-04 03:37:20 EST</t>
  </si>
  <si>
    <t>[('CREATED', '2010-03-05 10:16 EST'), ('ASSIGNED', '2010-03-05 10:37:18 EST', 'markus.kell.r'), ('[convert anonymous] Move Type to New File leaves unnecessary imports', '2010-03-05 10:37:18 EST', 'markus.kell.r'), ('deepak.azad', '2010-03-05 11:03:55 EST', 'deepakazad'), ('P4', '2010-03-08 13:33:42 EST', 'markus.kell.r'), ('305026', '2010-03-08 13:33:56 EST', 'markus.kell.r'), ('[move member type] Move Type to New File leaves unnecessary imports', '2010-04-28 09:28:57 EDT', 'markus.kell.r'), ('310510', '2010-04-28 09:31:40 EDT', 'markus.kell.r'), ('nikolaymetchev', '2014-06-25 03:07:04 EDT', 'nikolaymetchev'), ('stalebug', '2020-01-03 18:59:51 EST', 'genie'), ('daniel_megert', '2020-01-04 03:37:20 EST', 'daniel_megert'), (nan, '2020-01-04 03:37:20 EST', 'daniel_megert')]</t>
  </si>
  <si>
    <t>2010-03-07 11:21:23 EST</t>
  </si>
  <si>
    <t>2010-03-06 22:31 EST</t>
  </si>
  <si>
    <t>[('CREATED', '2010-03-06 22:31 EST'), ('deepak.azad', '2010-03-07 11:21:23 EST', 'markus.kell.r'), ('3.6 M6', '2010-03-07 11:21:23 EST', 'markus.kell.r'), ('RESOLVED', '2010-03-07 11:21:23 EST', 'markus.kell.r'), ('markus_keller', '2010-03-07 11:21:23 EST', 'markus.kell.r'), ('FIXED', '2010-03-07 11:21:23 EST', 'markus.kell.r')]</t>
  </si>
  <si>
    <t>306524</t>
  </si>
  <si>
    <t>2010-07-29 04:22:10 EDT</t>
  </si>
  <si>
    <t>2010-08-03 03:19:20 EDT</t>
  </si>
  <si>
    <t>2010-03-09 01:21 EST</t>
  </si>
  <si>
    <t>2010-03-10 11:01:06 EST</t>
  </si>
  <si>
    <t>[('CREATED', '2010-03-09 01:21 EST'), ('markus_keller', '2010-03-10 11:01:06 EST', 'markus.kell.r'), ('raksha.vasisht', '2010-03-10 11:01:06 EST', 'markus.kell.r'), ('3.6 M7', '2010-03-10 11:01:06 EST', 'markus.kell.r'), ('306524', '2010-03-19 09:49:28 EDT', 'raksha.vasisht'), ('---', '2010-04-08 11:08:21 EDT', 'markus.kell.r'), ('ASSIGNED', '2010-04-08 11:08:21 EDT', 'markus.kell.r'), ('3.7 M1', '2010-06-08 07:02:40 EDT', 'raksha.vasisht'), ('1', '2010-07-28 13:54:12 EDT', 'raksha.vasisht'), ('RESOLVED', '2010-07-29 04:22:10 EDT', 'raksha.vasisht'), ('FIXED', '2010-07-29 04:22:10 EDT', 'raksha.vasisht'), ('VERIFIED', '2010-08-03 03:19:20 EDT', 'daniel_megert'), ('daniel_megert', '2010-08-03 03:19:20 EDT', 'daniel_megert')]</t>
  </si>
  <si>
    <t>306568 309022</t>
  </si>
  <si>
    <t>2010-04-14 08:38:51 EDT</t>
  </si>
  <si>
    <t>2010-03-19 14:42 EDT</t>
  </si>
  <si>
    <t>2010-03-19 14:42:54 EDT</t>
  </si>
  <si>
    <t>[('CREATED', '2010-03-19 14:42 EDT'), ('markus_keller', '2010-03-19 14:42:54 EDT', 'markus.kell.r'), ('3.6 M7', '2010-03-19 14:42:54 EDT', 'markus.kell.r'), ('309022', '2010-04-13 12:38:19 EDT', 'markus.kell.r'), ('RESOLVED', '2010-04-14 08:38:51 EDT', 'markus.kell.r'), ('FIXED', '2010-04-14 08:38:51 EDT', 'markus.kell.r')]</t>
  </si>
  <si>
    <t>2010-03-24 05:38:16 EDT</t>
  </si>
  <si>
    <t>2010-03-22 07:13 EDT</t>
  </si>
  <si>
    <t>[('CREATED', '2010-03-22 07:13 EDT'), ('RESOLVED', '2010-03-24 05:38:16 EDT', 'daniel_megert'), ('daniel_megert', '2010-03-24 05:38:16 EDT', 'daniel_megert'), ('WORKSFORME', '2010-03-24 05:38:16 EDT', 'daniel_megert')]</t>
  </si>
  <si>
    <t>2010-03-26 02:19:10 EDT</t>
  </si>
  <si>
    <t>2010-03-24 06:03 EDT</t>
  </si>
  <si>
    <t>2010-03-24 07:00:15 EDT</t>
  </si>
  <si>
    <t>[('CREATED', '2010-03-24 06:03 EDT'), ('daniel_megert', '2010-03-24 07:00:15 EDT', 'daniel_megert'), ('RESOLVED', '2010-03-26 02:19:10 EDT', 'daniel_megert'), ('WORKSFORME', '2010-03-26 02:19:10 EDT', 'daniel_megert')]</t>
  </si>
  <si>
    <t>CLOSED  DUPLICATE  of bug 139197</t>
  </si>
  <si>
    <t>2010-04-22 03:47:40 EDT</t>
  </si>
  <si>
    <t>2010-03-24 18:53 EDT</t>
  </si>
  <si>
    <t>2010-03-24 18:54:18 EDT</t>
  </si>
  <si>
    <t>[('CREATED', '2010-03-24 18:53 EDT'), ('https://bugs.eclipse.org/bugs/show_bug.cgi?id=139197', '2010-03-24 18:54:18 EDT', 'spamgarymm'), ('spamgarymm', '2010-03-24 18:55:04 EDT', 'spamgarymm'), ('CLOSED', '2010-04-22 03:47:40 EDT', 'daniel_megert'), ('daniel_megert', '2010-04-22 03:47:40 EDT', 'daniel_megert'), ('All', '2010-04-22 03:47:40 EDT', 'daniel_megert'), ('DUPLICATE', '2010-04-22 03:47:40 EDT', 'daniel_megert'), ("[refactoring] 'Introduce Indirection' and 'Use Supertype...' do nothing when right-clicking on method name in .class file", '2010-04-22 03:47:40 EDT', 'daniel_megert'), ('All', '2010-04-22 03:47:40 EDT', 'daniel_megert')]</t>
  </si>
  <si>
    <t>2010-03-30 12:36:35 EDT</t>
  </si>
  <si>
    <t>2010-03-29 11:16 EDT</t>
  </si>
  <si>
    <t>2010-03-29 13:30:53 EDT</t>
  </si>
  <si>
    <t>[('CREATED', '2010-03-29 11:16 EDT'), ('Olivier_Thomann', '2010-03-29 13:30:53 EDT', 'Olivier_Thomann'), ('Olivier_Thomann', '2010-03-29 13:30:53 EDT', 'Olivier_Thomann'), ('UI', '2010-03-30 10:01:18 EDT', 'Olivier_Thomann'), ('jdt-ui-inbox', '2010-03-30 10:01:18 EDT', 'Olivier_Thomann'), ('markus_keller', '2010-03-30 10:55:01 EDT', 'markus.kell.r'), ('markus_keller', '2010-03-30 10:55:01 EDT', 'markus.kell.r'), ('3.6 M7', '2010-03-30 10:55:01 EDT', 'markus.kell.r'), ('RESOLVED', '2010-03-30 12:36:35 EDT', 'markus.kell.r'), ('FIXED', '2010-03-30 12:36:35 EDT', 'markus.kell.r')]</t>
  </si>
  <si>
    <t>2010-04-20 15:51:11 EDT</t>
  </si>
  <si>
    <t>2010-04-26 06:41:19 EDT</t>
  </si>
  <si>
    <t>2010-03-31 12:32 EDT</t>
  </si>
  <si>
    <t>2010-03-31 13:02:39 EDT</t>
  </si>
  <si>
    <t>[('CREATED', '2010-03-31 12:32 EDT'), ('UI', '2010-03-31 13:02:39 EDT', 'frederic_fusier'), ('jdt-ui-inbox', '2010-03-31 13:02:39 EDT', 'frederic_fusier'), ('ASSIGNED', '2010-04-01 05:19:03 EDT', 'markus.kell.r'), ('markus_keller', '2010-04-01 05:19:03 EDT', 'markus.kell.r'), ('deepak.azad', '2010-04-01 05:19:03 EDT', 'markus.kell.r'), ('[extract local] Unable to refactor expression without resolved type in variable initializer', '2010-04-01 05:19:03 EDT', 'markus.kell.r'), ('enhancement', '2010-04-01 11:17:31 EDT', 'markus.kell.r'), ('1', '2010-04-20 00:01:00 EDT', 'deepakazad'), ('3.6 M7', '2010-04-20 14:10:12 EDT', 'deepakazad'), ('RESOLVED', '2010-04-20 15:51:11 EDT', 'deepakazad'), ('FIXED', '2010-04-20 15:51:11 EDT', 'deepakazad'), ('1', '2010-04-20 22:04:22 EDT', 'deepakazad'), ('VERIFIED', '2010-04-26 06:41:19 EDT', 'daniel_megert'), ('daniel_megert', '2010-04-26 06:41:19 EDT', 'daniel_megert')]</t>
  </si>
  <si>
    <t>2010-04-13 12:56:34 EDT</t>
  </si>
  <si>
    <t>2010-04-13 06:12 EDT</t>
  </si>
  <si>
    <t>2010-04-13 06:14:01 EDT</t>
  </si>
  <si>
    <t>[('CREATED', '2010-04-13 06:12 EDT'), ('3.6 M7', '2010-04-13 06:14:01 EDT', 'daniel_megert'), ('RESOLVED', '2010-04-13 12:56:34 EDT', 'markus.kell.r'), ('FIXED', '2010-04-13 12:56:34 EDT', 'markus.kell.r')]</t>
  </si>
  <si>
    <t>CLOSED  DUPLICATE  of bug 252779</t>
  </si>
  <si>
    <t>2010-04-21 10:48:20 EDT</t>
  </si>
  <si>
    <t>2010-04-21 07:42 EDT</t>
  </si>
  <si>
    <t>2010-04-21 07:43:28 EDT</t>
  </si>
  <si>
    <t>[('CREATED', '2010-04-21 07:42 EDT'), ('n.kulk', '2010-04-21 07:43:28 EDT', 'n.kulk'), ('jdt-ui-inbox', '2010-04-21 08:38:00 EDT', 'Olivier_Thomann'), ('Olivier_Thomann', '2010-04-21 08:38:00 EDT', 'Olivier_Thomann'), ('UI', '2010-04-21 08:38:00 EDT', 'Olivier_Thomann'), ('CLOSED', '2010-04-21 10:48:20 EDT', 'markus.kell.r'), ('markus_keller', '2010-04-21 10:48:20 EDT', 'markus.kell.r'), ('DUPLICATE', '2010-04-21 10:48:20 EDT', 'markus.kell.r'), ('[encapsulate field] Encapsulate field refactoring ignores naming conventions', '2010-04-21 10:48:20 EDT', 'markus.kell.r')]</t>
  </si>
  <si>
    <t>2010-05-12 14:38:43 EDT</t>
  </si>
  <si>
    <t>2010-05-17 07:20:03 EDT</t>
  </si>
  <si>
    <t>2010-04-27 10:31 EDT</t>
  </si>
  <si>
    <t>2010-04-28 10:39:49 EDT</t>
  </si>
  <si>
    <t>[('CREATED', '2010-04-27 10:31 EDT'), ('markus_keller', '2010-04-28 10:39:49 EDT', 'markus.kell.r'), ('3.6 RC1', '2010-04-28 10:39:49 EDT', 'markus.kell.r'), ("[refactoring] Refactoring history doesn't seem to be formatting strings properly", '2010-04-28 10:39:49 EDT', 'markus.kell.r'), ('trivial', '2010-04-28 10:39:49 EDT', 'markus.kell.r'), ('markus_keller', '2010-04-28 10:39:49 EDT', 'markus.kell.r'), ('ASSIGNED', '2010-05-12 14:02:09 EDT', 'deepakazad'), ('deepak.azad', '2010-05-12 14:02:09 EDT', 'deepakazad'), ('review?(markus_keller)', '2010-05-12 14:02:31 EDT', 'deepakazad'), ('review+', '2010-05-12 14:31:52 EDT', 'markus.kell.r'), ('RESOLVED', '2010-05-12 14:38:43 EDT', 'deepakazad'), ('FIXED', '2010-05-12 14:38:43 EDT', 'deepakazad'), ('VERIFIED', '2010-05-17 07:20:03 EDT', 'raksha.vasisht'), ('raksha.vasisht', '2010-05-17 07:20:03 EDT', 'raksha.vasisht')]</t>
  </si>
  <si>
    <t>2013-04-25 11:00:45 EDT</t>
  </si>
  <si>
    <t>2013-04-23 08:13:22 EDT</t>
  </si>
  <si>
    <t>2010-04-28 07:50 EDT</t>
  </si>
  <si>
    <t>2010-05-06 10:56:27 EDT</t>
  </si>
  <si>
    <t>[('CREATED', '2010-04-28 07:50 EDT'), ('Linux', '2010-05-06 10:56:27 EDT', 'kirstin.weber'), ('eclipse.sprigogin', '2011-11-14 18:28:33 EST', 'eclipse.sprigogin'), ('xgsa', '2012-02-21 11:21:11 EST', 'xgsa'), ('Jesse.Weinstein', '2013-04-22 15:13:58 EDT', 'Jesse.Weinstein'), ('malaperle', '2013-04-22 23:10:28 EDT', 'malaperle'), ('UI', '2013-04-22 23:29:36 EDT', 'malaperle'), ('3.8.2', '2013-04-22 23:29:36 EDT', 'malaperle'), ('jdt-ui-inbox', '2013-04-22 23:29:36 EDT', 'malaperle'), ('JDT', '2013-04-22 23:29:36 EDT', 'malaperle'), (nan, '2013-04-22 23:29:36 EDT', 'malaperle'), ('WORKSFORME', '2013-04-23 05:30:12 EDT', 'daniel_megert'), ('[rename] Navigation to next change during preview sometimes fails', '2013-04-23 05:30:12 EDT', 'daniel_megert'), ('RESOLVED', '2013-04-23 05:30:12 EDT', 'daniel_megert'), ('daniel_megert', '2013-04-23 05:30:12 EDT', 'daniel_megert'), ('REOPENED', '2013-04-23 08:13:22 EDT', 'malaperle'), ('---', '2013-04-23 08:13:22 EDT', 'malaperle'), ('needinfo', '2013-04-23 08:16:09 EDT', 'daniel_megert'), ('pwebster', '2013-04-25 10:53:30 EDT', 'pwebster'), ('RESOLVED', '2013-04-25 11:00:45 EDT', 'daniel_megert'), ('WORKSFORME', '2013-04-25 11:00:45 EDT', 'daniel_megert')]</t>
  </si>
  <si>
    <t>2010-05-03 13:31:50 EDT</t>
  </si>
  <si>
    <t>2010-05-17 07:30:00 EDT</t>
  </si>
  <si>
    <t>2010-05-02 06:29:08 EDT</t>
  </si>
  <si>
    <t>2010-05-03 10:16:52 EDT</t>
  </si>
  <si>
    <t>2010-04-29 15:15 EDT</t>
  </si>
  <si>
    <t>2010-04-29 15:35:28 EDT</t>
  </si>
  <si>
    <t>[('CREATED', '2010-04-29 15:15 EDT'), ('Olivier_Thomann', '2010-04-29 15:35:28 EDT', 'Olivier_Thomann'), ('UI', '2010-04-29 15:35:28 EDT', 'Olivier_Thomann'), ('jdt-ui-inbox', '2010-04-29 15:35:28 EDT', 'Olivier_Thomann'), ('RESOLVED', '2010-05-02 06:29:08 EDT', 'daniel_megert'), ('daniel_megert', '2010-05-02 06:29:08 EDT', 'daniel_megert'), ('3.3', '2010-05-02 06:29:08 EDT', 'daniel_megert'), ('WORKSFORME', '2010-05-02 06:29:08 EDT', 'daniel_megert'), ('[generalize type] Generalize Declared Type fails with array-valued annotation member variable', '2010-05-03 10:16:52 EDT', 'markus.kell.r'), ('REOPENED', '2010-05-03 10:16:52 EDT', 'markus.kell.r'), ('markus_keller', '2010-05-03 10:16:52 EDT', 'markus.kell.r'), ('---', '2010-05-03 10:16:52 EDT', 'markus.kell.r'), ('markus_keller', '2010-05-03 10:16:52 EDT', 'markus.kell.r'), ('3.6 RC1', '2010-05-03 13:00:24 EDT', 'markus.kell.r'), ('ASSIGNED', '2010-05-03 13:00:47 EDT', 'markus.kell.r'), ('review?(Olivier_Thomann)', '2010-05-03 13:00:47 EDT', 'markus.kell.r'), ('review+', '2010-05-03 13:20:12 EDT', 'Olivier_Thomann'), ('RESOLVED', '2010-05-03 13:31:50 EDT', 'markus.kell.r'), ('FIXED', '2010-05-03 13:31:50 EDT', 'markus.kell.r'), ('VERIFIED', '2010-05-17 07:30:00 EDT', 'deepakazad'), ('deepak.azad', '2010-05-17 07:30:00 EDT', 'deepakazad')]</t>
  </si>
  <si>
    <t>CLOSED  DUPLICATE  of bug 302396</t>
  </si>
  <si>
    <t>2010-05-10 11:57:23 EDT</t>
  </si>
  <si>
    <t>2010-04-30 18:39 EDT</t>
  </si>
  <si>
    <t>2010-04-30 22:23:47 EDT</t>
  </si>
  <si>
    <t>[('CREATED', '2010-04-30 18:39 EDT'), ('remysuen', '2010-04-30 22:23:47 EDT', 'remy.suen'), ('UI', '2010-05-08 18:46:16 EDT', 'susan'), ('3.5', '2010-05-08 18:46:16 EDT', 'susan'), ('jdt-ui-inbox', '2010-05-08 18:46:16 EDT', 'susan'), ('JDT', '2010-05-08 18:46:16 EDT', 'susan'), ('[[ltk] Eclipse gets into a massive CPU usage consumption look when deleting a project', '2010-05-08 18:46:16 EDT', 'susan'), ('pwebster', '2010-05-10 08:02:29 EDT', 'pwebster'), ('markus_keller', '2010-05-10 09:09:17 EDT', 'markus.kell.r'), ('[ltk] Eclipse gets into a massive CPU usage consumption look when deleting a project', '2010-05-10 09:09:17 EDT', 'markus.kell.r'), ('CLOSED', '2010-05-10 11:57:23 EDT', 'markus.kell.r'), ('DUPLICATE', '2010-05-10 11:57:23 EDT', 'markus.kell.r'), ('Windows Vista', '2010-05-10 11:57:23 EDT', 'markus.kell.r')]</t>
  </si>
  <si>
    <t>2010-05-07 06:32:51 EDT</t>
  </si>
  <si>
    <t>2010-05-03 16:42 EDT</t>
  </si>
  <si>
    <t>2010-05-07 06:52:38 EDT</t>
  </si>
  <si>
    <t>[('CREATED', '2010-05-03 16:42 EDT'), ('RESOLVED', '2010-05-07 06:32:51 EDT', 'daniel_megert'), ('daniel_megert', '2010-05-07 06:32:51 EDT', 'daniel_megert'), ('WORKSFORME', '2010-05-07 06:32:51 EDT', 'daniel_megert'), ('markus_keller', '2010-05-07 06:52:38 EDT', 'markus.kell.r')]</t>
  </si>
  <si>
    <t>2020-02-11 12:21:47 EST</t>
  </si>
  <si>
    <t>2010-05-05 08:08 EDT</t>
  </si>
  <si>
    <t>2010-05-05 09:51:33 EDT</t>
  </si>
  <si>
    <t>[('CREATED', '2010-05-05 08:08 EDT'), ('Olivier_Thomann', '2010-05-05 09:51:33 EDT', 'Olivier_Thomann'), ('UI', '2010-05-05 09:51:33 EDT', 'Olivier_Thomann'), ('jdt-ui-inbox', '2010-05-05 09:51:33 EDT', 'Olivier_Thomann'), ('ASSIGNED', '2010-05-10 05:48:07 EDT', 'markus.kell.r'), ('markus_keller', '2010-05-10 05:48:07 EDT', 'markus.kell.r'), ('CLOSED', '2020-02-11 12:21:47 EST', 'genie'), ('stalebug', '2020-02-11 12:21:47 EST', 'genie'), ('WONTFIX', '2020-02-11 12:21:47 EST', 'genie')]</t>
  </si>
  <si>
    <t>2010-08-27 13:30:04 EDT</t>
  </si>
  <si>
    <t>2010-05-07 04:04 EDT</t>
  </si>
  <si>
    <t>2010-05-07 04:07:04 EDT</t>
  </si>
  <si>
    <t>[('CREATED', '2010-05-07 04:04 EDT'), ('accessibility', '2010-05-07 04:07:04 EDT', 'sergionevess'), ('Carolyn_MacLeod', '2010-05-07 04:09:55 EDT', 'sergionevess'), ('SWT', '2010-05-08 18:23:44 EDT', 'susan'), ('platform-swt-inbox', '2010-05-08 18:23:44 EDT', 'susan'), ('swt-triaged', '2010-05-13 16:23:40 EDT', 'grant_gayed'), ('content of tree view (projects and folders) to export to a jar is not read by some screen readers', '2010-05-13 16:23:40 EDT', 'grant_gayed'), ('Carolyn_MacLeod', '2010-05-13 16:23:40 EDT', 'grant_gayed'), (nan, '2010-08-25 15:26:14 EDT', 'carolynmacleod4'), ('UI', '2010-08-25 15:26:14 EDT', 'carolynmacleod4'), ('3.7', '2010-08-25 15:26:14 EDT', 'carolynmacleod4'), ('jdt-ui-inbox', '2010-08-25 15:26:14 EDT', 'carolynmacleod4'), ('JDT', '2010-08-25 15:26:14 EDT', 'carolynmacleod4'), ('ASSIGNED', '2010-08-27 13:29:27 EDT', 'markus.kell.r'), ('markus_keller', '2010-08-27 13:29:27 EDT', 'markus.kell.r'), ('RESOLVED', '2010-08-27 13:30:04 EDT', 'markus.kell.r'), ('FIXED', '2010-08-27 13:30:04 EDT', 'markus.kell.r'), ('3.7 M2', '2010-08-27 13:30:04 EDT', 'markus.kell.r')]</t>
  </si>
  <si>
    <t>2010-05-10 18:02 EDT</t>
  </si>
  <si>
    <t>2010-05-10 18:33:45 EDT</t>
  </si>
  <si>
    <t>2019-09-17 13:43:11 EDT</t>
  </si>
  <si>
    <t>[('CREATED', '2010-05-10 18:02 EDT'), ('Olivier_Thomann', '2010-05-10 18:33:45 EDT', 'Olivier_Thomann'), ('UI', '2010-05-10 18:33:45 EDT', 'Olivier_Thomann'), ('jdt-ui-inbox', '2010-05-10 18:33:45 EDT', 'Olivier_Thomann'), ('markus_keller', '2010-05-20 09:54:43 EDT', 'markus.kell.r'), ('[refactoring] Extract Class refactoring should transfer methods', '2010-05-20 09:54:43 EDT', 'markus.kell.r'), ('P5', '2010-05-20 09:54:43 EDT', 'markus.kell.r'), ('ASSIGNED', '2010-05-20 09:54:43 EDT', 'markus.kell.r'), ('chris_knight', '2010-08-03 05:51:34 EDT', 'chris_knight'), ('michael.f.watson', '2011-04-18 18:39:44 EDT', 'michael.f.watson'), ('eclipse.*.dserodio', '2011-08-31 15:55:00 EDT', 'eclipse.dserodio'), ('reprogrammer', '2011-11-08 18:19:05 EST', 'reprogrammer'), ('nchen', '2011-11-28 07:39:32 EST', 'reprogrammer'), ('snegara2', '2011-11-28 07:39:40 EST', 'reprogrammer'), ('amakarishev', '2012-08-07 17:18:05 EDT', 'amakarishev'), ('erlend.k', '2013-12-11 08:08:30 EST', 'erlend.k'), ('mauromol', '2017-09-21 05:28:37 EDT', 'mauromol'), ('stalebug', '2019-09-17 13:43:11 EDT', 'genie')]</t>
  </si>
  <si>
    <t>CLOSED  DUPLICATE  of bug 149801</t>
  </si>
  <si>
    <t>2010-05-12 02:35:29 EDT</t>
  </si>
  <si>
    <t>2010-05-11 13:37 EDT</t>
  </si>
  <si>
    <t>2010-05-11 13:39:13 EDT</t>
  </si>
  <si>
    <t>[('CREATED', '2010-05-11 13:37 EDT'), ('3.5.2', '2010-05-11 13:39:13 EDT', 'denpashogai'), ('CLOSED', '2010-05-12 02:35:29 EDT', 'daniel_megert'), ('daniel_megert', '2010-05-12 02:35:29 EDT', 'daniel_megert'), ('All', '2010-05-12 02:35:29 EDT', 'daniel_megert'), ('DUPLICATE', '2010-05-12 02:35:29 EDT', 'daniel_megert'), ('[quick assist] Exchange left/right infix operands refactoring removes parens inappropriately', '2010-05-12 02:35:29 EDT', 'daniel_megert'), ('All', '2010-05-12 02:35:29 EDT', 'daniel_megert')]</t>
  </si>
  <si>
    <t>2010-05-12 10:46:44 EDT</t>
  </si>
  <si>
    <t>2010-05-12 08:54 EDT</t>
  </si>
  <si>
    <t>2010-05-12 09:46:10 EDT</t>
  </si>
  <si>
    <t>[('CREATED', '2010-05-12 08:54 EDT'), ('jdt-ui-inbox', '2010-05-12 09:46:10 EDT', 'Olivier_Thomann'), ('Olivier_Thomann', '2010-05-12 09:46:10 EDT', 'Olivier_Thomann'), ('UI', '2010-05-12 09:46:10 EDT', 'Olivier_Thomann'), ('RESOLVED', '2010-05-12 10:46:44 EDT', 'daniel_megert'), ('daniel_megert', '2010-05-12 10:46:44 EDT', 'daniel_megert'), ('WORKSFORME', '2010-05-12 10:46:44 EDT', 'daniel_megert')]</t>
  </si>
  <si>
    <t>2020-03-18 16:28:29 EDT</t>
  </si>
  <si>
    <t>2010-05-12 09:03 EDT</t>
  </si>
  <si>
    <t>2010-05-12 09:34:52 EDT</t>
  </si>
  <si>
    <t>[('CREATED', '2010-05-12 09:03 EDT'), ('Darin_Wright', '2010-05-12 09:34:52 EDT', 'darin.eclipse'), ('Core', '2010-05-12 09:34:52 EDT', 'darin.eclipse'), ('3.6', '2010-05-12 09:34:52 EDT', 'darin.eclipse'), ('jdt-core-inbox', '2010-05-12 09:34:52 EDT', 'darin.eclipse'), ('JDT', '2010-05-12 09:34:52 EDT', 'darin.eclipse'), ('Olivier_Thomann', '2010-05-12 09:45:54 EDT', 'Olivier_Thomann'), ('UI', '2010-05-12 09:45:54 EDT', 'Olivier_Thomann'), ('jdt-ui-inbox', '2010-05-12 09:45:54 EDT', 'Olivier_Thomann'), ('3.5.1', '2010-05-12 09:59:25 EDT', 'lehmia'), ('application/zip', '2010-05-12 10:00:11 EDT', 'Olivier_Thomann'), ('application/octet-stream', '2010-05-12 10:01:24 EDT', 'Olivier_Thomann'), (nan, '2010-05-12 10:14:58 EDT', 'darin.eclipse'), ('daniel_megert', '2010-05-12 10:28:30 EDT', 'daniel_megert'), ('markus_keller', '2010-05-12 12:46:23 EDT', 'daniel_megert'), ('[pull up] Null pointer exception in org.eclipse.jdt.internal.corext.refactoring.structure.PullUpRefactoringProcessor', '2010-05-12 12:46:23 EDT', 'daniel_megert'), ('stalebug', '2020-03-18 16:28:29 EDT', 'genie'), ('WONTFIX', '2020-03-18 16:28:29 EDT', 'genie'), ('CLOSED', '2020-03-18 16:28:29 EDT', 'genie')]</t>
  </si>
  <si>
    <t>313308 (view as bug list)</t>
  </si>
  <si>
    <t>2010-05-18 13:08:05 EDT</t>
  </si>
  <si>
    <t>2010-05-19 03:44:07 EDT</t>
  </si>
  <si>
    <t>2010-05-14 03:52 EDT</t>
  </si>
  <si>
    <t>2010-05-14 08:24:45 EDT</t>
  </si>
  <si>
    <t>[('CREATED', '2010-05-14 03:52 EDT'), ('Olivier_Thomann', '2010-05-14 08:24:45 EDT', 'Olivier_Thomann'), ('UI', '2010-05-14 08:46:58 EDT', 'Olivier_Thomann'), ('jdt-ui-inbox', '2010-05-14 08:46:58 EDT', 'Olivier_Thomann'), ('major', '2010-05-17 10:36:26 EDT', 'daniel_megert'), ('daniel_megert', '2010-05-17 10:36:26 EDT', 'daniel_megert'), ('markus_keller', '2010-05-17 10:36:26 EDT', 'daniel_megert'), ('3.6 RC2', '2010-05-17 10:36:26 EDT', 'daniel_megert'), ('Knut.Friedhelm', '2010-05-18 09:20:14 EDT', 'daniel_megert'), ('[extract method] NPE when trying to "Extract Method"', '2010-05-18 09:20:50 EDT', 'daniel_megert'), ('1', '2010-05-18 09:41:23 EDT', 'markus.kell.r'), ('review?(daniel_megert), review?(Olivier_Thomann)', '2010-05-18 09:45:01 EDT', 'markus.kell.r'), ('All', '2010-05-18 10:15:11 EDT', 'daniel_megert'), ('All', '2010-05-18 10:15:11 EDT', 'daniel_megert'), ('review+', '2010-05-18 10:15:11 EDT', 'daniel_megert'), ('review+', '2010-05-18 10:15:33 EDT', 'daniel_megert'), ('review+', '2010-05-18 10:56:34 EDT', 'Olivier_Thomann'), ('RESOLVED', '2010-05-18 13:08:05 EDT', 'markus.kell.r'), ('FIXED', '2010-05-18 13:08:05 EDT', 'markus.kell.r'), ('VERIFIED', '2010-05-19 03:44:07 EDT', 'daniel_megert')]</t>
  </si>
  <si>
    <t>71761</t>
  </si>
  <si>
    <t>2010-05-16 11:21 EDT</t>
  </si>
  <si>
    <t>2010-05-16 23:44:18 EDT</t>
  </si>
  <si>
    <t>2013-04-29 11:21:06 EDT</t>
  </si>
  <si>
    <t>[('CREATED', '2010-05-16 11:21 EDT'), ('deepak.azad', '2010-05-16 23:44:18 EDT', 'deepakazad'), ('1.0', '2010-05-18 09:54:08 EDT', 'daniel_megert'), ('fix candidate', '2010-05-18 09:54:08 EDT', 'daniel_megert'), ('All', '2010-05-18 09:54:08 EDT', 'daniel_megert'), ('major', '2010-05-18 09:54:08 EDT', 'daniel_megert'), ('ASSIGNED', '2010-05-18 09:54:08 EDT', 'daniel_megert'), ('daniel_megert', '2010-05-18 09:54:08 EDT', 'daniel_megert'), ('All', '2010-05-18 09:54:08 EDT', 'daniel_megert'), ('markus_keller', '2010-06-04 10:12:26 EDT', 'markus.kell.r'), ('[rename] Renaming a class changes class inheritance and leads to behavioral change', '2010-06-04 10:12:26 EDT', 'markus.kell.r'), ('P5', '2013-04-18 05:53:24 EDT', 'daniel_megert'), ('manju_mathew', '2013-04-18 05:53:24 EDT', 'daniel_megert'), ('review?(markus_keller)', '2013-04-29 07:26:43 EDT', 'daniel_megert'), ('71761', '2013-04-29 08:46:09 EDT', 'markus.kell.r'), ('review-', '2013-04-29 08:46:09 EDT', 'markus.kell.r'), ('1', '2013-04-29 10:35:48 EDT', 'manju656'), ('review?(markus_keller)', '2013-04-29 10:36:34 EDT', 'manju656'), ('enhancement', '2013-04-29 11:21:06 EDT', 'markus.kell.r'), ('3.8', '2013-04-29 11:21:06 EDT', 'markus.kell.r'), (nan, '2013-04-29 11:21:06 EDT', 'markus.kell.r'), ('review+', '2013-04-29 11:21:06 EDT', 'markus.kell.r')]</t>
  </si>
  <si>
    <t>CLOSED  DUPLICATE  of bug 233712</t>
  </si>
  <si>
    <t>2010-05-18 09:16:00 EDT</t>
  </si>
  <si>
    <t>2010-05-16 14:11 EDT</t>
  </si>
  <si>
    <t>[('CREATED', '2010-05-16 14:11 EDT'), ('All', '2010-05-18 09:16:00 EDT', 'daniel_megert'), ('CLOSED', '2010-05-18 09:16:00 EDT', 'daniel_megert'), ('daniel_megert', '2010-05-18 09:16:00 EDT', 'daniel_megert'), ('All', '2010-05-18 09:16:00 EDT', 'daniel_megert'), ('DUPLICATE', '2010-05-18 09:16:00 EDT', 'daniel_megert'), ('[rename] Renaming method leads to compilation error due to reduce visibility of inherited method', '2010-05-18 09:16:00 EDT', 'daniel_megert')]</t>
  </si>
  <si>
    <t>235118 531946 (view as bug list)</t>
  </si>
  <si>
    <t>2010-05-16 15:20 EDT</t>
  </si>
  <si>
    <t>2010-05-16 16:35:42 EDT</t>
  </si>
  <si>
    <t>2021-01-12 14:18:25 EST</t>
  </si>
  <si>
    <t>[('CREATED', '2010-05-16 15:20 EDT'), ('deepak.azad', '2010-05-16 16:35:42 EDT', 'deepakazad'), ('ASSIGNED', '2010-05-19 10:29:15 EDT', 'daniel_megert'), ('daniel_megert', '2010-05-19 10:29:15 EDT', 'daniel_megert'), ('All', '2010-05-19 10:29:15 EDT', 'daniel_megert'), ('[push down] Pushing down a field disables field hiding and changes program behavior', '2010-05-19 10:29:15 EDT', 'daniel_megert'), ('All', '2010-05-19 10:29:15 EDT', 'daniel_megert'), ('major', '2010-05-19 10:29:15 EDT', 'daniel_megert'), ('steimann', '2010-06-15 16:08:57 EDT', 'deepakazad'), ('stalebug', '2019-01-21 19:27:15 EST', 'genie'), (nan, '2019-01-22 05:52:53 EST', 'daniel_megert'), ('jonhnanthan', '2019-01-22 05:55:13 EST', 'daniel_megert'), ('stalebug', '2021-01-12 04:05:02 EST', 'genie'), ('jjohnstn', '2021-01-12 14:18:25 EST', 'jjohnstn')]</t>
  </si>
  <si>
    <t>2020-05-06 12:18:31 EDT</t>
  </si>
  <si>
    <t>2010-05-16 15:38 EDT</t>
  </si>
  <si>
    <t>2010-05-16 16:35:46 EDT</t>
  </si>
  <si>
    <t>[('CREATED', '2010-05-16 15:38 EDT'), ('deepak.azad', '2010-05-16 16:35:46 EDT', 'deepakazad'), ('major', '2010-05-19 10:41:31 EDT', 'daniel_megert'), ('ASSIGNED', '2010-05-19 10:41:31 EDT', 'daniel_megert'), ('daniel_megert', '2010-05-19 10:41:31 EDT', 'daniel_megert'), ('All', '2010-05-19 10:41:31 EDT', 'daniel_megert'), ('All', '2010-05-19 10:41:31 EDT', 'daniel_megert'), ('[pull up] Pulling up two fields leads to behavioral change due to a change of the value of one of the fields', '2010-05-19 10:41:43 EDT', 'daniel_megert'), ('stalebug', '2020-05-06 12:18:31 EDT', 'genie'), ('WONTFIX', '2020-05-06 12:18:31 EDT', 'genie'), ('CLOSED', '2020-05-06 12:18:31 EDT', 'genie')]</t>
  </si>
  <si>
    <t>2010-05-17 05:02 EDT</t>
  </si>
  <si>
    <t>2010-05-18 09:22:37 EDT</t>
  </si>
  <si>
    <t>[('CREATED', '2010-05-17 05:02 EDT'), ('ASSIGNED', '2010-05-18 09:22:37 EDT', 'daniel_megert'), ('daniel_megert', '2010-05-18 09:22:37 EDT', 'daniel_megert'), ('[pull up] Pull up refactoring: Use compare when selecting items pull up', '2010-05-18 09:22:37 EDT', 'daniel_megert')]</t>
  </si>
  <si>
    <t>2010-05-18 06:09:53 EDT</t>
  </si>
  <si>
    <t>2010-05-19 03:59:56 EDT</t>
  </si>
  <si>
    <t>2010-05-17 10:49 EDT</t>
  </si>
  <si>
    <t>2010-05-17 11:00:02 EDT</t>
  </si>
  <si>
    <t>[('CREATED', '2010-05-17 10:49 EDT'), ('3.6 RC2', '2010-05-17 11:00:02 EDT', 'daniel_megert'), ('All', '2010-05-17 11:00:02 EDT', 'daniel_megert'), ('daniel_megert', '2010-05-17 11:00:02 EDT', 'daniel_megert'), ('All', '2010-05-17 11:00:02 EDT', 'daniel_megert'), ('deepak.azad', '2010-05-17 11:00:02 EDT', 'daniel_megert'), ('review?(daniel_megert)', '2010-05-18 01:50:35 EDT', 'deepakazad'), ('review?(raksha.vasisht)', '2010-05-18 01:51:26 EDT', 'deepakazad'), ('raksha.vasisht', '2010-05-18 02:48:43 EDT', 'raksha.vasisht'), ('review+', '2010-05-18 02:48:43 EDT', 'raksha.vasisht'), ('review+', '2010-05-18 04:01:12 EDT', 'daniel_megert'), ('review+', '2010-05-18 06:07:50 EDT', 'daniel_megert'), ('RESOLVED', '2010-05-18 06:09:53 EDT', 'daniel_megert'), ('FIXED', '2010-05-18 06:09:53 EDT', 'daniel_megert'), ('review+', '2010-05-18 06:09:53 EDT', 'daniel_megert'), ('VERIFIED', '2010-05-19 03:59:56 EDT', 'daniel_megert')]</t>
  </si>
  <si>
    <t>CLOSED  DUPLICATE  of bug 312867</t>
  </si>
  <si>
    <t>2010-05-18 09:20:14 EDT</t>
  </si>
  <si>
    <t>2010-05-18 05:47 EDT</t>
  </si>
  <si>
    <t>2010-05-18 09:18:16 EDT</t>
  </si>
  <si>
    <t>[('CREATED', '2010-05-18 05:47 EDT'), ('frederic_fusier', '2010-05-18 09:18:16 EDT', 'frederic_fusier'), ('UI', '2010-05-18 09:18:16 EDT', 'frederic_fusier'), ('jdt-ui-inbox', '2010-05-18 09:18:16 EDT', 'frederic_fusier'), ('daniel_megert', '2010-05-18 09:20:14 EDT', 'daniel_megert'), ('All', '2010-05-18 09:20:14 EDT', 'daniel_megert'), ('DUPLICATE', '2010-05-18 09:20:14 EDT', 'daniel_megert'), ('[extract method] NPE during extract method refactoring', '2010-05-18 09:20:14 EDT', 'daniel_megert'), ('All', '2010-05-18 09:20:14 EDT', 'daniel_megert'), ('CLOSED', '2010-05-18 09:20:14 EDT', 'daniel_megert')]</t>
  </si>
  <si>
    <t>2020-03-16 10:33:42 EDT</t>
  </si>
  <si>
    <t>2010-05-21 11:37:39 EDT</t>
  </si>
  <si>
    <t>2010-05-21 11:39:30 EDT</t>
  </si>
  <si>
    <t>2010-05-21 10:39 EDT</t>
  </si>
  <si>
    <t>[('CREATED', '2010-05-21 10:39 EDT'), ('CLOSED', '2010-05-21 11:37:39 EDT', 'markus.kell.r'), ('markus_keller', '2010-05-21 11:37:39 EDT', 'markus.kell.r'), ('DUPLICATE', '2010-05-21 11:37:39 EDT', 'markus.kell.r'), ('REOPENED', '2010-05-21 11:39:30 EDT', 'markus.kell.r'), ('---', '2010-05-21 11:39:30 EDT', 'markus.kell.r'), ('[move method] Move method refactoring handles a method call leads to behavioral change', '2010-05-21 11:39:30 EDT', 'markus.kell.r'), ('All', '2010-05-21 11:50:59 EDT', 'markus.kell.r'), ('ASSIGNED', '2010-05-21 11:50:59 EDT', 'markus.kell.r'), ('All', '2010-05-21 11:50:59 EDT', 'markus.kell.r'), ('jongwook.kim', '2013-12-18 22:11:25 EST', 'manju656'), ('WONTFIX', '2020-03-16 10:33:42 EDT', 'genie'), ('stalebug', '2020-03-16 10:33:42 EDT', 'genie'), ('CLOSED', '2020-03-16 10:33:42 EDT', 'genie')]</t>
  </si>
  <si>
    <t>314227</t>
  </si>
  <si>
    <t>2010-09-06 08:08:28 EDT</t>
  </si>
  <si>
    <t>2010-09-14 07:17:51 EDT</t>
  </si>
  <si>
    <t>2010-05-24 04:12 EDT</t>
  </si>
  <si>
    <t>2010-05-25 05:49:13 EDT</t>
  </si>
  <si>
    <t>[('CREATED', '2010-05-24 04:12 EDT'), ('314227', '2010-05-25 05:49:13 EDT', 'deepakazad'), ('ASSIGNED', '2010-06-04 08:49:23 EDT', 'markus.kell.r'), ('markus_keller', '2010-06-04 08:49:23 EDT', 'markus.kell.r'), ("[extract interface] NPE while 'Extract Interface' when CU not on Build path", '2010-06-04 08:50:27 EDT', 'markus.kell.r'), ("[extract interface] NPE while 'Extract Interface', 'Use SuperType', 'Extract class' when CU not on Build path", '2010-09-06 07:10:37 EDT', 'deepakazad'), ('deepak.azad', '2010-09-06 08:08:12 EDT', 'deepakazad'), ('RESOLVED', '2010-09-06 08:08:28 EDT', 'deepakazad'), ('FIXED', '2010-09-06 08:08:28 EDT', 'deepakazad'), ('3.7 M2', '2010-09-06 08:08:28 EDT', 'deepakazad'), ('VERIFIED', '2010-09-14 07:17:51 EDT', 'raksha.vasisht'), ('raksha.vasisht', '2010-09-14 07:17:51 EDT', 'raksha.vasisht')]</t>
  </si>
  <si>
    <t>2010-09-06 09:11:56 EDT</t>
  </si>
  <si>
    <t>2010-09-14 07:20:29 EDT</t>
  </si>
  <si>
    <t>2010-05-24 04:29 EDT</t>
  </si>
  <si>
    <t>[('CREATED', '2010-05-24 04:29 EDT'), ('314227', '2010-05-25 05:49:13 EDT', 'deepakazad'), ('ASSIGNED', '2010-06-04 08:50:37 EDT', 'markus.kell.r'), ('markus_keller', '2010-06-04 08:50:37 EDT', 'markus.kell.r'), ("[introduce parameter] NPE while 'Introduce Parameter Object' when CU not on Build path", '2010-06-04 08:50:37 EDT', 'markus.kell.r'), ('FIXED', '2010-09-06 09:11:56 EDT', 'deepakazad'), ('deepak.azad', '2010-09-06 09:11:56 EDT', 'deepakazad'), ('3.7 M2', '2010-09-06 09:11:56 EDT', 'deepakazad'), ('RESOLVED', '2010-09-06 09:11:56 EDT', 'deepakazad'), ('VERIFIED', '2010-09-14 07:20:29 EDT', 'raksha.vasisht'), ('raksha.vasisht', '2010-09-14 07:20:29 EDT', 'raksha.vasisht')]</t>
  </si>
  <si>
    <t>2010-07-31 09:06:38 EDT</t>
  </si>
  <si>
    <t>2010-05-24 04:53 EDT</t>
  </si>
  <si>
    <t>[('CREATED', '2010-05-24 04:53 EDT'), ('314227', '2010-05-25 05:49:13 EDT', 'deepakazad'), ('ASSIGNED', '2010-06-04 08:51:00 EDT', 'markus.kell.r'), ('markus_keller', '2010-06-04 08:51:00 EDT', 'markus.kell.r'), ("[introduce indirection] Nothing happens while 'Introduce Indirection' when CU not on Build path", '2010-06-04 08:51:00 EDT', 'markus.kell.r'), ('CLOSED', '2010-07-31 09:06:38 EDT', 'deepakazad'), ('DUPLICATE', '2010-07-31 09:06:38 EDT', 'deepakazad')]</t>
  </si>
  <si>
    <t>2010-09-06 10:02:34 EDT</t>
  </si>
  <si>
    <t>2010-09-14 07:33:41 EDT</t>
  </si>
  <si>
    <t>2010-05-24 05:02 EDT</t>
  </si>
  <si>
    <t>2010-05-24 05:02:46 EDT</t>
  </si>
  <si>
    <t>[('CREATED', '2010-05-24 05:02 EDT'), ('minor', '2010-05-24 05:02:46 EDT', 'deepakazad'), ("Incorrect message/Exception while 'Encapsulate field' when CU not on Build path", '2010-05-24 05:41:17 EDT', 'deepakazad'), ('normal', '2010-05-24 05:41:17 EDT', 'deepakazad'), ('314227', '2010-05-25 05:49:13 EDT', 'deepakazad'), ('ASSIGNED', '2010-06-04 08:51:24 EDT', 'markus.kell.r'), ('markus_keller', '2010-06-04 08:51:24 EDT', 'markus.kell.r'), ("[encapsulate field] Incorrect message/Exception while 'Encapsulate field' when CU not on Build path", '2010-06-04 08:51:24 EDT', 'markus.kell.r'), ('RESOLVED', '2010-09-06 10:02:34 EDT', 'deepakazad'), ('FIXED', '2010-09-06 10:02:34 EDT', 'deepakazad'), ('deepak.azad', '2010-09-06 10:02:34 EDT', 'deepakazad'), ('3.7 M2', '2010-09-06 10:02:34 EDT', 'deepakazad'), ('raksha.vasisht', '2010-09-14 07:33:41 EDT', 'raksha.vasisht'), ('VERIFIED', '2010-09-14 07:33:41 EDT', 'raksha.vasisht')]</t>
  </si>
  <si>
    <t>2010-09-08 04:40:51 EDT</t>
  </si>
  <si>
    <t>2010-09-14 07:31:56 EDT</t>
  </si>
  <si>
    <t>2010-05-24 05:09 EDT</t>
  </si>
  <si>
    <t>[('CREATED', '2010-05-24 05:09 EDT'), ('314227', '2010-05-25 05:49:13 EDT', 'deepakazad'), ('ASSIGNED', '2010-06-04 08:51:58 EDT', 'markus.kell.r'), ('markus_keller', '2010-06-04 08:51:58 EDT', 'markus.kell.r'), ("[rename] Incorrect message while 'Rename' when CU not on Build path", '2010-06-04 08:51:58 EDT', 'markus.kell.r'), ('deepak.azad', '2010-09-08 04:40:51 EDT', 'deepakazad'), ('3.7 M2', '2010-09-08 04:40:51 EDT', 'deepakazad'), ('RESOLVED', '2010-09-08 04:40:51 EDT', 'deepakazad'), ('FIXED', '2010-09-08 04:40:51 EDT', 'deepakazad'), ('VERIFIED', '2010-09-14 07:31:56 EDT', 'raksha.vasisht'), ('raksha.vasisht', '2010-09-14 07:31:56 EDT', 'raksha.vasisht')]</t>
  </si>
  <si>
    <t>2010-09-08 04:33:53 EDT</t>
  </si>
  <si>
    <t>2010-09-14 07:28:22 EDT</t>
  </si>
  <si>
    <t>2010-05-24 05:16 EDT</t>
  </si>
  <si>
    <t>[('CREATED', '2010-05-24 05:16 EDT'), ('314227', '2010-05-25 05:49:13 EDT', 'deepakazad'), ('markus_keller', '2010-06-04 08:52:57 EDT', 'markus.kell.r'), ("[move member type] Incorrect message while 'Move Type to New File' when CU not on Build path", '2010-06-04 08:52:57 EDT', 'markus.kell.r'), ('ASSIGNED', '2010-06-04 08:52:57 EDT', 'markus.kell.r'), ('RESOLVED', '2010-09-08 04:33:53 EDT', 'deepakazad'), ('FIXED', '2010-09-08 04:33:53 EDT', 'deepakazad'), ('deepak.azad', '2010-09-08 04:33:53 EDT', 'deepakazad'), ('3.7 M2', '2010-09-08 04:33:53 EDT', 'deepakazad'), ('VERIFIED', '2010-09-14 07:28:22 EDT', 'raksha.vasisht'), ('raksha.vasisht', '2010-09-14 07:28:22 EDT', 'raksha.vasisht')]</t>
  </si>
  <si>
    <t>139197 314063 314069 314073 314075 314076 314077</t>
  </si>
  <si>
    <t>2010-09-08 22:01:59 EDT</t>
  </si>
  <si>
    <t>2010-09-14 07:38:18 EDT</t>
  </si>
  <si>
    <t>2010-05-25 05:46 EDT</t>
  </si>
  <si>
    <t>2010-05-25 05:48:09 EDT</t>
  </si>
  <si>
    <t>[('CREATED', '2010-05-25 05:46 EDT'), ('Root bug to track bugs when CU not on Build path', '2010-05-25 05:48:09 EDT', 'daniel_megert'), ('daniel_megert', '2010-05-25 05:48:09 EDT', 'daniel_megert'), ('314063, 314069, 314073, 314075, 314076, 314077', '2010-05-25 05:49:13 EDT', 'deepakazad'), ('ASSIGNED', '2010-06-04 08:48:45 EDT', 'markus.kell.r'), ('markus_keller', '2010-06-04 08:48:45 EDT', 'markus.kell.r'), ('3.7', '2010-06-04 08:48:45 EDT', 'markus.kell.r'), ('[actions][refactoring] Root bug to track bugs when CU not on Build path', '2010-06-04 08:50:17 EDT', 'markus.kell.r'), ('139197', '2010-07-31 09:08:14 EDT', 'deepakazad'), ('deepak.azad', '2010-09-08 04:42:29 EDT', 'deepakazad'), ('3.7 M2', '2010-09-08 04:42:29 EDT', 'deepakazad'), ('RESOLVED', '2010-09-08 22:01:59 EDT', 'deepakazad'), ('FIXED', '2010-09-08 22:01:59 EDT', 'deepakazad'), ('VERIFIED', '2010-09-14 07:38:18 EDT', 'raksha.vasisht'), ('raksha.vasisht', '2010-09-14 07:38:18 EDT', 'raksha.vasisht')]</t>
  </si>
  <si>
    <t>2010-08-08 08:09:08 EDT</t>
  </si>
  <si>
    <t>2010-09-14 09:45:38 EDT</t>
  </si>
  <si>
    <t>2010-05-26 04:10 EDT</t>
  </si>
  <si>
    <t>2010-05-26 08:20:54 EDT</t>
  </si>
  <si>
    <t>2010-09-14 12:22:43 EDT</t>
  </si>
  <si>
    <t>[('CREATED', '2010-05-26 04:10 EDT'), ('Olivier_Thomann', '2010-05-26 08:20:54 EDT', 'Olivier_Thomann'), ('Olivier_Thomann', '2010-05-26 08:20:54 EDT', 'Olivier_Thomann'), ('UI', '2010-05-26 10:28:15 EDT', 'Olivier_Thomann'), ('jdt-ui-inbox', '2010-05-26 10:28:15 EDT', 'Olivier_Thomann'), ('[inline] IndexOutOfBoundsException in inline method refactoring with compile error', '2010-05-28 09:21:18 EDT', 'markus.kell.r'), ('minor', '2010-05-28 09:21:18 EDT', 'markus.kell.r'), ('ASSIGNED', '2010-05-28 09:21:18 EDT', 'markus.kell.r'), ('markus_keller', '2010-05-28 09:21:18 EDT', 'markus.kell.r'), ('deepak.azad', '2010-05-28 09:21:18 EDT', 'markus.kell.r'), ('3.7', '2010-05-28 09:21:18 EDT', 'markus.kell.r'), ('3.7 M2', '2010-07-26 14:48:42 EDT', 'deepakazad'), ('RESOLVED', '2010-08-08 08:09:08 EDT', 'deepakazad'), ('FIXED', '2010-08-08 08:09:08 EDT', 'deepakazad'), ('VERIFIED', '2010-09-14 09:45:38 EDT', 'daniel_megert'), ('daniel_megert', '2010-09-14 09:45:38 EDT', 'daniel_megert'), ('rthakkar', '2010-09-14 12:22:43 EDT', 'rthakkar')]</t>
  </si>
  <si>
    <t>2010-06-17 14:03:05 EDT</t>
  </si>
  <si>
    <t>2010-08-03 13:58:22 EDT</t>
  </si>
  <si>
    <t>2010-06-02 05:42 EDT</t>
  </si>
  <si>
    <t>2010-06-02 05:42:42 EDT</t>
  </si>
  <si>
    <t>[('CREATED', '2010-06-02 05:42 EDT'), ('3.5.2', '2010-06-02 05:42:42 EDT', 'pihentagy+eclipse+bugzilla'), ('Olivier_Thomann', '2010-06-02 06:47:55 EDT', 'Olivier_Thomann'), ('UI', '2010-06-02 06:47:55 EDT', 'Olivier_Thomann'), ('jdt-ui-inbox', '2010-06-02 06:47:55 EDT', 'Olivier_Thomann'), ('ASSIGNED', '2010-06-02 10:42:59 EDT', 'markus.kell.r'), ('markus_keller', '2010-06-02 10:42:59 EDT', 'markus.kell.r'), ('raksha.vasisht', '2010-06-02 10:42:59 EDT', 'markus.kell.r'), ('3.7', '2010-06-02 10:42:59 EDT', 'markus.kell.r'), ('[encapsulate field] Encapsulate Field quickfix generate getter and setter in the wrong order', '2010-06-02 10:42:59 EDT', 'markus.kell.r'), ('3.7 M1', '2010-06-08 07:02:39 EDT', 'raksha.vasisht'), ('RESOLVED', '2010-06-17 14:03:05 EDT', 'raksha.vasisht'), ('FIXED', '2010-06-17 14:03:05 EDT', 'raksha.vasisht'), ('VERIFIED', '2010-08-03 13:58:22 EDT', 'deepakazad'), ('deepak.azad', '2010-08-03 13:58:22 EDT', 'deepakazad')]</t>
  </si>
  <si>
    <t>2010-06-06 14:29 EDT</t>
  </si>
  <si>
    <t>2010-06-15 10:15:46 EDT</t>
  </si>
  <si>
    <t>[('CREATED', '2010-06-06 14:29 EDT'), ('[quick fix] Add shortcuts to quick fix proposals popup', '2010-06-15 10:15:46 EDT', 'markus.kell.r'), ('P4', '2010-06-15 10:15:46 EDT', 'markus.kell.r'), ('ASSIGNED', '2010-06-15 10:15:46 EDT', 'markus.kell.r'), ('markus_keller', '2010-06-15 10:15:46 EDT', 'markus.kell.r')]</t>
  </si>
  <si>
    <t>2010-06-15 08:52:14 EDT</t>
  </si>
  <si>
    <t>2010-08-03 07:28:36 EDT</t>
  </si>
  <si>
    <t>2010-06-06 14:32 EDT</t>
  </si>
  <si>
    <t>2010-06-07 08:20:58 EDT</t>
  </si>
  <si>
    <t>2010-09-09 15:05:25 EDT</t>
  </si>
  <si>
    <t>[('CREATED', '2010-06-06 14:32 EDT'), ('ASSIGNED', '2010-06-07 08:20:58 EDT', 'daniel_megert'), ('daniel_megert', '2010-06-07 08:20:58 EDT', 'daniel_megert'), ('[extract constant][quick assist] Extract to constant should be available anywhere in a string/number', '2010-06-07 08:20:58 EDT', 'daniel_megert'), ('markus_keller', '2010-06-15 08:51:57 EDT', 'markus.kell.r'), ('RESOLVED', '2010-06-15 08:52:14 EDT', 'markus.kell.r'), ('FIXED', '2010-06-15 08:52:14 EDT', 'markus.kell.r'), ('3.7 M1', '2010-06-15 08:52:14 EDT', 'markus.kell.r'), ('VERIFIED', '2010-08-03 07:28:36 EDT', 'deepakazad'), ('deepak.azad', '2010-08-03 07:28:36 EDT', 'deepakazad'), ('michael_schneider', '2010-09-09 15:05:25 EDT', 'markus.kell.r')]</t>
  </si>
  <si>
    <t>CLOSED  DUPLICATE  of bug 26374</t>
  </si>
  <si>
    <t>2010-06-10 08:21:14 EDT</t>
  </si>
  <si>
    <t>2010-06-09 15:59 EDT</t>
  </si>
  <si>
    <t>2010-06-09 17:09:29 EDT</t>
  </si>
  <si>
    <t>[('CREATED', '2010-06-09 15:59 EDT'), ('Olivier_Thomann', '2010-06-09 17:09:29 EDT', 'Olivier_Thomann'), ('UI', '2010-06-09 17:09:29 EDT', 'Olivier_Thomann'), ('jdt-ui-inbox', '2010-06-09 17:09:29 EDT', 'Olivier_Thomann'), ('CLOSED', '2010-06-10 08:21:14 EDT', 'daniel_megert'), ('daniel_megert', '2010-06-10 08:21:14 EDT', 'daniel_megert'), ('DUPLICATE', '2010-06-10 08:21:14 EDT', 'daniel_megert'), ("[change method signature] Refactor: adding argument to method signature does not check for name clashes with object's instance variables", '2010-06-10 08:21:14 EDT', 'daniel_megert'), ('All', '2010-06-10 08:21:14 EDT', 'daniel_megert')]</t>
  </si>
  <si>
    <t>2010-06-14 09:20:56 EDT</t>
  </si>
  <si>
    <t>2010-06-11 11:18 EDT</t>
  </si>
  <si>
    <t>2010-06-11 11:38:54 EDT</t>
  </si>
  <si>
    <t>[('CREATED', '2010-06-11 11:18 EDT'), ('Olivier_Thomann', '2010-06-11 11:38:54 EDT', 'Olivier_Thomann'), ('UI', '2010-06-11 11:38:54 EDT', 'Olivier_Thomann'), ('jdt-ui-inbox', '2010-06-11 11:38:54 EDT', 'Olivier_Thomann'), ('FIXED', '2010-06-14 09:20:56 EDT', 'markus.kell.r'), ('markus_keller', '2010-06-14 09:20:56 EDT', 'markus.kell.r'), ('3.7 M1', '2010-06-14 09:20:56 EDT', 'markus.kell.r'), ('[refactoring] Refactoring does not give warning about modifying derived resources', '2010-06-14 09:20:56 EDT', 'markus.kell.r'), ('RESOLVED', '2010-06-14 09:20:56 EDT', 'markus.kell.r'), ('markus_keller', '2010-06-14 09:20:56 EDT', 'markus.kell.r')]</t>
  </si>
  <si>
    <t>CLOSED  DUPLICATE  of bug 211755</t>
  </si>
  <si>
    <t>2010-06-15 15:56:14 EDT</t>
  </si>
  <si>
    <t>2010-06-14 16:55 EDT</t>
  </si>
  <si>
    <t>[('CREATED', '2010-06-14 16:55 EDT'), ('deepak.azad', '2010-06-15 15:56:14 EDT', 'deepakazad'), ('DUPLICATE', '2010-06-15 15:56:14 EDT', 'deepakazad'), ('CLOSED', '2010-06-15 15:56:14 EDT', 'deepakazad')]</t>
  </si>
  <si>
    <t>2020-05-17 17:11:08 EDT</t>
  </si>
  <si>
    <t>2010-06-14 17:08 EDT</t>
  </si>
  <si>
    <t>2010-06-16 09:35:57 EDT</t>
  </si>
  <si>
    <t>[('CREATED', '2010-06-14 17:08 EDT'), ('ASSIGNED', '2010-06-16 09:35:57 EDT', 'markus.kell.r'), ('markus_keller', '2010-06-16 09:35:57 EDT', 'markus.kell.r'), ('raksha.vasisht', '2011-10-24 13:46:29 EDT', 'raksha.vasisht'), ('All', '2011-10-24 13:46:51 EDT', 'raksha.vasisht'), ('stalebug', '2020-05-17 17:11:08 EDT', 'genie'), ('CLOSED', '2020-05-17 17:11:08 EDT', 'genie'), ('WONTFIX', '2020-05-17 17:11:08 EDT', 'genie')]</t>
  </si>
  <si>
    <t>2010-06-18 13:55:18 EDT</t>
  </si>
  <si>
    <t>2010-06-17 13:38 EDT</t>
  </si>
  <si>
    <t>2010-06-17 13:45:51 EDT</t>
  </si>
  <si>
    <t>[('CREATED', '2010-06-17 13:38 EDT'), ('3.7 M1', '2010-06-17 13:45:51 EDT', 'markus.kell.r'), ('ASSIGNED', '2010-06-17 13:45:51 EDT', 'markus.kell.r'), ('markus_keller', '2010-06-17 13:45:51 EDT', 'markus.kell.r'), ('RESOLVED', '2010-06-18 13:55:18 EDT', 'markus.kell.r'), ('FIXED', '2010-06-18 13:55:18 EDT', 'markus.kell.r')]</t>
  </si>
  <si>
    <t>2010-07-01 03:43:51 EDT</t>
  </si>
  <si>
    <t>2010-08-03 06:20:49 EDT</t>
  </si>
  <si>
    <t>2010-06-27 10:57 EDT</t>
  </si>
  <si>
    <t>2010-06-27 13:46:44 EDT</t>
  </si>
  <si>
    <t>[('CREATED', '2010-06-27 10:57 EDT'), ('deepak.azad', '2010-06-27 13:46:44 EDT', 'deepakazad'), ('[extract method] "Extract Method" into an enclosing class fails when the inner class has a method of the same name', '2010-06-27 13:46:44 EDT', 'deepakazad'), ('deepak.azad', '2010-06-27 17:14:12 EDT', 'deepakazad'), ('3.7 M1', '2010-06-27 17:15:18 EDT', 'deepakazad'), ('review?(markus_keller)', '2010-06-27 17:17:12 EDT', 'deepakazad'), ('markus_keller', '2010-06-30 14:34:54 EDT', 'markus.kell.r'), ('review-', '2010-06-30 14:34:54 EDT', 'markus.kell.r'), ('1', '2010-07-01 03:39:13 EDT', 'deepakazad'), ('RESOLVED', '2010-07-01 03:43:51 EDT', 'deepakazad'), ('FIXED', '2010-07-01 03:43:51 EDT', 'deepakazad'), ('review+', '2010-07-01 10:30:33 EDT', 'markus.kell.r'), ('VERIFIED', '2010-08-03 06:20:49 EDT', 'daniel_megert'), ('daniel_megert', '2010-08-03 06:20:49 EDT', 'daniel_megert')]</t>
  </si>
  <si>
    <t>2010-06-29 13:36:13 EDT</t>
  </si>
  <si>
    <t>2010-06-28 17:40 EDT</t>
  </si>
  <si>
    <t>2010-06-28 17:47:51 EDT</t>
  </si>
  <si>
    <t>[('CREATED', '2010-06-28 17:40 EDT'), ('Olivier_Thomann', '2010-06-28 17:47:51 EDT', 'Olivier_Thomann'), ('UI', '2010-06-28 17:47:51 EDT', 'Olivier_Thomann'), ('jdt-ui-inbox', '2010-06-28 17:47:51 EDT', 'Olivier_Thomann'), ('FIXED', '2010-06-29 13:36:13 EDT', 'markus.kell.r'), ('markus_keller', '2010-06-29 13:36:13 EDT', 'markus.kell.r'), ('3.7 M1', '2010-06-29 13:36:13 EDT', 'markus.kell.r'), ('[rename] RenameMethodProcessor.checkNewElementName(..) should allow _ at beginning', '2010-06-29 13:36:13 EDT', 'markus.kell.r'), ('RESOLVED', '2010-06-29 13:36:13 EDT', 'markus.kell.r'), ('markus_keller', '2010-06-29 13:36:13 EDT', 'markus.kell.r')]</t>
  </si>
  <si>
    <t>229842 (view as bug list)</t>
  </si>
  <si>
    <t>2010-06-30 06:25 EDT</t>
  </si>
  <si>
    <t>2010-07-28 10:41:55 EDT</t>
  </si>
  <si>
    <t>2019-08-20 13:24:16 EDT</t>
  </si>
  <si>
    <t>[('CREATED', '2010-06-30 06:25 EDT'), ('All', '2010-07-28 10:41:55 EDT', 'daniel_megert'), ('[infer type arguments] "Infer generic type..." refactoring doesn\'t infer generic type argument for Iterator', '2010-07-28 10:41:55 EDT', 'daniel_megert'), ('All', '2010-07-28 10:41:55 EDT', 'daniel_megert'), ('ASSIGNED', '2010-07-28 10:41:55 EDT', 'daniel_megert'), ('daniel_megert', '2010-07-28 10:41:55 EDT', 'daniel_megert'), ('eclipse.rc', '2010-07-28 10:42:15 EDT', 'daniel_megert'), ('markus_keller', '2010-10-19 13:07:18 EDT', 'markus.kell.r'), ('fix candidate', '2010-10-19 13:07:18 EDT', 'markus.kell.r'), ('markus_keller', '2010-12-15 10:29:53 EST', 'markus.kell.r'), ('3.7 M5', '2010-12-15 10:29:53 EST', 'markus.kell.r'), (nan, '2010-12-15 10:29:53 EST', 'markus.kell.r'), ('3.7 M6', '2011-01-24 09:39:08 EST', 'markus.kell.r'), ('3.7 M7', '2011-03-04 10:39:18 EST', 'markus.kell.r'), ('3.8', '2011-04-25 06:04:36 EDT', 'markus.kell.r'), ('jdt-ui-inbox', '2012-04-16 12:26:51 EDT', 'markus.kell.r'), ('---', '2012-04-16 12:26:51 EDT', 'markus.kell.r'), ('fix candidate', '2012-04-16 12:26:51 EDT', 'markus.kell.r'), ('stalebug', '2019-08-20 13:24:16 EDT', 'genie')]</t>
  </si>
  <si>
    <t>2010-06-30 08:16 EDT</t>
  </si>
  <si>
    <t>2010-06-30 08:17:32 EDT</t>
  </si>
  <si>
    <t>2010-09-01 11:51:17 EDT</t>
  </si>
  <si>
    <t>[('CREATED', '2010-06-30 08:16 EDT'), ('Olivier_Thomann', '2010-06-30 08:17:32 EDT', 'Olivier_Thomann'), ('UI', '2010-06-30 08:17:32 EDT', 'Olivier_Thomann'), ('jdt-ui-inbox', '2010-06-30 08:17:32 EDT', 'Olivier_Thomann'), ('ASSIGNED', '2010-07-29 04:26:38 EDT', 'daniel_megert'), ('daniel_megert', '2010-07-29 04:26:38 EDT', 'daniel_megert'), ('[extract method] Should move @SuppressWarnings annotation while extracting method', '2010-07-29 04:26:38 EDT', 'daniel_megert'), ('markus_keller', '2010-09-01 11:51:17 EDT', 'markus.kell.r'), ('fix candidate', '2010-09-01 11:51:17 EDT', 'markus.kell.r')]</t>
  </si>
  <si>
    <t>CLOSED  DUPLICATE  of bug 295200</t>
  </si>
  <si>
    <t>2011-01-24 14:27:22 EST</t>
  </si>
  <si>
    <t>2010-06-30 09:49 EDT</t>
  </si>
  <si>
    <t>2010-07-02 16:09:28 EDT</t>
  </si>
  <si>
    <t>[('CREATED', '2010-06-30 09:49 EDT'), ('ayushman_jain, deepak.azad', '2010-07-02 16:09:28 EDT', 'deepakazad'), ('raksha.vasisht', '2010-07-02 16:09:28 EDT', 'deepakazad'), ('[refactoring][inline] Inline variable removes comments', '2010-07-02 16:09:28 EDT', 'deepakazad'), ('All', '2010-07-02 16:09:28 EDT', 'deepakazad'), ('dirk_baeumer', '2010-08-08 08:27:42 EDT', 'deepakazad'), ('markus_keller', '2010-08-09 11:02:13 EDT', 'raksha.vasisht'), ('CLOSED', '2011-01-24 14:27:22 EST', 'markus.kell.r'), ('DUPLICATE', '2011-01-24 14:27:22 EST', 'markus.kell.r')]</t>
  </si>
  <si>
    <t>2010-07-01 04:01 EDT</t>
  </si>
  <si>
    <t>2010-07-01 04:18:11 EDT</t>
  </si>
  <si>
    <t>2012-05-29 05:02:29 EDT</t>
  </si>
  <si>
    <t>[('CREATED', '2010-07-01 04:01 EDT'), ('Extracted Method is assigning values to parameters', '2010-07-01 04:18:11 EDT', 'oxvalley'), ('UI', '2010-07-01 08:50:45 EDT', 'eclipse'), ('jdt-ui-inbox', '2010-07-01 08:50:45 EDT', 'eclipse'), ('daniel_megert', '2010-07-28 11:30:25 EDT', 'daniel_megert'), ("[quick fix] Add quick fix for 'The parameter x should not be assigned'", '2010-07-28 11:30:25 EDT', 'daniel_megert'), ('enhancement', '2010-07-28 11:30:25 EDT', 'daniel_megert'), ('ASSIGNED', '2010-07-28 11:30:25 EDT', 'daniel_megert'), ('ruediger.herrmann', '2012-05-29 05:02:29 EDT', 'ruediger.herrmann')]</t>
  </si>
  <si>
    <t>450978 (view as bug list)</t>
  </si>
  <si>
    <t>2010-07-01 04:37 EDT</t>
  </si>
  <si>
    <t>2010-07-01 08:51:50 EDT</t>
  </si>
  <si>
    <t>2014-11-12 08:57:31 EST</t>
  </si>
  <si>
    <t>[('CREATED', '2010-07-01 04:37 EDT'), ('UI', '2010-07-01 08:51:50 EDT', 'eclipse'), ('jdt-ui-inbox', '2010-07-01 08:51:50 EDT', 'eclipse'), ('deepak.azad', '2010-07-01 09:40:42 EDT', 'deepakazad'), ('enhancement', '2010-07-01 10:49:38 EDT', 'markus.kell.r'), ('ASSIGNED', '2010-07-01 10:49:38 EDT', 'markus.kell.r'), ('markus_keller', '2010-07-01 10:49:38 EDT', 'markus.kell.r'), ('[extract method] should offer to make method static', '2010-07-01 10:49:38 EDT', 'markus.kell.r'), ('lukas.eder', '2014-11-12 05:12:28 EST', 'noopur_gupta'), ('stephan.herrmann', '2014-11-12 08:57:31 EST', 'stephan.herrmann')]</t>
  </si>
  <si>
    <t>2010-07-02 08:49:00 EDT</t>
  </si>
  <si>
    <t>2010-07-01 10:26 EDT</t>
  </si>
  <si>
    <t>2010-07-01 10:40:28 EDT</t>
  </si>
  <si>
    <t>[('CREATED', '2010-07-01 10:26 EDT'), ('UI', '2010-07-01 10:40:28 EDT', 'Szymon.Brandys'), ('jdt-ui-inbox', '2010-07-01 10:40:28 EDT', 'Szymon.Brandys'), ('JDT', '2010-07-01 10:40:28 EDT', 'Szymon.Brandys'), ('[ltk] RefactoringParticipant methods declare throws OperationCanceledExeption: exception gets logged', '2010-07-01 10:40:28 EDT', 'Szymon.Brandys'), ('Szymon.Brandys', '2010-07-01 10:40:28 EDT', 'Szymon.Brandys'), ('ASSIGNED', '2010-07-01 11:22:25 EDT', 'markus.kell.r'), ('markus_keller', '2010-07-01 11:22:25 EDT', 'markus.kell.r'), ('markus_keller', '2010-07-01 11:22:25 EDT', 'markus.kell.r'), ('3.7 M1', '2010-07-01 11:22:25 EDT', 'markus.kell.r'), ('deepak.azad', '2010-07-01 13:07:49 EDT', 'deepakazad'), ('RESOLVED', '2010-07-02 08:49:00 EDT', 'markus.kell.r'), ('FIXED', '2010-07-02 08:49:00 EDT', 'markus.kell.r')]</t>
  </si>
  <si>
    <t>2010-07-01 10:28:43 EDT</t>
  </si>
  <si>
    <t>2010-08-03 06:23:09 EDT</t>
  </si>
  <si>
    <t>2010-07-01 10:28 EDT</t>
  </si>
  <si>
    <t>[('CREATED', '2010-07-01 10:28 EDT'), ('RESOLVED', '2010-07-01 10:28:43 EDT', 'markus.kell.r'), ('FIXED', '2010-07-01 10:28:43 EDT', 'markus.kell.r'), ('markus_keller', '2010-07-01 10:28:43 EDT', 'markus.kell.r'), ('3.7 M1', '2010-07-01 10:28:43 EDT', 'markus.kell.r'), ('VERIFIED', '2010-08-03 06:23:09 EDT', 'daniel_megert'), ('daniel_megert', '2010-08-03 06:23:09 EDT', 'daniel_megert')]</t>
  </si>
  <si>
    <t>2010-07-30 03:49:53 EDT</t>
  </si>
  <si>
    <t>2010-07-06 09:06 EDT</t>
  </si>
  <si>
    <t>2010-07-06 09:23:59 EDT</t>
  </si>
  <si>
    <t>[('CREATED', '2010-07-06 09:06 EDT'), ('[Refactoring] BadLocationException on Rename Enum with additional constructor', '2010-07-06 09:23:59 EDT', 'leskien'), ('UI', '2010-07-29 03:03:16 EDT', 'prakash'), ('3.6', '2010-07-29 03:03:16 EDT', 'prakash'), ('jdt-ui-inbox', '2010-07-29 03:03:16 EDT', 'prakash'), ('JDT', '2010-07-29 03:03:16 EDT', 'prakash'), ('daniel_megert', '2010-07-29 03:37:19 EDT', 'daniel_megert'), ('markus_keller', '2010-07-29 03:37:19 EDT', 'daniel_megert'), ('RESOLVED', '2010-07-30 03:49:53 EDT', 'daniel_megert'), ('NOT_ECLIPSE', '2010-07-30 03:49:53 EDT', 'daniel_megert')]</t>
  </si>
  <si>
    <t>325131</t>
  </si>
  <si>
    <t>2010-10-08 12:33:03 EDT</t>
  </si>
  <si>
    <t>2010-10-26 04:39:49 EDT</t>
  </si>
  <si>
    <t>2010-07-06 20:44 EDT</t>
  </si>
  <si>
    <t>2010-07-07 02:46:28 EDT</t>
  </si>
  <si>
    <t>[('CREATED', '2010-07-06 20:44 EDT'), ('daniel_megert', '2010-07-07 02:46:28 EDT', 'daniel_megert'), ('UI', '2010-07-07 02:46:28 EDT', 'daniel_megert'), ('jdt-ui-inbox', '2010-07-07 02:46:28 EDT', 'daniel_megert'), ('deepak.azad', '2010-07-08 15:44:14 EDT', 'deepakazad'), ('[move member type] Convert to top level loses literal initializers when changing visibility', '2010-07-08 15:44:14 EDT', 'deepakazad'), ('ASSIGNED', '2010-07-28 09:34:58 EDT', 'daniel_megert'), ('All', '2010-07-28 09:34:58 EDT', 'daniel_megert'), ('[move member type] Convert to top level looses literal initializers when changing visibility', '2010-07-28 09:34:58 EDT', 'daniel_megert'), ('All', '2010-07-28 09:34:58 EDT', 'daniel_megert'), ('major', '2010-07-28 09:34:58 EDT', 'daniel_megert'), ('3.7 M2', '2010-08-10 05:33:24 EDT', 'markus.kell.r'), ('markus_keller', '2010-08-10 05:33:24 EDT', 'markus.kell.r'), ('markus_keller', '2010-08-10 05:33:24 EDT', 'markus.kell.r'), ('325131', '2010-09-13 12:33:43 EDT', 'markus.kell.r'), ('3.7 M3', '2010-09-13 12:33:43 EDT', 'markus.kell.r'), ('1', '2010-10-08 12:31:33 EDT', 'markus.kell.r'), ('RESOLVED', '2010-10-08 12:33:03 EDT', 'markus.kell.r'), ('FIXED', '2010-10-08 12:33:03 EDT', 'markus.kell.r'), ('VERIFIED', '2010-10-26 04:39:49 EDT', 'daniel_megert')]</t>
  </si>
  <si>
    <t>2010-07-28 08:46:01 EDT</t>
  </si>
  <si>
    <t>2010-07-07 06:36 EDT</t>
  </si>
  <si>
    <t>2010-07-07 06:39:59 EDT</t>
  </si>
  <si>
    <t>[('CREATED', '2010-07-07 06:36 EDT'), ('Throw new RuntimeException ("This method has not been implemented yet"); instead of return null;', '2010-07-07 06:39:59 EDT', 'oxvalley'), ('remysuen', '2010-07-07 07:21:39 EDT', 'remy.suen'), ('UI', '2010-07-07 12:23:10 EDT', 'eclipse'), ('jdt-ui-inbox', '2010-07-07 12:23:10 EDT', 'eclipse'), ('All', '2010-07-28 08:46:01 EDT', 'daniel_megert'), ('WONTFIX', '2010-07-28 08:46:01 EDT', 'daniel_megert'), ('All', '2010-07-28 08:46:01 EDT', 'daniel_megert'), ('RESOLVED', '2010-07-28 08:46:01 EDT', 'daniel_megert'), ('daniel_megert', '2010-07-28 08:46:01 EDT', 'daniel_megert')]</t>
  </si>
  <si>
    <t>CLOSED  DUPLICATE  of bug 313208</t>
  </si>
  <si>
    <t>2010-07-29 10:37:27 EDT</t>
  </si>
  <si>
    <t>2010-07-08 08:58 EDT</t>
  </si>
  <si>
    <t>2010-07-29 05:21:13 EDT</t>
  </si>
  <si>
    <t>[('CREATED', '2010-07-08 08:58 EDT'), ('UI', '2010-07-29 05:21:13 EDT', 'prakash'), ('3.6', '2010-07-29 05:21:13 EDT', 'prakash'), ('jdt-ui-inbox', '2010-07-29 05:21:13 EDT', 'prakash'), ('JDT', '2010-07-29 05:21:13 EDT', 'prakash'), ('daniel_megert', '2010-07-29 08:59:02 EDT', 'daniel_megert'), ('markus_keller', '2010-07-29 08:59:02 EDT', 'daniel_megert'), ('[rename] OK button not working the first time in refactoring preview dialog', '2010-07-29 08:59:02 EDT', 'daniel_megert'), ('CLOSED', '2010-07-29 10:37:27 EDT', 'markus.kell.r'), ('DUPLICATE', '2010-07-29 10:37:27 EDT', 'markus.kell.r')]</t>
  </si>
  <si>
    <t>2010-07-13 11:21:22 EDT</t>
  </si>
  <si>
    <t>2010-07-13 09:57 EDT</t>
  </si>
  <si>
    <t>2010-07-13 10:40:42 EDT</t>
  </si>
  <si>
    <t>ankur_sharma</t>
  </si>
  <si>
    <t>[('CREATED', '2010-07-13 09:57 EDT'), ('deepak.azad', '2010-07-13 10:40:42 EDT', 'deepakazad'), ('ASSIGNED', '2010-07-13 10:45:55 EDT', 'markus.kell.r'), ('markus_keller', '2010-07-13 10:45:55 EDT', 'markus.kell.r'), ('[clean up] Provide refactoring option for converting var.equals(const) to const.equals(var)', '2010-07-13 10:45:55 EDT', 'markus.kell.r'), ('P5', '2010-07-13 10:45:55 EDT', 'markus.kell.r'), ('CLOSED', '2010-07-13 11:21:22 EDT', 'ankur_sharma'), ('WORKSFORME', '2010-07-13 11:21:22 EDT', 'ankur_sharma')]</t>
  </si>
  <si>
    <t>2020-03-05 16:41:24 EST</t>
  </si>
  <si>
    <t>2010-07-14 16:26 EDT</t>
  </si>
  <si>
    <t>2010-07-28 08:21:15 EDT</t>
  </si>
  <si>
    <t>[('CREATED', '2010-07-14 16:26 EDT'), ('ASSIGNED', '2010-07-28 08:21:15 EDT', 'daniel_megert'), ('daniel_megert', '2010-07-28 08:21:15 EDT', 'daniel_megert'), ('All', '2010-07-28 08:21:15 EDT', 'daniel_megert'), ('[refactoring] Renaming a field leads to compilation error', '2010-07-28 08:21:15 EDT', 'daniel_megert'), ('All', '2010-07-28 08:21:15 EDT', 'daniel_megert'), ('markus_keller', '2010-08-05 10:46:29 EDT', 'markus.kell.r'), ('[refactoring] Renaming a field leads to compilation error due to hiding', '2010-08-05 10:46:29 EDT', 'markus.kell.r'), ('CLOSED', '2020-03-05 16:41:24 EST', 'genie'), ('WONTFIX', '2020-03-05 16:41:24 EST', 'genie'), ('stalebug', '2020-03-05 16:41:24 EST', 'genie')]</t>
  </si>
  <si>
    <t>CLOSED  DUPLICATE  of bug 195005</t>
  </si>
  <si>
    <t>2010-07-28 08:31:41 EDT</t>
  </si>
  <si>
    <t>2010-07-14 17:37 EDT</t>
  </si>
  <si>
    <t>2010-07-18 05:22:55 EDT</t>
  </si>
  <si>
    <t>[('CREATED', '2010-07-14 17:37 EDT'), ('deepak.azad', '2010-07-18 05:22:55 EDT', 'deepakazad'), ('[pull up] Pulling up a method leads to compilation error: No enclosing instance of the type is accessible in scope', '2010-07-18 05:22:55 EDT', 'deepakazad'), ('CLOSED', '2010-07-28 08:31:41 EDT', 'daniel_megert'), ('daniel_megert', '2010-07-28 08:31:41 EDT', 'daniel_megert'), ('DUPLICATE', '2010-07-28 08:31:41 EDT', 'daniel_megert')]</t>
  </si>
  <si>
    <t>2010-07-18 05:16:34 EDT</t>
  </si>
  <si>
    <t>2010-07-14 18:37 EDT</t>
  </si>
  <si>
    <t>[('CREATED', '2010-07-14 18:37 EDT'), ('CLOSED', '2010-07-18 05:16:34 EDT', 'deepakazad'), ('deepak.azad', '2010-07-18 05:16:34 EDT', 'deepakazad'), ('DUPLICATE', '2010-07-18 05:16:34 EDT', 'deepakazad'), ('[push down] Pushing down a field leads to compilation error: X cannot be resolved or is not a field', '2010-07-18 05:16:34 EDT', 'deepakazad')]</t>
  </si>
  <si>
    <t>2010-07-16 10:56 EDT</t>
  </si>
  <si>
    <t>2010-07-18 05:20:05 EDT</t>
  </si>
  <si>
    <t>2019-11-29 13:25:11 EST</t>
  </si>
  <si>
    <t>[('CREATED', '2010-07-16 10:56 EDT'), ('deepak.azad', '2010-07-18 05:20:05 EDT', 'deepakazad'), ('[push down] Pushing down method leads to compilation error: The method M from the type T is not visible', '2010-07-18 05:20:05 EDT', 'deepakazad'), ('daniel_megert', '2010-07-28 08:35:00 EDT', 'daniel_megert'), ('All', '2010-07-28 08:35:00 EDT', 'daniel_megert'), ('All', '2010-07-28 08:35:00 EDT', 'daniel_megert'), ('ASSIGNED', '2010-07-28 08:35:00 EDT', 'daniel_megert'), ('stalebug', '2019-11-29 13:25:11 EST', 'genie')]</t>
  </si>
  <si>
    <t>CLOSED  DUPLICATE  of bug 60132</t>
  </si>
  <si>
    <t>2010-07-19 05:21 EDT</t>
  </si>
  <si>
    <t>[('CREATED', '2010-07-19 05:21 EDT'), ('CLOSED', '2010-07-28 09:12:25 EDT', 'daniel_megert'), ('daniel_megert', '2010-07-28 09:12:25 EDT', 'daniel_megert'), ('DUPLICATE', '2010-07-28 09:12:25 EDT', 'daniel_megert'), ('[reorg] move package structure to other directory only moves root package', '2010-07-28 09:12:25 EDT', 'daniel_megert')]</t>
  </si>
  <si>
    <t>323835</t>
  </si>
  <si>
    <t>2013-03-22 09:07:27 EDT</t>
  </si>
  <si>
    <t>2011-04-21 03:10:31 EDT</t>
  </si>
  <si>
    <t>2011-04-21 06:27:23 EDT</t>
  </si>
  <si>
    <t>2010-07-20 02:57 EDT</t>
  </si>
  <si>
    <t>2010-07-20 03:37:35 EDT</t>
  </si>
  <si>
    <t>2013-03-22 09:12:25 EDT</t>
  </si>
  <si>
    <t>[('CREATED', '2010-07-20 02:57 EDT'), ('daniel_megert', '2010-07-20 03:37:35 EDT', 'daniel_megert'), ('raksha.vasisht', '2010-07-20 03:37:35 EDT', 'daniel_megert'), ('minor', '2010-07-20 03:37:35 EDT', 'daniel_megert'), ('1', '2010-08-17 02:00:35 EDT', 'raksha.vasisht'), ('review?(markus_keller)', '2010-08-23 06:30:50 EDT', 'daniel_megert'), ('323835', '2010-08-27 10:34:02 EDT', 'markus.kell.r'), ('markus_keller', '2010-08-27 10:49:41 EDT', 'markus.kell.r'), (nan, '2010-08-27 10:49:41 EDT', 'markus.kell.r'), ('1', '2010-09-11 16:30:52 EDT', 'raksha.vasisht'), ('review?(markus_keller)', '2010-09-11 16:33:29 EDT', 'raksha.vasisht'), ('3.7 M3', '2010-09-13 09:11:48 EDT', 'markus.kell.r'), (nan, '2010-09-13 09:11:48 EDT', 'markus.kell.r'), ('3.7 M4', '2010-10-26 07:05:05 EDT', 'raksha.vasisht'), ('1', '2010-11-23 04:51:37 EST', 'raksha.vasisht'), ('review?(markus_keller)', '2010-11-23 05:57:15 EST', 'daniel_megert'), ('review-', '2010-11-24 12:51:58 EST', 'markus.kell.r'), ('1', '2010-12-01 10:39:55 EST', 'raksha.vasisht'), ('review?(markus_keller)', '2010-12-01 10:41:43 EST', 'daniel_megert'), ('3.7 M5', '2010-12-05 06:24:26 EST', 'markus.kell.r'), ('review-', '2010-12-05 06:24:26 EST', 'markus.kell.r'), ('3.7 M6', '2011-01-24 14:19:01 EST', 'raksha.vasisht'), ('1', '2011-02-08 04:11:12 EST', 'raksha.vasisht'), ('review?(deepak.azad)', '2011-02-08 06:45:03 EST', 'daniel_megert'), ('deepak.azad', '2011-02-08 08:29:33 EST', 'deepakazad'), ('review-', '2011-02-08 08:29:33 EST', 'deepakazad'), ('1', '2011-02-11 06:15:59 EST', 'raksha.vasisht'), ('review?(deepak.azad)', '2011-02-11 07:01:52 EST', 'deepakazad'), ('1', '2011-02-11 08:01:27 EST', 'raksha.vasisht'), ('review-', '2011-02-11 13:11:39 EST', 'deepakazad'), ('1', '2011-02-14 16:32:21 EST', 'raksha.vasisht'), ('review?(deepak.azad)', '2011-02-14 22:11:23 EST', 'deepakazad'), (nan, '2011-02-16 07:53:54 EST', 'deepakazad'), ('1', '2011-02-17 06:22:39 EST', 'raksha.vasisht'), ('review?(deepak.azad)', '2011-02-17 06:23:21 EST', 'raksha.vasisht'), ('review-', '2011-02-18 09:32:13 EST', 'deepakazad'), ('3.7 M7', '2011-03-06 19:29:27 EST', 'markus.kell.r'), ('P2', '2011-04-05 06:12:35 EDT', 'daniel_megert'), ('1', '2011-04-18 10:30:07 EDT', 'raksha.vasisht'), ('1', '2011-04-18 10:30:07 EDT', 'raksha.vasisht'), ('review?, review?(deepak.azad)', '2011-04-18 10:35:53 EDT', 'raksha.vasisht'), ('1', '2011-04-19 04:55:22 EDT', 'raksha.vasisht'), ('review+', '2011-04-20 05:49:06 EDT', 'deepakazad'), ('RESOLVED', '2011-04-21 03:10:31 EDT', 'raksha.vasisht'), ('FIXED', '2011-04-21 03:10:31 EDT', 'raksha.vasisht'), ('REOPENED', '2011-04-21 06:27:23 EDT', 'deepakazad'), ('---', '2011-04-21 06:27:23 EDT', 'deepakazad'), ('3.8', '2011-04-21 08:12:00 EDT', 'daniel_megert'), ('ericdp', '2011-04-21 09:02:01 EDT', 'ericdp'), ('1', '2011-04-21 11:20:15 EDT', 'raksha.vasisht'), ('pwebster', '2011-05-13 12:21:41 EDT', 'pwebster'), ('deepak.azad', '2012-02-20 10:34:18 EST', 'daniel_megert'), (nan, '2012-02-20 10:34:18 EST', 'daniel_megert'), ('jdt-ui-inbox', '2012-04-25 09:42:04 EDT', 'deepakazad'), ('4.3', '2012-04-25 09:42:04 EDT', 'deepakazad'), ('fix candidate', '2012-04-25 09:42:04 EDT', 'deepakazad'), ('ASSIGNED', '2012-04-25 10:14:58 EDT', 'deepakazad'), ('P3', '2012-05-14 03:00:09 EDT', 'daniel_megert'), ('noopur_gupta', '2013-01-25 07:47:07 EST', 'noopur_gupta'), ('review?(daniel_megert)', '2013-01-25 07:47:07 EST', 'noopur_gupta'), ('noopur_gupta', '2013-01-28 11:09:57 EST', 'daniel_megert'), (nan, '2013-01-28 11:09:57 EST', 'daniel_megert'), ('1', '2013-01-28 11:10:25 EST', 'daniel_megert'), ('review-', '2013-01-28 11:10:25 EST', 'daniel_megert'), ('review?(daniel_megert)', '2013-02-26 05:14:37 EST', 'noopur_gupta'), ('RESOLVED', '2013-03-22 09:07:27 EDT', 'daniel_megert'), ('WONTFIX', '2013-03-22 09:07:27 EDT', 'daniel_megert'), (nan, '2013-03-22 09:07:27 EDT', 'daniel_megert'), ('review-', '2013-03-22 09:11:01 EDT', 'daniel_megert'), ('1', '2013-03-22 09:12:25 EDT', 'daniel_megert'), ('review-', '2013-03-22 09:12:25 EDT', 'daniel_megert')]</t>
  </si>
  <si>
    <t>2010-07-21 11:04:54 EDT</t>
  </si>
  <si>
    <t>2010-07-21 09:59 EDT</t>
  </si>
  <si>
    <t>[('CREATED', '2010-07-21 09:59 EDT'), ('RESOLVED', '2010-07-21 11:04:54 EDT', 'markus.kell.r'), ('FIXED', '2010-07-21 11:04:54 EDT', 'markus.kell.r'), ('3.7 M1', '2010-07-21 11:04:54 EDT', 'markus.kell.r')]</t>
  </si>
  <si>
    <t>2010-07-21 12:32 EDT</t>
  </si>
  <si>
    <t>2010-07-28 09:06:34 EDT</t>
  </si>
  <si>
    <t>2020-05-26 07:57:37 EDT</t>
  </si>
  <si>
    <t>[('CREATED', '2010-07-21 12:32 EDT'), ('investigate', '2010-07-28 09:06:34 EDT', 'daniel_megert'), ('daniel_megert', '2010-07-28 09:06:34 EDT', 'daniel_megert'), ('markus_keller', '2010-07-28 09:06:34 EDT', 'daniel_megert'), ('stalebug', '2020-05-26 07:57:37 EDT', 'genie')]</t>
  </si>
  <si>
    <t>2010-07-23 09:15 EDT</t>
  </si>
  <si>
    <t>2010-07-23 09:17:18 EDT</t>
  </si>
  <si>
    <t>[('CREATED', '2010-07-23 09:15 EDT'), ('remysuen', '2010-07-23 09:17:18 EDT', 'remy.suen'), ('ankur_sharma', '2010-07-23 15:56:44 EDT', 'ankur_sharma'), ('UI', '2010-07-23 15:56:44 EDT', 'ankur_sharma'), ('3.6', '2010-07-23 15:56:44 EDT', 'ankur_sharma'), ('jdt-ui-inbox', '2010-07-23 15:56:44 EDT', 'ankur_sharma'), ('JDT', '2010-07-23 15:56:44 EDT', 'ankur_sharma'), ('DUPLICATE', '2010-07-28 06:52:04 EDT', 'daniel_megert'), ('[JUnit] Renaming unit test class when renaming the class who’s tested', '2010-07-28 06:52:04 EDT', 'daniel_megert'), ('CLOSED', '2010-07-28 06:52:04 EDT', 'daniel_megert'), ('daniel_megert', '2010-07-28 06:52:04 EDT', 'daniel_megert')]</t>
  </si>
  <si>
    <t>322817</t>
  </si>
  <si>
    <t>2011-03-01 06:56:05 EST</t>
  </si>
  <si>
    <t>2010-07-26 05:39 EDT</t>
  </si>
  <si>
    <t>2010-07-26 05:42:57 EDT</t>
  </si>
  <si>
    <t>[('CREATED', '2010-07-26 05:39 EDT'), ('daniel_megert', '2010-07-26 05:42:57 EDT', 'daniel_megert'), ('deepak.azad, raksha.vasisht', '2010-07-26 05:44:40 EDT', 'markus.kell.r'), ('markus_keller', '2010-07-26 05:44:40 EDT', 'markus.kell.r'), ('3.7 M2', '2010-07-26 05:44:40 EDT', 'markus.kell.r'), ('ASSIGNED', '2010-07-26 05:44:52 EDT', 'markus.kell.r'), ('remysuen', '2010-07-26 06:04:10 EDT', 'remy.suen'), ('rthakkar', '2010-08-27 12:46:29 EDT', 'markus.kell.r'), ('3.7 M3', '2010-09-08 10:42:52 EDT', 'markus.kell.r'), ('P2', '2010-09-21 08:22:14 EDT', 'daniel_megert'), ('322817', '2010-10-25 11:31:53 EDT', 'markus.kell.r'), ('3.7 M4', '2010-10-25 11:31:53 EDT', 'markus.kell.r'), ('3.7 M5', '2010-12-05 12:02:05 EST', 'markus.kell.r'), ('3.7 M6', '2011-01-18 05:19:05 EST', 'markus.kell.r'), ('RESOLVED', '2011-03-01 06:56:05 EST', 'markus.kell.r'), ('FIXED', '2011-03-01 06:56:05 EST', 'markus.kell.r')]</t>
  </si>
  <si>
    <t>383080 (view as bug list)</t>
  </si>
  <si>
    <t>2012-07-05 12:53:52 EDT</t>
  </si>
  <si>
    <t>2012-06-12 09:03:48 EDT</t>
  </si>
  <si>
    <t>2012-06-22 07:57:00 EDT</t>
  </si>
  <si>
    <t>2010-07-26 05:50 EDT</t>
  </si>
  <si>
    <t>2010-07-26 05:50:45 EDT</t>
  </si>
  <si>
    <t>[('CREATED', '2010-07-26 05:50 EDT'), ('markus_keller', '2010-07-26 05:50:45 EDT', 'markus.kell.r'), ('3.7 M2', '2010-07-26 05:50:45 EDT', 'markus.kell.r'), ('[refactoring] DynamicValidationStateChange throws away valid changes after 30 minutes', '2010-07-26 05:50:45 EDT', 'markus.kell.r'), ('rthakkar', '2010-09-09 05:33:35 EDT', 'markus.kell.r'), ('3.7', '2010-09-09 05:33:35 EDT', 'markus.kell.r'), ('daniel_megert', '2010-11-04 12:08:48 EDT', 'daniel_megert'), ('All', '2010-11-04 12:08:48 EDT', 'daniel_megert'), ('3.7 M4', '2010-11-04 12:08:48 EDT', 'daniel_megert'), ('All', '2010-11-04 12:08:48 EDT', 'daniel_megert'), ('3.7 M5', '2010-12-06 05:24:10 EST', 'markus.kell.r'), ('P4', '2011-01-04 05:17:09 EST', 'daniel_megert'), ('3.7 M6', '2011-01-25 10:54:19 EST', 'daniel_megert'), ('3.7 M7', '2011-03-04 12:31:33 EST', 'markus.kell.r'), ('---', '2011-03-07 00:36:30 EST', 'rthakkar'), ('jdt-ui-inbox', '2011-03-08 23:02:10 EST', 'rthakkar'), ('3.7 M7', '2011-03-08 23:02:10 EST', 'rthakkar'), ('P3', '2011-03-09 10:04:02 EST', 'markus.kell.r'), ('ASSIGNED', '2011-03-09 10:04:02 EST', 'markus.kell.r'), ('3.8', '2011-04-18 05:28:12 EDT', 'daniel_megert'), ('markus_keller', '2012-04-29 19:09:46 EDT', 'markus.kell.r'), ('markus_keller', '2012-04-29 19:09:46 EDT', 'markus.kell.r'), ('4.3', '2012-04-29 19:09:46 EDT', 'markus.kell.r'), ('RESOLVED', '2012-06-12 09:03:48 EDT', 'markus.kell.r'), ('WORKSFORME', '2012-06-12 09:03:48 EDT', 'markus.kell.r'), ('---', '2012-06-12 09:03:48 EDT', 'markus.kell.r'), ('michael.mess', '2012-06-22 07:54:48 EDT', 'markus.kell.r'), ('REOPENED', '2012-06-22 07:57:00 EDT', 'markus.kell.r'), ('Joerg.Thoennes', '2012-06-22 07:57:00 EDT', 'markus.kell.r'), ('---', '2012-06-22 07:57:00 EDT', 'markus.kell.r'), ('4.3 M1', '2012-06-22 07:57:00 EDT', 'markus.kell.r'), ('RESOLVED', '2012-07-05 12:53:52 EDT', 'markus.kell.r'), ('FIXED', '2012-07-05 12:53:52 EDT', 'markus.kell.r')]</t>
  </si>
  <si>
    <t>420263 (view as bug list)</t>
  </si>
  <si>
    <t>2010-08-31 09:39:37 EDT</t>
  </si>
  <si>
    <t>2010-07-27 05:03 EDT</t>
  </si>
  <si>
    <t>2010-08-28 14:11:24 EDT</t>
  </si>
  <si>
    <t>2018-12-14 11:48:47 EST</t>
  </si>
  <si>
    <t>nigu.orru</t>
  </si>
  <si>
    <t>[('CREATED', '2010-07-27 05:03 EDT'), ('jdt-ui-inbox', '2010-08-28 14:11:24 EDT', 'kentarou'), ('JDT', '2010-08-28 14:11:24 EDT', 'kentarou'), ('kentarou', '2010-08-28 14:11:24 EDT', 'kentarou'), ('UI', '2010-08-28 14:11:24 EDT', 'kentarou'), ('3.6', '2010-08-28 14:11:24 EDT', 'kentarou'), ('markus_keller', '2010-08-30 14:37:08 EDT', 'markus.kell.r'), ('needinfo', '2010-08-31 09:39:37 EDT', 'markus.kell.r'), ('RESOLVED', '2010-08-31 09:39:37 EDT', 'markus.kell.r'), ('WORKSFORME', '2010-08-31 09:39:37 EDT', 'markus.kell.r'), ('[rename] NPE in RenameAnalyzeUtil during Rename Local Variable refactoring', '2010-08-31 09:39:37 EDT', 'markus.kell.r'), ('michal', '2013-11-08 03:32:24 EST', 'daniel_megert'), ('daniel_megert', '2013-11-08 03:32:49 EST', 'daniel_megert'), ('davidmichaelkarr', '2018-07-18 13:11:46 EDT', 'davidmichaelkarr'), ('stephan.herrmann', '2018-07-18 14:50:16 EDT', 'stephan.herrmann'), (nan, '2018-07-18 14:57:45 EDT', 'michal'), ('nigu.orru', '2018-12-14 11:48:47 EST', 'nigu.orru')]</t>
  </si>
  <si>
    <t>2010-08-09 13:46:11 EDT</t>
  </si>
  <si>
    <t>2010-07-30 12:04 EDT</t>
  </si>
  <si>
    <t>2010-07-30 12:04:26 EDT</t>
  </si>
  <si>
    <t>2019-08-11 17:04:44 EDT</t>
  </si>
  <si>
    <t>[('CREATED', '2010-07-30 12:04 EDT'), ('3.6', '2010-07-30 12:04:26 EDT', 'tjbishop'), ('arvera', '2010-07-30 12:05:01 EDT', 'arvera'), ('remysuen', '2010-07-30 12:09:39 EDT', 'remy.suen'), ('deepak.azad', '2010-07-30 13:23:44 EDT', 'deepakazad'), ('CLOSED', '2010-08-09 04:56:17 EDT', 'markus.kell.r'), ('markus_keller', '2010-08-09 04:56:17 EDT', 'markus.kell.r'), ('DUPLICATE', '2010-08-09 04:56:17 EDT', 'markus.kell.r'), ('[refactoring] Must RefactoringWizardOpenOperation use a workspace lock?', '2010-08-09 04:56:17 EDT', 'markus.kell.r'), ('REOPENED', '2010-08-09 13:46:11 EDT', 'arvera'), ('---', '2010-08-09 13:46:11 EDT', 'arvera'), ('ASSIGNED', '2010-08-10 11:57:45 EDT', 'markus.kell.r'), ('stalebug', '2019-08-11 17:04:44 EDT', 'genie')]</t>
  </si>
  <si>
    <t>2011-03-07 14:18:52 EST</t>
  </si>
  <si>
    <t>2010-08-03 09:43 EDT</t>
  </si>
  <si>
    <t>2010-08-03 10:20:13 EDT</t>
  </si>
  <si>
    <t>[('CREATED', '2010-08-03 09:43 EDT'), ('ayushman_jain', '2010-08-03 10:20:13 EDT', 'amj87.iitr'), ('3.7', '2010-08-03 10:20:13 EDT', 'amj87.iitr'), ('ayushman_jain', '2010-08-03 10:20:13 EDT', 'amj87.iitr'), ('daniel_megert', '2010-08-04 10:31:02 EDT', 'amj87.iitr'), ('markus_keller', '2010-08-04 10:31:17 EDT', 'amj87.iitr'), ('ASSIGNED', '2010-08-04 11:10:21 EDT', 'markus.kell.r'), ('UI', '2010-08-04 11:10:21 EDT', 'markus.kell.r'), ('jdt-ui-inbox', '2010-08-04 11:10:21 EDT', 'markus.kell.r'), ('[quick fix] Dead code fix forget that conditional has a special way to compute resulting type', '2010-08-04 11:10:21 EDT', 'markus.kell.r'), ('markus_keller', '2010-08-04 11:23:24 EDT', 'daniel_megert'), ('3.7 M2', '2010-08-04 11:23:24 EDT', 'daniel_megert'), ('3.7 M3', '2010-09-13 16:03:35 EDT', 'markus.kell.r'), ('3.7 M4', '2010-10-25 06:46:23 EDT', 'markus.kell.r'), ('3.7 M5', '2010-12-01 15:12:13 EST', 'markus.kell.r'), ('3.7 M6', '2011-01-24 15:31:57 EST', 'markus.kell.r'), ('RESOLVED', '2011-03-07 14:18:52 EST', 'markus.kell.r'), ('FIXED', '2011-03-07 14:18:52 EST', 'markus.kell.r')]</t>
  </si>
  <si>
    <t>321642</t>
  </si>
  <si>
    <t>2010-08-04 12:24:50 EDT</t>
  </si>
  <si>
    <t>2010-08-05 02:35:28 EDT</t>
  </si>
  <si>
    <t>2010-08-04 09:56 EDT</t>
  </si>
  <si>
    <t>2010-08-04 09:57:41 EDT</t>
  </si>
  <si>
    <t>[('CREATED', '2010-08-04 09:56 EDT'), ('321642', '2010-08-04 09:57:41 EDT', 'kim.moir'), ('raksha.vasisht', '2010-08-04 10:45:24 EDT', 'raksha.vasisht'), ('raksha.vasisht', '2010-08-04 11:25:08 EDT', 'daniel_megert'), ('daniel_megert', '2010-08-04 11:25:08 EDT', 'daniel_megert'), ('3.7 M1', '2010-08-04 11:25:15 EDT', 'daniel_megert'), ('RESOLVED', '2010-08-04 12:24:50 EDT', 'raksha.vasisht'), ('FIXED', '2010-08-04 12:24:50 EDT', 'raksha.vasisht'), ('VERIFIED', '2010-08-05 02:35:28 EDT', 'daniel_megert')]</t>
  </si>
  <si>
    <t>RESOLVED  DUPLICATE  of bug 321829</t>
  </si>
  <si>
    <t>2010-08-05 06:29:26 EDT</t>
  </si>
  <si>
    <t>2010-08-05 06:01 EDT</t>
  </si>
  <si>
    <t>2010-08-05 06:07:13 EDT</t>
  </si>
  <si>
    <t>maciej</t>
  </si>
  <si>
    <t>[('CREATED', '2010-08-05 06:01 EDT'), ('ayushman_jain', '2010-08-05 06:07:13 EDT', 'amj87.iitr'), ('UI', '2010-08-05 06:07:13 EDT', 'amj87.iitr'), ('jdt-ui-inbox', '2010-08-05 06:07:13 EDT', 'amj87.iitr'), ('RESOLVED', '2010-08-05 06:29:26 EDT', 'maciej'), ('DUPLICATE', '2010-08-05 06:29:26 EDT', 'maciej')]</t>
  </si>
  <si>
    <t>2010-08-25 06:24:15 EDT</t>
  </si>
  <si>
    <t>2010-09-15 01:57:05 EDT</t>
  </si>
  <si>
    <t>2010-08-11 06:17 EDT</t>
  </si>
  <si>
    <t>2010-08-12 02:47:49 EDT</t>
  </si>
  <si>
    <t>[('CREATED', '2010-08-11 06:17 EDT'), ('ayushman_jain', '2010-08-12 02:47:49 EDT', 'amj87.iitr'), ('UI', '2010-08-12 02:47:49 EDT', 'amj87.iitr'), ('jdt-ui-inbox', '2010-08-12 02:47:49 EDT', 'amj87.iitr'), ('daniel_megert', '2010-08-24 03:25:19 EDT', 'daniel_megert'), ('IntroduceParameterRefactoring wrong assurance ICompilationUnit =&gt; IMethod', '2010-08-24 03:25:28 EDT', 'daniel_megert'), ('daniel_megert', '2010-08-25 06:22:35 EDT', 'daniel_megert'), ('RESOLVED', '2010-08-25 06:24:15 EDT', 'daniel_megert'), ('FIXED', '2010-08-25 06:24:15 EDT', 'daniel_megert'), ('3.7 M2', '2010-08-25 06:24:15 EDT', 'daniel_megert'), ('[introduce parameter] IntroduceParameterRefactoring wrong assurance ICompilationUnit =&gt; IMethod', '2010-08-25 06:24:15 EDT', 'daniel_megert'), ('VERIFIED', '2010-09-15 01:57:05 EDT', 'daniel_megert')]</t>
  </si>
  <si>
    <t>2010-08-12 05:38 EDT</t>
  </si>
  <si>
    <t>2010-08-12 05:42:44 EDT</t>
  </si>
  <si>
    <t>2017-03-30 07:26:39 EDT</t>
  </si>
  <si>
    <t>[('CREATED', '2010-08-12 05:38 EDT'), ('remysuen', '2010-08-12 05:42:44 EDT', 'remy.suen'), ('benno.baumgartner', '2010-08-12 05:44:08 EDT', 'benno.baumgartner'), ('srikanth_sankaran', '2010-08-12 05:45:12 EDT', 'srikanth_sankaran'), ('UI', '2010-08-12 05:45:12 EDT', 'srikanth_sankaran'), ('jdt-ui-inbox', '2010-08-12 05:45:12 EDT', 'srikanth_sankaran'), ('frederic_fusier', '2010-08-12 06:18:27 EDT', 'frederic_fusier'), ('ASSIGNED', '2010-08-12 08:30:30 EDT', 'markus.kell.r'), ('markus_keller', '2010-08-12 08:30:30 EDT', 'markus.kell.r'), ('[clean up] Add a "Misorted modifier" compiler warning', '2010-08-12 08:30:30 EDT', 'markus.kell.r'), ('deepak.azad', '2010-08-12 08:46:19 EDT', 'deepakazad'), ('daniel_megert', '2010-08-12 08:51:14 EDT', 'daniel_megert'), ("[clean up] Add a 'Correct Modifier Order' clean up", '2010-08-12 08:51:14 EDT', 'daniel_megert'), ("[clean up] Add a 'Sort modifiers' clean up", '2010-08-18 11:35:18 EDT', 'christophe.bismuth'), ('1', '2010-08-30 16:08:56 EDT', 'christophe.bismuth'), ('1', '2010-08-30 16:09:34 EDT', 'christophe.bismuth'), ('1', '2010-08-30 16:10:29 EDT', 'christophe.bismuth'), ('markus_keller', '2010-09-16 08:39:35 EDT', 'markus.kell.r'), ('3.7 M3', '2010-09-16 08:39:35 EDT', 'markus.kell.r'), ('3.7 M4', '2010-10-25 06:47:23 EDT', 'markus.kell.r'), ('3.7 M5', '2010-12-05 12:01:09 EST', 'markus.kell.r'), ('3.7 M6', '2011-01-24 15:45:16 EST', 'markus.kell.r'), ('christophe.bismuth', '2011-01-25 02:53:39 EST', 'daniel_megert'), ('1', '2011-01-31 13:47:55 EST', 'christophe.bismuth'), ('1', '2011-01-31 13:47:55 EST', 'christophe.bismuth'), ('1', '2011-01-31 13:47:55 EST', 'christophe.bismuth'), ('1', '2011-01-31 13:47:55 EST', 'christophe.bismuth'), ('3.7 M7', '2011-03-04 10:38:14 EST', 'markus.kell.r'), ('1', '2011-03-25 16:35:35 EDT', 'christophe.bismuth'), ('markus_keller', '2011-04-26 05:25:31 EDT', 'markus.kell.r'), ('3.8', '2011-04-26 05:25:31 EDT', 'markus.kell.r'), ('P2', '2012-04-27 11:35:58 EDT', 'markus.kell.r'), ('4.3', '2012-04-27 11:35:58 EDT', 'markus.kell.r'), ('4.4', '2013-04-29 12:50:01 EDT', 'markus.kell.r'), ('st.mailinglists', '2013-10-25 10:42:30 EDT', 'st.mailinglists'), ('4.5', '2014-04-28 20:12:22 EDT', 'markus.kell.r'), ('4.6', '2015-04-28 06:02:25 EDT', 'markus.kell.r'), ('kuba.bochenski+eclipse', '2016-04-14 11:30:33 EDT', 'kuba.bochenski+eclipse'), ('---', '2016-04-14 12:22:01 EDT', 'daniel_megert'), ('jdt-ui-inbox', '2016-04-14 12:22:01 EDT', 'daniel_megert'), ('P3', '2016-04-14 12:22:24 EDT', 'daniel_megert'), ('gautier.desaintmartinlacaze', '2016-04-15 05:23:01 EDT', 'gautier.desaintmartinlacaze'), ('eclipse', '2017-03-30 04:46:55 EDT', 'eclipse'), ('loskutov', '2017-03-30 07:26:39 EDT', 'loskutov')]</t>
  </si>
  <si>
    <t>325195</t>
  </si>
  <si>
    <t>2010-09-14 02:31:16 EDT</t>
  </si>
  <si>
    <t>2010-09-16 05:08:29 EDT</t>
  </si>
  <si>
    <t>2010-08-12 10:44 EDT</t>
  </si>
  <si>
    <t>2010-08-12 10:45:06 EDT</t>
  </si>
  <si>
    <t>[('CREATED', '2010-08-12 10:44 EDT'), ('3.7 M2', '2010-08-12 10:45:06 EDT', 'markus.kell.r'), ('markus_keller', '2010-08-12 10:45:06 EDT', 'markus.kell.r'), ('ASSIGNED', '2010-08-12 10:45:14 EDT', 'markus.kell.r'), ('rthakkar', '2010-09-09 05:24:19 EDT', 'markus.kell.r'), ('RESOLVED', '2010-09-14 02:31:16 EDT', 'daniel_megert'), ('daniel_megert', '2010-09-14 02:31:16 EDT', 'daniel_megert'), ('All', '2010-09-14 02:31:16 EDT', 'daniel_megert'), ('FIXED', '2010-09-14 02:31:16 EDT', 'daniel_megert'), ('markus_keller', '2010-09-14 02:31:16 EDT', 'daniel_megert'), ('All', '2010-09-14 02:31:16 EDT', 'daniel_megert'), ('325195', '2010-09-14 02:31:37 EDT', 'daniel_megert'), ('VERIFIED', '2010-09-16 05:08:29 EDT', 'daniel_megert')]</t>
  </si>
  <si>
    <t>CLOSED  DUPLICATE  of bug 320523</t>
  </si>
  <si>
    <t>2010-08-16 04:14:02 EDT</t>
  </si>
  <si>
    <t>2010-08-13 19:31 EDT</t>
  </si>
  <si>
    <t>[('CREATED', '2010-08-13 19:31 EDT'), ('CLOSED', '2010-08-16 04:14:02 EDT', 'daniel_megert'), ('daniel_megert', '2010-08-16 04:14:02 EDT', 'daniel_megert'), ('DUPLICATE', '2010-08-16 04:14:02 EDT', 'daniel_megert')]</t>
  </si>
  <si>
    <t>2010-08-18 02:55:25 EDT</t>
  </si>
  <si>
    <t>2010-08-14 01:22 EDT</t>
  </si>
  <si>
    <t>2010-08-14 06:57:47 EDT</t>
  </si>
  <si>
    <t>[('CREATED', '2010-08-14 01:22 EDT'), ('srikanth_sankaran', '2010-08-14 06:57:47 EDT', 'srikanth_sankaran'), ('UI', '2010-08-14 06:57:47 EDT', 'srikanth_sankaran'), ('jdt-ui-inbox', '2010-08-14 06:57:47 EDT', 'srikanth_sankaran'), ('CLOSED', '2010-08-18 02:55:25 EDT', 'daniel_megert'), ('daniel_megert', '2010-08-18 02:55:25 EDT', 'daniel_megert'), ('DUPLICATE', '2010-08-18 02:55:25 EDT', 'daniel_megert'), ('[extract local] "Extract to local variable (replace all occurrences)" is too aggressive', '2010-08-18 02:55:25 EDT', 'daniel_megert')]</t>
  </si>
  <si>
    <t>2010-11-08 23:56:57 EST</t>
  </si>
  <si>
    <t>2010-09-01 15:18 EDT</t>
  </si>
  <si>
    <t>2010-09-07 05:38:13 EDT</t>
  </si>
  <si>
    <t>2011-12-08 21:34:27 EST</t>
  </si>
  <si>
    <t>[('CREATED', '2010-09-01 15:18 EDT'), ('ASSIGNED', '2010-09-07 05:38:13 EDT', 'markus.kell.r'), ('markus_keller', '2010-09-07 05:38:13 EDT', 'markus.kell.r'), ('enhancement', '2010-09-07 05:38:13 EDT', 'markus.kell.r'), ('deepak.azad', '2010-10-29 04:39:42 EDT', 'deepakazad'), ('review?(markus_keller)', '2010-10-29 05:16:18 EDT', 'deepakazad'), ('3.7 M4', '2010-11-08 10:32:14 EST', 'markus.kell.r'), ('review+', '2010-11-08 10:32:14 EST', 'markus.kell.r'), ('1', '2010-11-08 23:56:38 EST', 'deepakazad'), ('RESOLVED', '2010-11-08 23:56:57 EST', 'deepakazad'), ('FIXED', '2010-11-08 23:56:57 EST', 'deepakazad'), ('nchen, reprogrammer, snegara2', '2011-12-08 21:34:27 EST', 'reprogrammer')]</t>
  </si>
  <si>
    <t>2010-09-03 00:35:29 EDT</t>
  </si>
  <si>
    <t>2010-09-02 04:17 EDT</t>
  </si>
  <si>
    <t>2010-09-02 04:34:26 EDT</t>
  </si>
  <si>
    <t>[('CREATED', '2010-09-02 04:17 EDT'), ('UI', '2010-09-02 04:34:26 EDT', 'frederic_fusier'), ('jdt-ui-inbox', '2010-09-02 04:34:26 EDT', 'frederic_fusier'), ('deepak.azad', '2010-09-02 14:55:33 EDT', 'deepakazad'), ('[pull up] Error occurred while pull up refactoring', '2010-09-02 14:55:33 EDT', 'deepakazad'), ('RESOLVED', '2010-09-03 00:35:29 EDT', 'deepakazad'), ('WORKSFORME', '2010-09-03 00:35:29 EDT', 'deepakazad')]</t>
  </si>
  <si>
    <t>324476</t>
  </si>
  <si>
    <t>2010-09-06 05:55:39 EDT</t>
  </si>
  <si>
    <t>2010-09-03 15:20 EDT</t>
  </si>
  <si>
    <t>2010-09-03 15:20:41 EDT</t>
  </si>
  <si>
    <t>2010-09-06 05:55:47 EDT</t>
  </si>
  <si>
    <t>[('CREATED', '2010-09-03 15:20 EDT'), ('324476', '2010-09-03 15:20:41 EDT', 'kim.moir'), ('RESOLVED', '2010-09-06 05:55:39 EDT', 'markus.kell.r'), ('markus_keller', '2010-09-06 05:55:39 EDT', 'markus.kell.r'), ('FIXED', '2010-09-06 05:55:39 EDT', 'markus.kell.r'), ('3.7 M2', '2010-09-06 05:55:39 EDT', 'markus.kell.r'), ('markus_keller', '2010-09-06 05:55:47 EDT', 'markus.kell.r')]</t>
  </si>
  <si>
    <t>2010-09-13 07:40 EDT</t>
  </si>
  <si>
    <t>2010-09-13 07:40:26 EDT</t>
  </si>
  <si>
    <t>2020-06-14 14:36:38 EDT</t>
  </si>
  <si>
    <t>[('CREATED', '2010-09-13 07:40 EDT'), ('3.6', '2010-09-13 07:40:26 EDT', 'eclipse'), ('helpwanted', '2010-09-14 05:35:39 EDT', 'markus.kell.r'), ('ASSIGNED', '2010-09-14 05:35:39 EDT', 'markus.kell.r'), ('markus_keller', '2010-09-14 05:35:39 EDT', 'markus.kell.r'), ('[reorg] Copy &amp; Paste a package with subpackages', '2010-09-14 05:35:39 EDT', 'markus.kell.r'), ('stalebug', '2020-06-14 14:36:38 EDT', 'genie')]</t>
  </si>
  <si>
    <t>2020-03-16 19:41:16 EDT</t>
  </si>
  <si>
    <t>2010-09-16 06:54 EDT</t>
  </si>
  <si>
    <t>2010-09-16 06:55:11 EDT</t>
  </si>
  <si>
    <t>[('CREATED', '2010-09-16 06:54 EDT'), ('0.5 RC3', '2010-09-16 06:55:11 EDT', 'stefan.dimov'), ('petya.sabeva', '2010-10-04 09:25:25 EDT', 'petya.sabeva'), ('ASSIGNED', '2010-10-07 11:12:03 EDT', 'stefan.dimov'), ('petya.sabeva', '2010-10-07 11:12:03 EDT', 'stefan.dimov'), ('0.5 RC4', '2010-10-19 11:58:43 EDT', 'kaloyan'), ('jdt-ui-inbox', '2010-10-20 10:56:39 EDT', 'petya.sabeva'), ('UI', '2010-10-20 10:56:39 EDT', 'petya.sabeva'), ('3.7', '2010-10-20 10:56:39 EDT', 'petya.sabeva'), ('jdt-ui-inbox', '2010-10-20 10:56:39 EDT', 'petya.sabeva'), ('JDT', '2010-10-20 10:56:39 EDT', 'petya.sabeva'), ('---', '2010-10-20 10:56:39 EDT', 'petya.sabeva'), (nan, '2010-10-20 10:56:39 EDT', 'petya.sabeva'), ('WONTFIX', '2020-03-16 19:41:16 EDT', 'genie'), ('stalebug', '2020-03-16 19:41:16 EDT', 'genie'), ('CLOSED', '2020-03-16 19:41:16 EDT', 'genie')]</t>
  </si>
  <si>
    <t>2010-09-17 05:09:27 EDT</t>
  </si>
  <si>
    <t>2010-09-16 16:17 EDT</t>
  </si>
  <si>
    <t>2010-09-16 21:09:35 EDT</t>
  </si>
  <si>
    <t>2010-09-17 05:09:34 EDT</t>
  </si>
  <si>
    <t>[('CREATED', '2010-09-16 16:17 EDT'), ('Olivier_Thomann', '2010-09-16 21:09:35 EDT', 'Olivier_Thomann'), ('UI', '2010-09-16 21:09:35 EDT', 'Olivier_Thomann'), ('jdt-ui-inbox', '2010-09-16 21:09:35 EDT', 'Olivier_Thomann'), ('daniel_megert', '2010-09-17 03:03:14 EDT', 'daniel_megert'), ('3.7 M3', '2010-09-17 03:03:14 EDT', 'daniel_megert'), ('daniel_megert', '2010-09-17 03:03:14 EDT', 'daniel_megert'), ('RESOLVED', '2010-09-17 05:09:27 EDT', 'daniel_megert'), ('FIXED', '2010-09-17 05:09:27 EDT', 'daniel_megert'), ('markus_keller', '2010-09-17 05:09:34 EDT', 'daniel_megert')]</t>
  </si>
  <si>
    <t>2010-09-23 10:58:14 EDT</t>
  </si>
  <si>
    <t>2010-09-23 10:38 EDT</t>
  </si>
  <si>
    <t>[('CREATED', '2010-09-23 10:38 EDT'), ('deepak.azad', '2010-09-23 10:58:14 EDT', 'deepakazad'), ('WORKSFORME', '2010-09-23 10:58:14 EDT', 'deepakazad'), ('[quick assist] refactoring String concatenation to MessageFormat/StringBuilder gives up on unparenthesised number arithmetic', '2010-09-23 10:58:14 EDT', 'deepakazad'), ('RESOLVED', '2010-09-23 10:58:14 EDT', 'deepakazad')]</t>
  </si>
  <si>
    <t>2010-12-02 04:16:49 EST</t>
  </si>
  <si>
    <t>2010-09-29 05:16 EDT</t>
  </si>
  <si>
    <t>2010-09-29 05:41:30 EDT</t>
  </si>
  <si>
    <t>[('CREATED', '2010-09-29 05:16 EDT'), ('ayushman_jain', '2010-09-29 05:41:30 EDT', 'amj87.iitr'), ('UI', '2010-09-29 05:41:30 EDT', 'amj87.iitr'), ('jdt-ui-inbox', '2010-09-29 05:41:30 EDT', 'amj87.iitr'), ('needinfo', '2010-09-29 08:41:09 EDT', 'daniel_megert'), ('daniel_megert', '2010-09-29 08:41:09 EDT', 'daniel_megert'), ('RESOLVED', '2010-12-02 04:16:49 EST', 'daniel_megert'), ('WORKSFORME', '2010-12-02 04:16:49 EST', 'daniel_megert'), ('[rename] Rename class refactoring incorrectly replaces new name of class.', '2010-12-02 04:16:49 EST', 'daniel_megert')]</t>
  </si>
  <si>
    <t>2010-12-06 17:18:40 EST</t>
  </si>
  <si>
    <t>2010-12-07 03:53:57 EST</t>
  </si>
  <si>
    <t>2010-10-06 05:34 EDT</t>
  </si>
  <si>
    <t>2010-10-06 09:57:04 EDT</t>
  </si>
  <si>
    <t>[('CREATED', '2010-10-06 05:34 EDT'), ('deepak.azad', '2010-10-06 09:57:04 EDT', 'deepakazad'), ('ASSIGNED', '2010-10-06 10:14:14 EDT', 'markus.kell.r'), ('markus_keller', '2010-10-06 10:14:14 EDT', 'markus.kell.r'), ('3.7', '2010-10-06 10:14:14 EDT', 'markus.kell.r'), ('major', '2010-10-29 12:09:50 EDT', 'markus.kell.r'), ('3.7 M4', '2010-10-29 12:09:50 EDT', 'markus.kell.r'), ('rahuljoshi04', '2010-11-29 05:55:31 EST', 'daniel_megert'), ('markus_keller', '2010-12-06 05:30:25 EST', 'markus.kell.r'), ('RESOLVED', '2010-12-06 17:18:40 EST', 'markus.kell.r'), ('FIXED', '2010-12-06 17:18:40 EST', 'markus.kell.r'), ('VERIFIED', '2010-12-07 03:53:57 EST', 'daniel_megert')]</t>
  </si>
  <si>
    <t>CLOSED  DUPLICATE  of bug 294856</t>
  </si>
  <si>
    <t>2010-10-07 04:40 EDT</t>
  </si>
  <si>
    <t>2010-10-07 05:51:26 EDT</t>
  </si>
  <si>
    <t>[('CREATED', '2010-10-07 04:40 EDT'), ('remysuen', '2010-10-07 05:51:26 EDT', 'remy.suen'), ('UI', '2010-10-08 06:12:47 EDT', 'remy.suen'), ('3.5.1', '2010-10-08 06:12:47 EDT', 'remy.suen'), ('jdt-ui-inbox', '2010-10-08 06:12:47 EDT', 'remy.suen'), ('JDT', '2010-10-08 06:12:47 EDT', 'remy.suen'), ('markus_keller', '2010-10-08 09:23:14 EDT', 'markus.kell.r'), ('DUPLICATE', '2010-10-08 09:23:14 EDT', 'markus.kell.r'), ('CLOSED', '2010-10-08 09:23:14 EDT', 'markus.kell.r')]</t>
  </si>
  <si>
    <t>CLOSED  DUPLICATE  of bug 160212</t>
  </si>
  <si>
    <t>2018-05-07 12:05:50 EDT</t>
  </si>
  <si>
    <t>2010-10-11 05:08 EDT</t>
  </si>
  <si>
    <t>2010-10-11 05:12:12 EDT</t>
  </si>
  <si>
    <t>[('CREATED', '2010-10-11 05:08 EDT'), ('ankur_sharma', '2010-10-11 05:12:12 EDT', 'amj87.iitr'), ('deepak.azad', '2010-10-11 09:07:43 EDT', 'deepakazad'), ('ASSIGNED', '2010-10-11 11:34:47 EDT', 'markus.kell.r'), ('markus_keller', '2010-10-11 11:34:47 EDT', 'markus.kell.r'), ('daniel_megert', '2018-05-07 12:05:50 EDT', 'daniel_megert'), ('CLOSED', '2018-05-07 12:05:50 EDT', 'daniel_megert'), ('DUPLICATE', '2018-05-07 12:05:50 EDT', 'daniel_megert')]</t>
  </si>
  <si>
    <t>CLOSED  DUPLICATE  of bug 133559</t>
  </si>
  <si>
    <t>2010-12-02 04:55:06 EST</t>
  </si>
  <si>
    <t>2010-10-11 17:39 EDT</t>
  </si>
  <si>
    <t>2010-10-12 03:01:19 EDT</t>
  </si>
  <si>
    <t>[('CREATED', '2010-10-11 17:39 EDT'), ('ayushman_jain', '2010-10-12 03:01:19 EDT', 'amj87.iitr'), ('UI', '2010-10-12 03:01:19 EDT', 'amj87.iitr'), ('jdt-ui-inbox', '2010-10-12 03:01:19 EDT', 'amj87.iitr'), ('CLOSED', '2010-12-02 04:55:06 EST', 'daniel_megert'), ('daniel_megert', '2010-12-02 04:55:06 EST', 'daniel_megert'), ('DUPLICATE', '2010-12-02 04:55:06 EST', 'daniel_megert'), ('[extract local] Refactoring to create local var can create new local outside "if" that tests for null, causing NPE in executed code', '2010-12-02 04:55:06 EST', 'daniel_megert')]</t>
  </si>
  <si>
    <t>2010-12-06 06:50:14 EST</t>
  </si>
  <si>
    <t>2010-10-19 23:16 EDT</t>
  </si>
  <si>
    <t>2010-10-20 01:15:22 EDT</t>
  </si>
  <si>
    <t>[('CREATED', '2010-10-19 23:16 EDT'), ('UI', '2010-10-20 01:15:22 EDT', 'amj87.iitr'), ('jdt-ui-inbox', '2010-10-20 01:15:22 EDT', 'amj87.iitr'), ('[quick fix] The "parameter is never read" quick fix doesn\'t use "Change Method Signature" intelligence', '2010-10-20 01:15:22 EDT', 'amj87.iitr'), ('CLOSED', '2010-12-06 06:50:14 EST', 'daniel_megert'), ('daniel_megert', '2010-12-06 06:50:14 EST', 'daniel_megert'), ('All', '2010-12-06 06:50:14 EST', 'daniel_megert'), ('DUPLICATE', '2010-12-06 06:50:14 EST', 'daniel_megert'), ('All', '2010-12-06 06:50:14 EST', 'daniel_megert'), ('enhancement', '2010-12-06 06:50:14 EST', 'daniel_megert')]</t>
  </si>
  <si>
    <t>2010-10-21 10:04:23 EDT</t>
  </si>
  <si>
    <t>2010-10-21 10:00 EDT</t>
  </si>
  <si>
    <t>2010-10-21 10:01:36 EDT</t>
  </si>
  <si>
    <t>2018-08-31 23:40:05 EDT</t>
  </si>
  <si>
    <t>exiusbob</t>
  </si>
  <si>
    <t>[('CREATED', '2010-10-21 10:00 EDT'), ('3.6.1', '2010-10-21 10:01:36 EDT', 'priyatharsini.k'), ('RESOLVED', '2010-10-21 10:04:23 EDT', 'daniel_megert'), ('daniel_megert', '2010-10-21 10:04:23 EDT', 'daniel_megert'), ('NOT_ECLIPSE', '2010-10-21 10:04:23 EDT', 'daniel_megert'), ('vaibhavkolte001', '2017-04-06 16:30:12 EDT', 'vaibhavkolte001'), ('exiusbob', '2018-08-31 23:40:05 EDT', 'exiusbob')]</t>
  </si>
  <si>
    <t>2010-11-29 13:21:51 EST</t>
  </si>
  <si>
    <t>2010-10-24 16:47 EDT</t>
  </si>
  <si>
    <t>2010-10-24 20:23:09 EDT</t>
  </si>
  <si>
    <t>[('CREATED', '2010-10-24 16:47 EDT'), ('Olivier_Thomann', '2010-10-24 20:23:09 EDT', 'Olivier_Thomann'), ('Olivier_Thomann', '2010-10-25 10:02:54 EDT', 'Olivier_Thomann'), ('[DOM] NPE during move method refactoring', '2010-10-25 10:02:54 EDT', 'Olivier_Thomann'), ('needinfo', '2010-10-27 09:17:16 EDT', 'Olivier_Thomann'), ('3.7 M4', '2010-10-27 09:17:16 EDT', 'Olivier_Thomann'), ('1', '2010-10-29 11:41:53 EDT', 'Olivier_Thomann'), ('1', '2010-10-29 11:41:53 EDT', 'Olivier_Thomann'), ('UI', '2010-10-29 11:48:14 EDT', 'Olivier_Thomann'), ('jdt-ui-inbox', '2010-10-29 11:48:14 EDT', 'Olivier_Thomann'), ('1', '2010-11-29 13:21:13 EST', 'markus.kell.r'), ('ASSIGNED', '2010-11-29 13:21:13 EST', 'markus.kell.r'), ('markus_keller', '2010-11-29 13:21:13 EST', 'markus.kell.r'), (nan, '2010-11-29 13:21:51 EST', 'markus.kell.r'), ('RESOLVED', '2010-11-29 13:21:51 EST', 'markus.kell.r'), ('FIXED', '2010-11-29 13:21:51 EST', 'markus.kell.r'), ('[move method] NPE during move method refactoring', '2010-11-29 13:21:51 EST', 'markus.kell.r')]</t>
  </si>
  <si>
    <t>2010-10-27 12:21 EDT</t>
  </si>
  <si>
    <t>2010-10-27 12:47:38 EDT</t>
  </si>
  <si>
    <t>2020-01-07 14:06:36 EST</t>
  </si>
  <si>
    <t>[('CREATED', '2010-10-27 12:21 EDT'), ('Olivier_Thomann', '2010-10-27 12:47:38 EDT', 'Olivier_Thomann'), ('UI', '2010-10-27 12:47:38 EDT', 'Olivier_Thomann'), ('jdt-ui-inbox', '2010-10-27 12:47:38 EDT', 'Olivier_Thomann'), ('markus_keller', '2011-01-06 06:00:48 EST', 'markus.kell.r'), ('deepak.azad', '2011-01-06 06:00:48 EST', 'markus.kell.r'), ('[inline] Inline operations fail when files are read-only', '2011-01-06 06:00:48 EST', 'markus.kell.r'), ('stalebug', '2020-01-07 14:06:36 EST', 'genie')]</t>
  </si>
  <si>
    <t>2010-12-08 09:24:23 EST</t>
  </si>
  <si>
    <t>2010-11-05 08:29 EDT</t>
  </si>
  <si>
    <t>2010-11-05 08:29:47 EDT</t>
  </si>
  <si>
    <t>[('CREATED', '2010-11-05 08:29 EDT'), ('3.6.1', '2010-11-05 08:29:47 EDT', 'eclipse'), ('RESOLVED', '2010-12-08 09:24:23 EST', 'markus.kell.r'), ('markus_keller', '2010-12-08 09:24:23 EST', 'markus.kell.r'), ('WORKSFORME', '2010-12-08 09:24:23 EST', 'markus.kell.r'), ('[rename] Rename packages should remove empty parent packages', '2010-12-08 09:24:23 EST', 'markus.kell.r')]</t>
  </si>
  <si>
    <t>2010-11-16 09:35 EST</t>
  </si>
  <si>
    <t>2010-11-16 09:37:27 EST</t>
  </si>
  <si>
    <t>2010-11-17 22:45:27 EST</t>
  </si>
  <si>
    <t>pradeepb</t>
  </si>
  <si>
    <t>[('CREATED', '2010-11-16 09:35 EST'), ('ankur_sharma', '2010-11-16 09:37:27 EST', 'deepakazad'), ('ayushman_jain', '2010-11-16 09:38:06 EST', 'deepakazad'), ('ASSIGNED', '2010-11-16 10:14:50 EST', 'daniel_megert'), ('daniel_megert', '2010-11-16 10:14:50 EST', 'daniel_megert'), ('remysuen', '2010-11-16 10:15:06 EST', 'remy.suen'), ('Mike_Wilson', '2010-11-17 09:25:07 EST', 'Mike_Wilson'), ('pradeepb', '2010-11-17 22:45:27 EST', 'pradeepb')]</t>
  </si>
  <si>
    <t>2010-11-17 00:30:47 EST</t>
  </si>
  <si>
    <t>2010-11-16 19:07 EST</t>
  </si>
  <si>
    <t>2010-11-16 19:13:15 EST</t>
  </si>
  <si>
    <t>[('CREATED', '2010-11-16 19:07 EST'), ('3.5.2', '2010-11-16 19:13:15 EST', 'cub1975'), ('JDT', '2010-11-16 19:25:26 EST', 'remy.suen'), ('remysuen', '2010-11-16 19:25:26 EST', 'remy.suen'), ('UI', '2010-11-16 19:25:26 EST', 'remy.suen'), ('jdt-ui-inbox', '2010-11-16 19:25:26 EST', 'remy.suen'), ('deepak.azad', '2010-11-17 00:24:32 EST', 'deepakazad'), ('All', '2010-11-17 00:24:32 EST', 'deepakazad'), ('[inline] Refactor &gt; Inline fails to parenthesize replaced arguments', '2010-11-17 00:24:32 EST', 'deepakazad'), ('All', '2010-11-17 00:24:32 EST', 'deepakazad'), ('deepak.azad', '2010-11-17 00:30:14 EST', 'deepakazad'), ('RESOLVED', '2010-11-17 00:30:47 EST', 'deepakazad'), ('FIXED', '2010-11-17 00:30:47 EST', 'deepakazad'), ('3.7 M4', '2010-11-17 00:30:47 EST', 'deepakazad')]</t>
  </si>
  <si>
    <t>2010-11-25 10:29:58 EST</t>
  </si>
  <si>
    <t>2010-11-19 11:32 EST</t>
  </si>
  <si>
    <t>2010-11-22 06:16:37 EST</t>
  </si>
  <si>
    <t>[('CREATED', '2010-11-19 11:32 EST'), ('daniel_megert', '2010-11-22 06:16:37 EST', 'daniel_megert'), ('1', '2010-11-25 10:29:33 EST', 'markus.kell.r'), ('ASSIGNED', '2010-11-25 10:29:33 EST', 'markus.kell.r'), ('markus_keller', '2010-11-25 10:29:33 EST', 'markus.kell.r'), ('RESOLVED', '2010-11-25 10:29:58 EST', 'markus.kell.r'), ('FIXED', '2010-11-25 10:29:58 EST', 'markus.kell.r'), ('3.7 M4', '2010-11-25 10:29:58 EST', 'markus.kell.r')]</t>
  </si>
  <si>
    <t>2010-11-23 14:04 EST</t>
  </si>
  <si>
    <t>2010-11-23 16:04:47 EST</t>
  </si>
  <si>
    <t>2019-10-01 08:14:45 EDT</t>
  </si>
  <si>
    <t>[('CREATED', '2010-11-23 14:04 EST'), ('UI', '2010-11-23 16:04:47 EST', 'john.arthorne'), ('3.6', '2010-11-23 16:04:47 EST', 'john.arthorne'), ('jdt-ui-inbox', '2010-11-23 16:04:47 EST', 'john.arthorne'), ('JDT', '2010-11-23 16:04:47 EST', 'john.arthorne'), ('ASSIGNED', '2010-11-25 11:55:35 EST', 'markus.kell.r'), ('markus_keller', '2010-11-25 11:55:35 EST', 'markus.kell.r'), ('[ltk] refactoring is not triggered on project move', '2010-11-25 11:55:35 EST', 'markus.kell.r'), ('stalebug', '2019-10-01 08:14:45 EDT', 'genie')]</t>
  </si>
  <si>
    <t>2010-12-05 03:42 EST</t>
  </si>
  <si>
    <t>2010-12-10 12:30:33 EST</t>
  </si>
  <si>
    <t>2010-12-14 05:57:13 EST</t>
  </si>
  <si>
    <t>[('CREATED', '2010-12-05 03:42 EST'), ('hsoliwal', '2010-12-10 12:30:33 EST', 'hsoliwal'), ('obesedin', '2010-12-13 10:28:24 EST', 'ob1.eclipse'), ('UI', '2010-12-13 10:28:24 EST', 'ob1.eclipse'), ('All', '2010-12-13 10:28:24 EST', 'ob1.eclipse'), ('3.7', '2010-12-13 10:28:24 EST', 'ob1.eclipse'), ('jdt-ui-inbox', '2010-12-13 10:28:24 EST', 'ob1.eclipse'), ('JDT', '2010-12-13 10:28:24 EST', 'ob1.eclipse'), ('All', '2010-12-13 10:28:24 EST', 'ob1.eclipse'), ('ASSIGNED', '2010-12-14 03:59:07 EST', 'daniel_megert'), ('daniel_megert', '2010-12-14 03:59:07 EST', 'daniel_megert'), ('[ltk] Ability to create new folder within Move Resources dialog', '2010-12-14 03:59:07 EST', 'daniel_megert'), ('helpwanted', '2010-12-14 05:57:13 EST', 'markus.kell.r'), ('markus_keller', '2010-12-14 05:57:13 EST', 'markus.kell.r')]</t>
  </si>
  <si>
    <t>CLOSED  DUPLICATE  of bug 218622</t>
  </si>
  <si>
    <t>2010-12-27 05:23:43 EST</t>
  </si>
  <si>
    <t>2010-12-27 03:05 EST</t>
  </si>
  <si>
    <t>2010-12-27 03:06:51 EST</t>
  </si>
  <si>
    <t>[('CREATED', '2010-12-27 03:05 EST'), ('writetosethu', '2010-12-27 03:06:51 EST', 'writetosethu'), ('[quick assist] move selected variable declaration outside of a block', '2010-12-27 05:19:34 EST', 'deepakazad'), ('deepak.azad', '2010-12-27 05:19:34 EST', 'deepakazad'), ('UI', '2010-12-27 05:19:34 EST', 'deepakazad'), ('jdt-ui-inbox', '2010-12-27 05:19:34 EST', 'deepakazad'), ('CLOSED', '2010-12-27 05:23:43 EST', 'deepakazad'), ('All', '2010-12-27 05:23:43 EST', 'deepakazad'), ('DUPLICATE', '2010-12-27 05:23:43 EST', 'deepakazad'), ('All', '2010-12-27 05:23:43 EST', 'deepakazad')]</t>
  </si>
  <si>
    <t>2011-01-05 03:11:36 EST</t>
  </si>
  <si>
    <t>2011-10-25 09:36:06 EDT</t>
  </si>
  <si>
    <t>2011-01-03 05:35 EST</t>
  </si>
  <si>
    <t>2011-01-03 05:48:13 EST</t>
  </si>
  <si>
    <t>2019-10-26 16:13:46 EDT</t>
  </si>
  <si>
    <t>[('CREATED', '2011-01-03 05:35 EST'), ('Platform-UI-Inbox', '2011-01-03 05:48:13 EST', 'Szymon.Brandys'), ('UI', '2011-01-03 05:48:13 EST', 'Szymon.Brandys'), ('Szymon.Brandys', '2011-01-03 05:48:31 EST', 'Szymon.Brandys'), ('grprakash', '2011-01-03 06:05:14 EST', 'prakash'), ('remysuen', '2011-01-03 13:59:22 EST', 'remy.suen'), ('obesedin', '2011-01-04 11:16:55 EST', 'ob1.eclipse'), ('UI', '2011-01-04 11:16:55 EST', 'ob1.eclipse'), ('jdt-ui-inbox', '2011-01-04 11:16:55 EST', 'ob1.eclipse'), ('JDT', '2011-01-04 11:16:55 EST', 'ob1.eclipse'), ('RESOLVED', '2011-01-05 03:11:36 EST', 'daniel_megert'), ('daniel_megert', '2011-01-05 03:11:36 EST', 'daniel_megert'), ('WORKSFORME', '2011-01-05 03:11:36 EST', 'daniel_megert'), ('markus_keller', '2011-01-07 10:15:26 EST', 'markus.kell.r'), ('helmut.haigermoser', '2011-10-12 13:07:46 EDT', 'helmut.haigermoser'), ('All', '2011-10-25 09:36:06 EDT', 'daniel_megert'), ('REOPENED', '2011-10-25 09:36:06 EDT', 'daniel_megert'), ('All', '2011-10-25 09:36:06 EDT', 'daniel_megert'), ('---', '2011-10-25 09:36:06 EDT', 'daniel_megert'), ('ASSIGNED', '2011-10-26 08:15:50 EDT', 'markus.kell.r'), ('helpwanted', '2011-10-31 10:18:35 EDT', 'markus.kell.r'), ('[ltk] Deleting a project may prompt to press "Continue" button when it\'s not there', '2011-10-31 10:18:35 EDT', 'markus.kell.r'), ('chungley2000', '2017-05-24 19:10:50 EDT', 'chungley2000'), ('stalebug', '2019-10-26 16:13:46 EDT', 'genie')]</t>
  </si>
  <si>
    <t>2011-01-04 11:01:08 EST</t>
  </si>
  <si>
    <t>2011-01-04 10:48:54 EST</t>
  </si>
  <si>
    <t>2011-01-04 07:53 EST</t>
  </si>
  <si>
    <t>2011-01-04 07:55:28 EST</t>
  </si>
  <si>
    <t>2011-05-30 07:10:46 EDT</t>
  </si>
  <si>
    <t>b.michael</t>
  </si>
  <si>
    <t>[('CREATED', '2011-01-04 07:53 EST'), ('b.michael', '2011-01-04 07:55:28 EST', 'b.michael'), ('RESOLVED', '2011-01-04 10:03:02 EST', 'daniel_megert'), ('daniel_megert', '2011-01-04 10:03:02 EST', 'daniel_megert'), ('WONTFIX', '2011-01-04 10:03:02 EST', 'daniel_megert'), ('---', '2011-01-04 10:48:54 EST', 'andreas.hoehmann'), ('REOPENED', '2011-01-04 10:48:54 EST', 'andreas.hoehmann'), ('RESOLVED', '2011-01-04 11:01:08 EST', 'daniel_megert'), ('WONTFIX', '2011-01-04 11:01:08 EST', 'daniel_megert'), ('markus_keller', '2011-01-05 08:34:24 EST', 'markus.kell.r'), (nan, '2011-05-30 07:10:46 EDT', 'b.michael')]</t>
  </si>
  <si>
    <t>2011-01-18 03:17:37 EST</t>
  </si>
  <si>
    <t>2011-01-08 14:22 EST</t>
  </si>
  <si>
    <t>2011-01-08 14:23:21 EST</t>
  </si>
  <si>
    <t>[('CREATED', '2011-01-08 14:22 EST'), ('raksha.vasisht', '2011-01-08 14:23:21 EST', 'markus.kell.r'), ('markus_keller', '2011-01-18 03:16:28 EST', 'markus.kell.r'), ('raksha.vasisht', '2011-01-18 03:17:37 EST', 'markus.kell.r'), ('FIXED', '2011-01-18 03:17:37 EST', 'markus.kell.r'), ('3.7 M5', '2011-01-18 03:17:37 EST', 'markus.kell.r'), ('[move member type] Move Type to New File creates compile error with parametrized outer type', '2011-01-18 03:17:37 EST', 'markus.kell.r'), ('RESOLVED', '2011-01-18 03:17:37 EST', 'markus.kell.r')]</t>
  </si>
  <si>
    <t>2011-01-11 08:24:22 EST</t>
  </si>
  <si>
    <t>2011-01-10 17:49 EST</t>
  </si>
  <si>
    <t>2011-01-10 17:50:28 EST</t>
  </si>
  <si>
    <t>[('CREATED', '2011-01-10 17:49 EST'), ('3.5.1', '2011-01-10 17:50:28 EST', 'chris.leon'), ('daniel_megert', '2011-01-11 02:08:19 EST', 'daniel_megert'), ('[quick assist] Using create parameter quick assist should do a change method refactoring', '2011-01-11 02:08:19 EST', 'daniel_megert'), ('CLOSED', '2011-01-11 08:24:22 EST', 'markus.kell.r'), ('markus_keller', '2011-01-11 08:24:22 EST', 'markus.kell.r'), ('DUPLICATE', '2011-01-11 08:24:22 EST', 'markus.kell.r'), ('[quick fix] Using create parameter quick fix should do a change method refactoring', '2011-01-11 08:24:22 EST', 'markus.kell.r')]</t>
  </si>
  <si>
    <t>2011-01-17 22:07:47 EST</t>
  </si>
  <si>
    <t>2011-01-12 17:37 EST</t>
  </si>
  <si>
    <t>2011-01-12 18:17:20 EST</t>
  </si>
  <si>
    <t>[('CREATED', '2011-01-12 17:37 EST'), ('remysuen', '2011-01-12 18:17:20 EST', 'remy.suen'), ('pwebster', '2011-01-12 18:20:04 EST', 'pwebster'), ('Olivier_Thomann', '2011-01-12 20:36:15 EST', 'Olivier_Thomann'), ('UI', '2011-01-12 20:36:15 EST', 'Olivier_Thomann'), ('jdt-ui-inbox', '2011-01-12 20:36:15 EST', 'Olivier_Thomann'), ('deepak.azad', '2011-01-13 00:17:52 EST', 'deepakazad'), ('[pull up] Forced to make private fields public when pulling method to interface', '2011-01-13 00:17:52 EST', 'deepakazad'), ('RESOLVED', '2011-01-17 22:07:47 EST', 'deepakazad'), ('WORKSFORME', '2011-01-17 22:07:47 EST', 'deepakazad')]</t>
  </si>
  <si>
    <t>2011-01-14 04:14:38 EST</t>
  </si>
  <si>
    <t>2011-01-13 04:08 EST</t>
  </si>
  <si>
    <t>2011-01-13 11:54:04 EST</t>
  </si>
  <si>
    <t>danielheid</t>
  </si>
  <si>
    <t>[('CREATED', '2011-01-13 04:08 EST'), ('UI', '2011-01-13 11:54:04 EST', 'eclipse'), ('jdt-ui-inbox', '2011-01-13 11:54:04 EST', 'eclipse'), ('daniel_megert', '2011-01-14 02:59:00 EST', 'daniel_megert'), ('---', '2011-01-14 02:59:00 EST', 'daniel_megert'), ('IAE when removing unused import for multiple files', '2011-01-14 02:59:00 EST', 'daniel_megert'), ('normal', '2011-01-14 02:59:00 EST', 'daniel_megert'), ('CLOSED', '2011-01-14 04:14:38 EST', 'danielheid'), ('WORKSFORME', '2011-01-14 04:14:38 EST', 'danielheid')]</t>
  </si>
  <si>
    <t>CLOSED  DUPLICATE  of bug 213519</t>
  </si>
  <si>
    <t>2011-01-17 22:56:51 EST</t>
  </si>
  <si>
    <t>2011-01-17 13:18 EST</t>
  </si>
  <si>
    <t>2011-01-18 06:47:03 EST</t>
  </si>
  <si>
    <t>[('CREATED', '2011-01-17 13:18 EST'), ('CLOSED', '2011-01-17 22:56:51 EST', 'deepakazad'), ('deepak.azad', '2011-01-17 22:56:51 EST', 'deepakazad'), ('DUPLICATE', '2011-01-17 22:56:51 EST', 'deepakazad'), ('markus_keller', '2011-01-18 06:47:03 EST', 'markus.kell.r'), ('3.5.2', '2011-01-18 06:47:03 EST', 'markus.kell.r')]</t>
  </si>
  <si>
    <t>2011-01-19 13:17 EST</t>
  </si>
  <si>
    <t>2011-01-20 01:47:49 EST</t>
  </si>
  <si>
    <t>2011-01-20 05:53:58 EST</t>
  </si>
  <si>
    <t>[('CREATED', '2011-01-19 13:17 EST'), ('daniel_megert', '2011-01-20 01:47:49 EST', 'daniel_megert'), ('Allow to set access (modifier) for Java elements', '2011-01-20 01:47:49 EST', 'daniel_megert'), ('ASSIGNED', '2011-01-20 05:53:58 EST', 'markus.kell.r'), ('markus_keller', '2011-01-20 05:53:58 EST', 'markus.kell.r'), ('Allow to set access modifier (visibility) for Java elements', '2011-01-20 05:53:58 EST', 'markus.kell.r')]</t>
  </si>
  <si>
    <t>2011-01-21 08:25 EST</t>
  </si>
  <si>
    <t>2011-01-21 08:50:34 EST</t>
  </si>
  <si>
    <t>2020-08-14 08:47:34 EDT</t>
  </si>
  <si>
    <t>[('CREATED', '2011-01-21 08:25 EST'), ('Olivier_Thomann', '2011-01-21 08:50:34 EST', 'Olivier_Thomann'), ('UI', '2011-01-21 08:50:34 EST', 'Olivier_Thomann'), ('jdt-ui-inbox', '2011-01-21 08:50:34 EST', 'Olivier_Thomann'), ('deepak.azad', '2011-01-21 11:28:24 EST', 'markus.kell.r'), ('3.7', '2011-01-21 11:28:24 EST', 'markus.kell.r'), ('markus_keller', '2011-01-21 11:28:24 EST', 'markus.kell.r'), ('3.8', '2011-04-21 01:52:38 EDT', 'deepakazad'), ('[quick fix] "create \'[method]\' in super type \'[type]\'" does not keep varargs, type parameters', '2011-04-21 01:52:38 EDT', 'deepakazad'), ('4.3', '2012-04-25 09:45:48 EDT', 'deepakazad'), ('daniel_megert', '2013-04-23 06:39:30 EDT', 'daniel_megert'), ('---', '2013-04-23 06:39:30 EDT', 'daniel_megert'), ('stephan.herrmann', '2017-04-09 08:02:57 EDT', 'stephan.herrmann'), ('jdt-ui-inbox', '2017-04-09 08:02:57 EDT', 'stephan.herrmann'), ('normal', '2017-04-09 08:02:57 EDT', 'stephan.herrmann'), ('ASSIGNED', '2017-04-09 09:02:39 EDT', 'daniel_megert'), ('stalebug', '2020-08-14 08:47:34 EDT', 'genie')]</t>
  </si>
  <si>
    <t>371078</t>
  </si>
  <si>
    <t>2011-02-20 23:24:31 EST</t>
  </si>
  <si>
    <t>2011-03-08 05:35:26 EST</t>
  </si>
  <si>
    <t>2011-01-24 06:28 EST</t>
  </si>
  <si>
    <t>2011-01-24 06:29:13 EST</t>
  </si>
  <si>
    <t>2012-02-10 03:29:10 EST</t>
  </si>
  <si>
    <t>[('CREATED', '2011-01-24 06:28 EST'), ('markus_keller', '2011-01-24 06:29:13 EST', 'markus.kell.r'), ('3.7 M6', '2011-01-24 06:29:13 EST', 'markus.kell.r'), ('deepak.azad', '2011-01-24 06:29:39 EST', 'markus.kell.r'), ('markus_keller', '2011-01-24 06:29:39 EST', 'markus.kell.r'), ('331845', '2011-01-24 07:03:10 EST', 'markus.kell.r'), (nan, '2011-01-27 09:14:40 EST', 'markus.kell.r'), ('1', '2011-02-03 08:12:00 EST', 'deepakazad'), ('1', '2011-02-04 06:54:31 EST', 'deepakazad'), ('review?(markus_keller)', '2011-02-04 06:54:56 EST', 'deepakazad'), ('1', '2011-02-04 08:54:04 EST', 'deepakazad'), ('1', '2011-02-07 05:50:23 EST', 'deepakazad'), ('1', '2011-02-16 02:48:49 EST', 'deepakazad'), ('1', '2011-02-16 02:48:49 EST', 'deepakazad'), ('1', '2011-02-17 07:37:58 EST', 'deepakazad'), ('1', '2011-02-17 10:37:15 EST', 'deepakazad'), ('review+', '2011-02-20 18:29:18 EST', 'markus.kell.r'), ('1', '2011-02-20 23:23:48 EST', 'deepakazad'), ('RESOLVED', '2011-02-20 23:24:31 EST', 'deepakazad'), ('FIXED', '2011-02-20 23:24:31 EST', 'deepakazad'), ('rthakkar', '2011-03-08 03:31:39 EST', 'rthakkar'), ('VERIFIED', '2011-03-08 05:35:26 EST', 'markus.kell.r'), ('371078', '2012-02-10 03:29:10 EST', 'daniel_megert')]</t>
  </si>
  <si>
    <t>2011-01-26 05:00 EST</t>
  </si>
  <si>
    <t>2011-01-26 05:01:40 EST</t>
  </si>
  <si>
    <t>2020-06-23 02:40:43 EDT</t>
  </si>
  <si>
    <t>[('CREATED', '2011-01-26 05:00 EST'), ('eclipse-bugs', '2011-01-26 05:01:40 EST', 'eclipse-bugs'), ('stalebug', '2020-06-15 20:28:11 EDT', 'genie'), (nan, '2020-06-23 02:40:43 EDT', 'noopur_gupta')]</t>
  </si>
  <si>
    <t>2011-01-27 16:54 EST</t>
  </si>
  <si>
    <t>2011-02-13 23:26:58 EST</t>
  </si>
  <si>
    <t>2011-02-14 10:06:28 EST</t>
  </si>
  <si>
    <t>[('CREATED', '2011-01-27 16:54 EST'), ('deepak.azad', '2011-02-13 23:26:58 EST', 'deepakazad'), ('All', '2011-02-13 23:26:58 EST', 'deepakazad'), ('[quick fix] Type references are not refactored by package correcting quick fix', '2011-02-13 23:26:58 EST', 'deepakazad'), ('All', '2011-02-13 23:26:58 EST', 'deepakazad'), ('[quick fix] Type references are not updated by package correcting quick fix', '2011-02-13 23:27:24 EST', 'deepakazad'), ('ASSIGNED', '2011-02-14 10:06:28 EST', 'markus.kell.r'), ('markus_keller', '2011-02-14 10:06:28 EST', 'markus.kell.r'), ('[quick fix][reorg] Type references are not updated by package correcting quick fix (move CU)', '2011-02-14 10:06:28 EST', 'markus.kell.r'), ('enhancement', '2011-02-14 10:06:28 EST', 'markus.kell.r')]</t>
  </si>
  <si>
    <t>2019-05-03 04:54:38 EDT</t>
  </si>
  <si>
    <t>2011-02-03 04:33 EST</t>
  </si>
  <si>
    <t>2019-02-21 11:37:45 EST</t>
  </si>
  <si>
    <t>2019-05-03 04:55:15 EDT</t>
  </si>
  <si>
    <t>[('CREATED', '2011-02-03 04:33 EST'), ('stalebug', '2019-02-21 11:37:45 EST', 'genie'), ('ASSIGNED', '2019-02-22 05:01:22 EST', 'daniel_megert'), ('daniel_megert', '2019-02-22 05:01:22 EST', 'daniel_megert'), (nan, '2019-02-22 05:01:22 EST', 'daniel_megert'), ('kenneth', '2019-05-02 15:57:37 EDT', 'kenneth'), ('WORKSFORME', '2019-05-03 04:54:38 EDT', 'daniel_megert'), ('RESOLVED', '2019-05-03 04:54:38 EDT', 'daniel_megert'), ('obsolete', '2019-05-03 04:55:15 EDT', 'daniel_megert')]</t>
  </si>
  <si>
    <t>2011-03-07 12:13:33 EST</t>
  </si>
  <si>
    <t>2011-02-10 10:45 EST</t>
  </si>
  <si>
    <t>2011-02-10 13:24:43 EST</t>
  </si>
  <si>
    <t>[('CREATED', '2011-02-10 10:45 EST'), ('ASSIGNED', '2011-02-10 13:24:43 EST', 'markus.kell.r'), ('markus_keller', '2011-02-10 13:24:43 EST', 'markus.kell.r'), ('1', '2011-02-11 08:37:21 EST', 'markus.kell.r'), ('daniel_megert', '2011-02-14 08:25:35 EST', 'daniel_megert'), ('3.7 M6', '2011-03-04 12:24:08 EST', 'markus.kell.r'), ('1', '2011-03-07 12:12:53 EST', 'markus.kell.r'), ('RESOLVED', '2011-03-07 12:13:33 EST', 'markus.kell.r'), ('FIXED', '2011-03-07 12:13:33 EST', 'markus.kell.r')]</t>
  </si>
  <si>
    <t>2011-02-10 13:54 EST</t>
  </si>
  <si>
    <t>2011-07-27 06:14:50 EDT</t>
  </si>
  <si>
    <t>2019-09-21 14:43:24 EDT</t>
  </si>
  <si>
    <t>[('CREATED', '2011-02-10 13:54 EST'), ('markus_keller', '2011-07-27 06:14:50 EDT', 'markus.kell.r'), ('fix candidate', '2011-07-27 06:14:50 EDT', 'markus.kell.r'), ('ASSIGNED', '2011-07-27 06:14:50 EDT', 'markus.kell.r'), ('stalebug', '2019-09-21 14:43:24 EDT', 'genie')]</t>
  </si>
  <si>
    <t>2011-02-14 11:26:49 EST</t>
  </si>
  <si>
    <t>2011-02-13 14:58 EST</t>
  </si>
  <si>
    <t>2011-02-13 15:49:15 EST</t>
  </si>
  <si>
    <t>[('CREATED', '2011-02-13 14:58 EST'), ('Olivier_Thomann', '2011-02-13 15:49:15 EST', 'Olivier_Thomann'), ('UI', '2011-02-13 15:49:15 EST', 'Olivier_Thomann'), ('jdt-ui-inbox', '2011-02-13 15:49:15 EST', 'Olivier_Thomann'), ('deepak.azad', '2011-02-13 22:57:03 EST', 'deepakazad'), ('All', '2011-02-13 22:57:03 EST', 'deepakazad'), ('[move member type] Move Type to New File ignores code template when inner class has class level comments', '2011-02-13 22:57:03 EST', 'deepakazad'), ('All', '2011-02-13 22:57:03 EST', 'deepakazad'), ('ASSIGNED', '2011-02-14 11:24:46 EST', 'markus.kell.r'), ('markus_keller', '2011-02-14 11:24:46 EST', 'markus.kell.r'), ('3.7 M6', '2011-02-14 11:26:49 EST', 'markus.kell.r'), ('RESOLVED', '2011-02-14 11:26:49 EST', 'markus.kell.r'), ('FIXED', '2011-02-14 11:26:49 EST', 'markus.kell.r')]</t>
  </si>
  <si>
    <t>2011-02-26 02:01:40 EST</t>
  </si>
  <si>
    <t>2011-02-15 00:59 EST</t>
  </si>
  <si>
    <t>2011-02-15 00:59:24 EST</t>
  </si>
  <si>
    <t>[('CREATED', '2011-02-15 00:59 EST'), ('deepak.azad', '2011-02-15 00:59:24 EST', 'deepakazad'), ('[inline] returned value is not cast', '2011-02-22 08:19:30 EST', 'markus.kell.r'), ('ASSIGNED', '2011-02-25 15:25:06 EST', 'markus.kell.r'), ('3.7 M6', '2011-02-25 15:25:06 EST', 'markus.kell.r'), ('1', '2011-02-26 02:01:11 EST', 'deepakazad'), ('RESOLVED', '2011-02-26 02:01:40 EST', 'deepakazad'), ('FIXED', '2011-02-26 02:01:40 EST', 'deepakazad')]</t>
  </si>
  <si>
    <t>150657</t>
  </si>
  <si>
    <t>2020-02-22 11:31:16 EST</t>
  </si>
  <si>
    <t>2011-02-17 22:38 EST</t>
  </si>
  <si>
    <t>2011-02-18 02:34:55 EST</t>
  </si>
  <si>
    <t>[('CREATED', '2011-02-17 22:38 EST'), ('daniel_megert', '2011-02-18 02:34:55 EST', 'daniel_megert'), ('markus_keller', '2011-02-18 11:57:26 EST', 'markus.kell.r'), ('150657', '2011-02-18 11:57:26 EST', 'markus.kell.r'), ('deepak.azad', '2011-02-18 11:57:26 EST', 'markus.kell.r'), ('3.7', '2011-02-18 11:57:26 EST', 'markus.kell.r'), ('3.8', '2011-04-26 11:59:12 EDT', 'markus.kell.r'), ('performance', '2012-01-30 04:15:38 EST', 'deepakazad'), ('4.3', '2012-05-04 10:01:54 EDT', 'deepakazad'), ('jdt-ui-inbox', '2012-08-08 15:25:57 EDT', 'deepakazad'), ('manju_mathew', '2013-04-18 05:57:12 EDT', 'daniel_megert'), ('P5', '2013-04-18 05:57:21 EDT', 'daniel_megert'), ('4.4', '2013-04-23 04:26:55 EDT', 'daniel_megert'), ('4.5', '2014-05-04 20:27:29 EDT', 'manju656'), ('ASSIGNED', '2015-05-12 12:48:44 EDT', 'markus.kell.r'), ('jdt-ui-inbox', '2015-05-12 12:48:44 EDT', 'markus.kell.r'), ('---', '2015-05-12 12:48:44 EDT', 'markus.kell.r'), ('WONTFIX', '2020-02-22 11:31:16 EST', 'genie'), ('stalebug', '2020-02-22 11:31:16 EST', 'genie'), ('CLOSED', '2020-02-22 11:31:16 EST', 'genie')]</t>
  </si>
  <si>
    <t>2013-04-25 03:12:34 EDT</t>
  </si>
  <si>
    <t>2011-02-20 23:18 EST</t>
  </si>
  <si>
    <t>2011-02-20 23:18:46 EST</t>
  </si>
  <si>
    <t>[('CREATED', '2011-02-20 23:18 EST'), ('deepak.azad', '2011-02-20 23:18:46 EST', 'deepakazad'), ('3.7', '2011-02-20 23:18:46 EST', 'deepakazad'), ('3.7 M6', '2011-02-21 01:19:50 EST', 'deepakazad'), ('3.7 M7', '2011-02-28 23:31:04 EST', 'deepakazad'), ('3.8', '2011-04-21 03:00:51 EDT', 'deepakazad'), ('4.3', '2012-04-25 09:46:49 EDT', 'deepakazad'), ('martin.hanzalek', '2012-07-26 08:08:54 EDT', 'deepakazad'), ('[inline][getter setter] Fix creation of unnecessary/missing parentheses', '2012-07-26 08:09:43 EDT', 'deepakazad'), ('daniel_megert', '2013-04-11 07:59:51 EDT', 'daniel_megert'), ('noopur_gupta', '2013-04-11 07:59:51 EDT', 'daniel_megert'), ('review?(markus_keller)', '2013-04-23 03:11:06 EDT', 'noopur_gupta'), ('4.3 M7', '2013-04-24 15:15:11 EDT', 'markus.kell.r'), ('review+', '2013-04-24 15:15:11 EDT', 'markus.kell.r'), ('RESOLVED', '2013-04-25 03:12:34 EDT', 'noopur_gupta'), ('FIXED', '2013-04-25 03:12:34 EDT', 'noopur_gupta')]</t>
  </si>
  <si>
    <t>2011-02-23 06:01:25 EST</t>
  </si>
  <si>
    <t>2011-02-24 08:50:08 EST</t>
  </si>
  <si>
    <t>2011-02-23 05:27 EST</t>
  </si>
  <si>
    <t>2011-02-24 08:50:38 EST</t>
  </si>
  <si>
    <t>[('CREATED', '2011-02-23 05:27 EST'), ('RESOLVED', '2011-02-23 06:01:25 EST', 'markus.kell.r'), ('markus_keller', '2011-02-23 06:01:25 EST', 'markus.kell.r'), ('WONTFIX', '2011-02-23 06:01:25 EST', 'markus.kell.r'), ('[quick assist] Allow refactoring of bean property type', '2011-02-24 08:50:08 EST', 'markus.kell.r'), ('REOPENED', '2011-02-24 08:50:08 EST', 'markus.kell.r'), ('---', '2011-02-24 08:50:08 EST', 'markus.kell.r'), ('helpwanted', '2011-02-24 08:50:38 EST', 'markus.kell.r'), ('P5', '2011-02-24 08:50:38 EST', 'markus.kell.r'), ('ASSIGNED', '2011-02-24 08:50:38 EST', 'markus.kell.r')]</t>
  </si>
  <si>
    <t>186342</t>
  </si>
  <si>
    <t>2013-05-15 11:10:06 EDT</t>
  </si>
  <si>
    <t>2011-02-23 09:48 EST</t>
  </si>
  <si>
    <t>2011-02-23 23:05:45 EST</t>
  </si>
  <si>
    <t>[('CREATED', '2011-02-23 09:48 EST'), ('deepak.azad', '2011-02-23 23:05:45 EST', 'deepakazad'), ('ASSIGNED', '2011-02-24 11:24:55 EST', 'markus.kell.r'), ('markus_keller', '2011-02-24 11:24:55 EST', 'markus.kell.r'), ('[quick fix] Add quickfixes for null annotations', '2011-02-24 11:24:55 EST', 'markus.kell.r'), ('186342', '2011-03-03 10:11:23 EST', 'markus.kell.r'), ('jawr', '2011-05-16 07:06:48 EDT', 'jawr'), ('srikanth_sankaran', '2011-11-25 18:56:31 EST', 'srikanth_sankaran'), ('ayushman_jain', '2011-11-26 23:57:30 EST', 'amj87.iitr'), ('lieven.lemiengre', '2011-12-01 07:25:38 EST', 'lieven.lemiengre'), ('3.8 M5', '2011-12-05 11:55:44 EST', 'markus.kell.r'), ('daniel_megert', '2011-12-08 05:30:06 EST', 'daniel_megert'), ('[quick fix] Add quick fixes for null annotations', '2011-12-08 05:30:06 EST', 'daniel_megert'), ('loskutov', '2011-12-11 08:55:28 EST', 'loskutov'), ('markus_keller', '2011-12-13 05:39:52 EST', 'daniel_megert'), ('3.8 M6', '2012-01-23 10:05:40 EST', 'markus.kell.r'), ('P2', '2012-01-31 04:21:30 EST', 'daniel_megert'), ('3.8 M7', '2012-03-12 18:07:42 EDT', 'markus.kell.r'), ('4.3', '2012-04-29 09:07:16 EDT', 'markus.kell.r'), ('1', '2012-06-26 08:16:48 EDT', 'stephan.herrmann'), ('1', '2012-06-28 08:16:23 EDT', 'stephan.herrmann'), ('stephan.herrmann', '2013-04-24 10:56:07 EDT', 'daniel_megert'), ('RESOLVED', '2013-05-15 11:10:06 EDT', 'markus.kell.r'), ('FIXED', '2013-05-15 11:10:06 EDT', 'markus.kell.r')]</t>
  </si>
  <si>
    <t>CLOSED  DUPLICATE  of bug 37572</t>
  </si>
  <si>
    <t>2011-02-28 09:25:04 EST</t>
  </si>
  <si>
    <t>2011-02-27 11:23 EST</t>
  </si>
  <si>
    <t>2011-02-27 12:37:33 EST</t>
  </si>
  <si>
    <t>[('CREATED', '2011-02-27 11:23 EST'), ('UI', '2011-02-27 12:37:33 EST', 'eclipse'), ('jdt-ui-inbox', '2011-02-27 12:37:33 EST', 'eclipse'), ('---', '2011-02-27 12:37:33 EST', 'eclipse'), ('markus_keller', '2011-02-28 09:25:04 EST', 'markus.kell.r'), ('DUPLICATE', '2011-02-28 09:25:04 EST', 'markus.kell.r'), ('CLOSED', '2011-02-28 09:25:04 EST', 'markus.kell.r')]</t>
  </si>
  <si>
    <t>CLOSED  DUPLICATE  of bug 118032</t>
  </si>
  <si>
    <t>2011-03-01 02:19:20 EST</t>
  </si>
  <si>
    <t>2011-02-28 14:01 EST</t>
  </si>
  <si>
    <t>2011-02-28 18:29:35 EST</t>
  </si>
  <si>
    <t>2011-12-01 11:50:04 EST</t>
  </si>
  <si>
    <t>[('CREATED', '2011-02-28 14:01 EST'), ('UI', '2011-02-28 18:29:35 EST', 'eclipse'), ('jdt-ui-inbox', '2011-02-28 18:29:35 EST', 'eclipse'), ('CLOSED', '2011-03-01 02:19:20 EST', 'daniel_megert'), ('daniel_megert', '2011-03-01 02:19:20 EST', 'daniel_megert'), ('All', '2011-03-01 02:19:20 EST', 'daniel_megert'), ('DUPLICATE', '2011-03-01 02:19:20 EST', 'daniel_megert'), ('All', '2011-03-01 02:19:20 EST', 'daniel_megert'), ('markus_keller', '2011-03-01 05:53:05 EST', 'markus.kell.r'), ('reprogrammer', '2011-12-01 11:50:04 EST', 'reprogrammer')]</t>
  </si>
  <si>
    <t>CLOSED  DUPLICATE  of bug 148014</t>
  </si>
  <si>
    <t>2011-03-03 18:08 EST</t>
  </si>
  <si>
    <t>2011-03-03 18:09:56 EST</t>
  </si>
  <si>
    <t>[('CREATED', '2011-03-03 18:08 EST'), ('3.6.2', '2011-03-03 18:09:56 EST', 'innusius'), ('innusius', '2011-03-03 18:10:05 EST', 'innusius'), ('CLOSED', '2011-03-04 06:30:29 EST', 'markus.kell.r'), ('markus_keller', '2011-03-04 06:30:29 EST', 'markus.kell.r'), ('DUPLICATE', '2011-03-04 06:30:29 EST', 'markus.kell.r')]</t>
  </si>
  <si>
    <t>2020-01-25 15:27:12 EST</t>
  </si>
  <si>
    <t>2011-03-04 18:49 EST</t>
  </si>
  <si>
    <t>2011-03-04 18:55:13 EST</t>
  </si>
  <si>
    <t>[('CREATED', '2011-03-04 18:49 EST'), ('1', '2011-03-04 18:55:13 EST', 'kivancmuslu'), ('ayushman_jain', '2011-03-07 01:42:23 EST', 'amj87.iitr'), ('UI', '2011-03-07 01:42:23 EST', 'amj87.iitr'), ('jdt-ui-inbox', '2011-03-07 01:42:23 EST', 'amj87.iitr'), ('P5', '2011-03-07 11:16:01 EST', 'markus.kell.r'), ('ASSIGNED', '2011-03-07 11:16:01 EST', 'markus.kell.r'), ('markus_keller', '2011-03-07 11:16:01 EST', 'markus.kell.r'), ('[rename][quick fix] Undoing RenameCompilationUnitChange changes the initial file contents', '2011-03-07 11:16:01 EST', 'markus.kell.r'), ('stalebug', '2020-01-25 15:27:12 EST', 'genie'), ('CLOSED', '2020-01-25 15:27:12 EST', 'genie'), ('WONTFIX', '2020-01-25 15:27:12 EST', 'genie')]</t>
  </si>
  <si>
    <t>2011-03-05 17:52:34 EST</t>
  </si>
  <si>
    <t>2011-03-05 03:26 EST</t>
  </si>
  <si>
    <t>2011-03-05 08:35:09 EST</t>
  </si>
  <si>
    <t>[('CREATED', '2011-03-05 03:26 EST'), ('UI', '2011-03-05 08:35:09 EST', 'Olivier_Thomann'), ('jdt-ui-inbox', '2011-03-05 08:35:09 EST', 'Olivier_Thomann'), ('Olivier_Thomann', '2011-03-05 08:35:09 EST', 'Olivier_Thomann'), ('RESOLVED', '2011-03-05 17:52:34 EST', 'markus.kell.r'), ('markus_keller', '2011-03-05 17:52:34 EST', 'markus.kell.r'), ('All', '2011-03-05 17:52:34 EST', 'markus.kell.r'), ('FIXED', '2011-03-05 17:52:34 EST', 'markus.kell.r'), ('markus_keller', '2011-03-05 17:52:34 EST', 'markus.kell.r'), ('3.7 M6', '2011-03-05 17:52:34 EST', 'markus.kell.r'), ('All', '2011-03-05 17:52:34 EST', 'markus.kell.r')]</t>
  </si>
  <si>
    <t>2011-03-09 12:06:49 EST</t>
  </si>
  <si>
    <t>2011-03-08 03:24 EST</t>
  </si>
  <si>
    <t>[('CREATED', '2011-03-08 03:24 EST'), ('RESOLVED', '2011-03-09 12:06:49 EST', 'markus.kell.r'), ('markus_keller', '2011-03-09 12:06:49 EST', 'markus.kell.r'), ('WONTFIX', '2011-03-09 12:06:49 EST', 'markus.kell.r')]</t>
  </si>
  <si>
    <t>2011-03-08 09:00 EST</t>
  </si>
  <si>
    <t>2011-03-09 12:34:16 EST</t>
  </si>
  <si>
    <t>2020-05-30 13:50:06 EDT</t>
  </si>
  <si>
    <t>[('CREATED', '2011-03-08 09:00 EST'), ('api', '2011-03-09 12:34:16 EST', 'markus.kell.r'), ('ASSIGNED', '2011-03-09 12:34:16 EST', 'markus.kell.r'), ('fix candidate', '2011-03-09 12:34:16 EST', 'markus.kell.r'), ('daniel_megert', '2011-03-14 06:39:12 EDT', 'daniel_megert'), ('deepak.azad', '2011-12-24 07:57:32 EST', 'deepakazad'), ('deepak.azad', '2011-12-24 07:57:32 EST', 'deepakazad'), ('reprogrammer', '2011-12-25 00:32:18 EST', 'reprogrammer'), ('P5', '2012-01-03 06:24:10 EST', 'daniel_megert'), ('3.9 candidate', '2012-01-31 05:37:09 EST', 'daniel_megert'), ('4.3 M1', '2012-06-13 12:33:13 EDT', 'deepakazad'), ('review?(markus_keller)', '2012-06-19 13:50:15 EDT', 'deepakazad'), ('review+', '2012-06-25 13:04:35 EDT', 'markus.kell.r'), (nan, '2012-06-26 10:27:08 EDT', 'markus.kell.r'), ('4.3 M2', '2012-08-06 09:01:52 EDT', 'markus.kell.r'), ('P2', '2012-08-09 02:53:16 EDT', 'daniel_megert'), (nan, '2012-08-09 02:53:16 EDT', 'daniel_megert'), ('bruch', '2012-08-14 02:44:13 EDT', 'marcel.bruch'), ('4.3 M3', '2012-09-17 06:32:37 EDT', 'daniel_megert'), ('stephan', '2012-09-21 18:34:18 EDT', 'stephan.herrmann'), ('4.3 M4', '2012-10-31 11:12:30 EDT', 'markus.kell.r'), ('4.3 M5', '2012-12-10 10:45:47 EST', 'daniel_megert'), ('4.3 M6', '2013-01-22 10:04:05 EST', 'markus.kell.r'), ('P3', '2013-03-12 09:51:28 EDT', 'markus.kell.r'), ('---', '2013-03-12 09:51:28 EDT', 'markus.kell.r'), ('fix candidate', '2013-03-12 09:51:28 EDT', 'markus.kell.r'), ('stalebug', '2020-05-30 13:50:06 EDT', 'genie')]</t>
  </si>
  <si>
    <t>2012-03-16 15:30:55 EDT</t>
  </si>
  <si>
    <t>2011-03-11 14:23 EST</t>
  </si>
  <si>
    <t>2011-07-22 12:23:04 EDT</t>
  </si>
  <si>
    <t>[('CREATED', '2011-03-11 14:23 EST'), ('helmut.haigermoser', '2011-07-22 12:23:04 EDT', 'helmut.haigermoser'), ('Szymon.Brandys', '2011-07-26 04:01:56 EDT', 'Szymon.Brandys'), ('IDE', '2011-07-26 04:01:56 EDT', 'Szymon.Brandys'), ('Platform-UI-Inbox', '2011-07-26 04:01:56 EDT', 'Szymon.Brandys'), ('daniel_megert', '2011-07-26 06:04:27 EDT', 'daniel_megert'), ('obesedin', '2011-07-26 09:49:44 EDT', 'ob1.eclipse'), ('UI', '2011-07-26 09:49:44 EDT', 'ob1.eclipse'), ('jdt-ui-inbox', '2011-07-26 09:49:44 EDT', 'ob1.eclipse'), ('JDT', '2011-07-26 09:49:44 EDT', 'ob1.eclipse'), ('[ltk] Improve error reporting when deleting a project fails', '2011-08-08 06:16:19 EDT', 'daniel_megert'), ('All', '2011-08-08 06:16:19 EDT', 'daniel_megert'), ('enhancement', '2011-08-08 06:16:19 EDT', 'daniel_megert'), ('ASSIGNED', '2011-08-08 06:16:19 EDT', 'daniel_megert'), ('All', '2011-08-08 06:16:19 EDT', 'daniel_megert'), ('markus_keller', '2011-09-13 04:31:27 EDT', 'daniel_megert'), ('markus_keller', '2012-02-03 03:36:16 EST', 'daniel_megert'), ('3.8 M6', '2012-02-03 03:36:16 EST', 'daniel_megert'), ('review?(markus_keller)', '2012-02-03 03:36:16 EST', 'daniel_megert'), ('3.8 M7', '2012-03-12 18:07:25 EDT', 'markus.kell.r'), ('RESOLVED', '2012-03-16 15:30:55 EDT', 'markus.kell.r'), ('FIXED', '2012-03-16 15:30:55 EDT', 'markus.kell.r'), (nan, '2012-03-16 15:30:55 EDT', 'markus.kell.r')]</t>
  </si>
  <si>
    <t>2011-03-15 14:17:12 EDT</t>
  </si>
  <si>
    <t>2011-03-14 07:14 EDT</t>
  </si>
  <si>
    <t>2011-03-14 09:22:10 EDT</t>
  </si>
  <si>
    <t>[('CREATED', '2011-03-14 07:14 EDT'), ('---', '2011-03-14 09:22:10 EDT', 'Olivier_Thomann'), ('Olivier_Thomann', '2011-03-14 09:22:10 EDT', 'Olivier_Thomann'), ('UI', '2011-03-14 09:22:10 EDT', 'Olivier_Thomann'), ('jdt-ui-inbox', '2011-03-14 09:22:10 EDT', 'Olivier_Thomann'), ('JDT', '2011-03-14 09:22:10 EDT', 'Olivier_Thomann'), ('RESOLVED', '2011-03-15 14:17:12 EDT', 'markus.kell.r'), ('markus_keller', '2011-03-15 14:17:12 EDT', 'markus.kell.r'), ('WORKSFORME', '2011-03-15 14:17:12 EDT', 'markus.kell.r')]</t>
  </si>
  <si>
    <t>2012-04-29 09:53:20 EDT</t>
  </si>
  <si>
    <t>2011-10-18 09:17:44 EDT</t>
  </si>
  <si>
    <t>2011-03-15 04:52 EDT</t>
  </si>
  <si>
    <t>2011-03-15 05:39:18 EDT</t>
  </si>
  <si>
    <t>[('CREATED', '2011-03-15 04:52 EDT'), ('daniel_megert', '2011-03-15 05:39:18 EDT', 'daniel_megert'), ('UI', '2011-03-15 05:39:18 EDT', 'daniel_megert'), ('All', '2011-03-15 05:39:18 EDT', 'daniel_megert'), ('jdt-ui-inbox', '2011-03-15 05:39:18 EDT', 'daniel_megert'), ('[move method] Move method adds enum name to case statements', '2011-03-15 05:39:18 EDT', 'daniel_megert'), ('All', '2011-03-15 05:39:18 EDT', 'daniel_megert'), ('markus_keller', '2011-03-15 12:14:41 EDT', 'markus.kell.r'), ('raksha.vasisht', '2011-03-15 12:14:41 EDT', 'markus.kell.r'), ('RESOLVED', '2011-10-18 04:48:53 EDT', 'raksha.vasisht'), ('FIXED', '2011-10-18 04:48:53 EDT', 'raksha.vasisht'), ('3.8 M3', '2011-10-18 05:44:14 EDT', 'raksha.vasisht'), ('P1', '2011-10-18 09:17:44 EDT', 'markus.kell.r'), ('REOPENED', '2011-10-18 09:17:44 EDT', 'markus.kell.r'), ('---', '2011-10-18 09:17:44 EDT', 'markus.kell.r'), ('3.8 M4', '2011-10-24 14:33:52 EDT', 'markus.kell.r'), ('P2', '2011-10-24 14:33:52 EDT', 'markus.kell.r'), ('3.8 M5', '2011-12-06 02:29:15 EST', 'daniel_megert'), ('3.8 M6', '2012-01-23 12:39:47 EST', 'raksha.vasisht'), ('markus_keller', '2012-02-20 10:35:20 EST', 'daniel_megert'), ('3.8', '2012-02-20 10:35:20 EST', 'daniel_megert'), ('RESOLVED', '2012-04-29 09:53:20 EDT', 'markus.kell.r'), ('FIXED', '2012-04-29 09:53:20 EDT', 'markus.kell.r'), ('3.8 M7', '2012-04-29 09:53:20 EDT', 'markus.kell.r')]</t>
  </si>
  <si>
    <t>2011-03-15 06:29 EDT</t>
  </si>
  <si>
    <t>2011-03-15 06:44:41 EDT</t>
  </si>
  <si>
    <t>2019-12-31 12:32:31 EST</t>
  </si>
  <si>
    <t>[('CREATED', '2011-03-15 06:29 EDT'), ('UI', '2011-03-15 06:44:41 EDT', 'daniel_megert'), ('jdt-ui-inbox', '2011-03-15 06:44:41 EDT', 'daniel_megert'), ('daniel_megert', '2011-03-15 06:44:41 EDT', 'daniel_megert'), ('stalebug', '2019-12-31 12:32:31 EST', 'genie')]</t>
  </si>
  <si>
    <t>2011-03-16 08:20 EDT</t>
  </si>
  <si>
    <t>2011-03-16 08:21:16 EDT</t>
  </si>
  <si>
    <t>2019-04-15 03:57:24 EDT</t>
  </si>
  <si>
    <t>[('CREATED', '2011-03-16 08:20 EDT'), ('ASSIGNED', '2011-03-16 08:21:16 EDT', 'markus.kell.r'), ('fix candidate', '2011-03-16 08:21:16 EDT', 'markus.kell.r'), ('deepak.azad', '2011-03-16 08:22:38 EDT', 'deepakazad'), ('stalebug', '2019-04-12 13:04:33 EDT', 'genie'), (nan, '2019-04-15 03:57:24 EDT', 'daniel_megert'), ('daniel_megert', '2019-04-15 03:57:24 EDT', 'daniel_megert')]</t>
  </si>
  <si>
    <t>2011-03-24 07:18:13 EDT</t>
  </si>
  <si>
    <t>2011-03-18 11:27 EDT</t>
  </si>
  <si>
    <t>[('CREATED', '2011-03-18 11:27 EDT'), ('RESOLVED', '2011-03-24 07:18:13 EDT', 'markus.kell.r'), ('markus_keller', '2011-03-24 07:18:13 EDT', 'markus.kell.r'), ('WONTFIX', '2011-03-24 07:18:13 EDT', 'markus.kell.r'), ('[inline] inline string variable should avoid string concatenation', '2011-03-24 07:18:13 EDT', 'markus.kell.r')]</t>
  </si>
  <si>
    <t>2011-03-28 01:48 EDT</t>
  </si>
  <si>
    <t>2011-03-28 03:25:21 EDT</t>
  </si>
  <si>
    <t>2019-12-02 09:00:29 EST</t>
  </si>
  <si>
    <t>[('CREATED', '2011-03-28 01:48 EDT'), ('ayushman_jain', '2011-03-28 03:25:21 EDT', 'amj87.iitr'), ('UI', '2011-03-28 03:25:21 EDT', 'amj87.iitr'), ('jdt-ui-inbox', '2011-03-28 03:25:21 EDT', 'amj87.iitr'), ('markus_keller', '2011-03-28 13:00:08 EDT', 'markus.kell.r'), ('All', '2011-03-28 13:00:08 EDT', 'markus.kell.r'), ('[quick fix] Content Assist and Quick Fix fails to generate correct type of variable for overloading methods', '2011-03-28 13:00:08 EDT', 'markus.kell.r'), ('All', '2011-03-28 13:00:08 EDT', 'markus.kell.r'), ('ASSIGNED', '2011-03-28 13:00:08 EDT', 'markus.kell.r'), ('stalebug', '2019-12-02 09:00:29 EST', 'genie')]</t>
  </si>
  <si>
    <t>2011-03-30 10:58 EDT</t>
  </si>
  <si>
    <t>2011-03-30 11:45:44 EDT</t>
  </si>
  <si>
    <t>2012-01-12 13:50:06 EST</t>
  </si>
  <si>
    <t>pbenedict</t>
  </si>
  <si>
    <t>[('CREATED', '2011-03-30 10:58 EDT'), ('helpwanted', '2011-03-30 11:45:44 EDT', 'markus.kell.r'), ('ASSIGNED', '2011-03-30 11:45:44 EDT', 'markus.kell.r'), ('markus_keller', '2011-03-30 11:45:44 EDT', 'markus.kell.r'), ('[inline] Inline local from reference should allow inlining single occurrence', '2011-03-30 11:45:44 EDT', 'markus.kell.r'), ('pbenedict', '2012-01-12 13:50:06 EST', 'pbenedict')]</t>
  </si>
  <si>
    <t>2011-04-18 06:13:55 EDT</t>
  </si>
  <si>
    <t>2020-02-25 03:53:56 EST</t>
  </si>
  <si>
    <t>2011-04-25 07:03:34 EDT</t>
  </si>
  <si>
    <t>2011-04-01 13:00 EDT</t>
  </si>
  <si>
    <t>2011-04-01 13:04:08 EDT</t>
  </si>
  <si>
    <t>[('CREATED', '2011-04-01 13:00 EDT'), ('Olivier_Thomann', '2011-04-01 13:04:08 EDT', 'Olivier_Thomann'), ('jarthana', '2011-04-01 13:04:08 EDT', 'Olivier_Thomann'), ('RESOLVED', '2011-04-18 06:13:55 EDT', 'jarthana'), ('WORKSFORME', '2011-04-18 06:13:55 EDT', 'jarthana'), ('3.7 M7', '2011-04-18 06:13:55 EDT', 'jarthana'), ('REOPENED', '2011-04-25 07:03:34 EDT', 'satyam.kandula'), ('satyam.kandula', '2011-04-25 07:03:34 EDT', 'satyam.kandula'), ('---', '2011-04-25 07:03:34 EDT', 'satyam.kandula'), ('---', '2011-04-25 09:34:45 EDT', 'Olivier_Thomann'), ('srikanth_sankaran', '2011-11-07 00:40:54 EST', 'srikanth_sankaran'), ('3.8 M4', '2011-11-07 00:40:54 EST', 'srikanth_sankaran'), ('3.8 M5', '2011-11-30 00:17:31 EST', 'srikanth_sankaran'), ('UI', '2012-01-06 03:24:33 EST', 'jarthana'), ('jdt-ui-inbox', '2012-01-06 03:24:33 EST', 'jarthana'), ('ASSIGNED', '2012-01-17 05:28:28 EST', 'daniel_megert'), ('daniel_megert', '2012-01-17 05:28:28 EST', 'daniel_megert'), ('---', '2012-01-17 05:28:28 EST', 'daniel_megert'), ('fix candidate', '2012-01-17 05:28:28 EST', 'daniel_megert'), ('stalebug', '2020-02-25 03:53:56 EST', 'genie'), ('WONTFIX', '2020-02-25 03:53:56 EST', 'genie'), ('CLOSED', '2020-02-25 03:53:56 EST', 'genie')]</t>
  </si>
  <si>
    <t>2012-02-21 06:26:42 EST</t>
  </si>
  <si>
    <t>2011-04-04 17:50 EDT</t>
  </si>
  <si>
    <t>2012-02-15 04:35:11 EST</t>
  </si>
  <si>
    <t>2012-02-21 18:05:37 EST</t>
  </si>
  <si>
    <t>[('CREATED', '2011-04-04 17:50 EDT'), ('sanchitbhatnagar', '2012-02-15 04:35:11 EST', 'sanchitbhatnagar'), ('ASSIGNED', '2012-02-21 06:23:03 EST', 'daniel_megert'), ('daniel_megert', '2012-02-21 06:23:03 EST', 'daniel_megert'), ('daniel_megert', '2012-02-21 06:23:03 EST', 'daniel_megert'), ('RESOLVED', '2012-02-21 06:26:42 EST', 'daniel_megert'), ('FIXED', '2012-02-21 06:26:42 EST', 'daniel_megert'), ('3.8 M6', '2012-02-21 06:26:42 EST', 'daniel_megert'), ('[rename] Refactoring (renaming) gives "already exists" error for upper/lower case change', '2012-02-21 06:26:59 EST', 'daniel_megert'), ('pbenedict', '2012-02-21 18:05:37 EST', 'pbenedict')]</t>
  </si>
  <si>
    <t>CLOSED  DUPLICATE  of bug 343308</t>
  </si>
  <si>
    <t>295393</t>
  </si>
  <si>
    <t>2011-04-19 15:49:57 EDT</t>
  </si>
  <si>
    <t>2011-04-06 13:10 EDT</t>
  </si>
  <si>
    <t>2011-04-06 13:11:19 EDT</t>
  </si>
  <si>
    <t>2011-05-22 23:39:15 EDT</t>
  </si>
  <si>
    <t>[('CREATED', '2011-04-06 13:10 EDT'), ('295393', '2011-04-06 13:11:19 EDT', 'kim.moir'), ('daniel_megert', '2011-04-07 02:16:40 EDT', 'daniel_megert'), ('Mac OS X', '2011-04-07 02:17:05 EDT', 'daniel_megert'), ('markus_keller', '2011-04-07 05:59:39 EDT', 'markus.kell.r'), ('jdt.ui.refactoring tests are timing out on Hudson Mac OS X 10.6 slave', '2011-04-07 05:59:39 EDT', 'markus.kell.r'), ('CLOSED', '2011-04-19 15:49:57 EDT', 'kim.moir'), ('DUPLICATE', '2011-04-19 15:49:57 EDT', 'kim.moir'), ('david_williams', '2011-05-21 02:40:52 EDT', 'david_williams'), ('deepak.azad', '2011-05-22 23:39:15 EDT', 'deepakazad')]</t>
  </si>
  <si>
    <t>2011-04-07 13:53:02 EDT</t>
  </si>
  <si>
    <t>2011-04-06 16:13 EDT</t>
  </si>
  <si>
    <t>2011-04-06 16:17:23 EDT</t>
  </si>
  <si>
    <t>[('CREATED', '2011-04-06 16:13 EDT'), ('3.6.2', '2011-04-06 16:17:23 EDT', 'chris.leon'), ('daniel_megert', '2011-04-07 02:22:20 EDT', 'daniel_megert'), ('Refactor-&gt;Move an instance method to another causes IAE in SimpleName.setIdentifier', '2011-04-07 02:22:20 EDT', 'daniel_megert'), ('[move method] Refactor-&gt;Move an instance method to another causes IAE in SimpleName.setIdentifier', '2011-04-07 02:22:35 EDT', 'daniel_megert'), ('markus_keller', '2011-04-07 10:01:51 EDT', 'markus.kell.r'), ('ASSIGNED', '2011-04-07 13:52:24 EDT', 'markus.kell.r'), ('markus_keller', '2011-04-07 13:52:24 EDT', 'markus.kell.r'), ('RESOLVED', '2011-04-07 13:53:02 EDT', 'markus.kell.r'), ('FIXED', '2011-04-07 13:53:02 EDT', 'markus.kell.r'), ('3.7 M7', '2011-04-07 13:53:02 EDT', 'markus.kell.r')]</t>
  </si>
  <si>
    <t>2011-04-07 06:17:38 EDT</t>
  </si>
  <si>
    <t>2011-04-07 05:23 EDT</t>
  </si>
  <si>
    <t>2011-04-07 05:25:27 EDT</t>
  </si>
  <si>
    <t>[('CREATED', '2011-04-07 05:23 EDT'), ('camle, kennoji, kitlo, pwebster', '2011-04-07 05:25:27 EDT', 'harendra'), ('markus_keller', '2011-04-07 05:55:23 EDT', 'markus.kell.r'), ('deepak.azad', '2011-04-07 05:55:23 EDT', 'markus.kell.r'), ('[quick assist] option to "Exchange left and right operands for infix expression" does not appear.', '2011-04-07 06:17:38 EDT', 'deepakazad'), ('All', '2011-04-07 06:17:38 EDT', 'deepakazad'), ('RESOLVED', '2011-04-07 06:17:38 EDT', 'deepakazad'), ('All', '2011-04-07 06:17:38 EDT', 'deepakazad'), ('INVALID', '2011-04-07 06:17:38 EDT', 'deepakazad')]</t>
  </si>
  <si>
    <t>2011-12-22 00:06:06 EST</t>
  </si>
  <si>
    <t>2012-01-23 08:09:24 EST</t>
  </si>
  <si>
    <t>2011-04-12 11:56 EDT</t>
  </si>
  <si>
    <t>2011-04-13 02:20:24 EDT</t>
  </si>
  <si>
    <t>2018-12-27 14:34:12 EST</t>
  </si>
  <si>
    <t>[('CREATED', '2011-04-12 11:56 EDT'), ('ayushman_jain', '2011-04-13 02:20:24 EDT', 'amj87.iitr'), ('jarthana', '2011-04-13 02:20:24 EDT', 'amj87.iitr'), ('JavaModelException during package name refactoring when some files contain errors', '2011-04-13 02:20:24 EDT', 'amj87.iitr'), ('normal', '2011-04-13 02:20:24 EDT', 'amj87.iitr'), ('verawahler', '2011-04-13 06:31:37 EDT', 'verawahler'), ('RESOLVED', '2011-12-22 00:06:06 EST', 'jarthana'), ('WORKSFORME', '2011-12-22 00:06:06 EST', 'jarthana'), ('3.8 M5', '2011-12-22 00:06:06 EST', 'jarthana'), ('REOPENED', '2012-01-23 08:09:24 EST', 'satyam.kandula'), ('satyam.kandula', '2012-01-23 08:09:24 EST', 'satyam.kandula'), ('---', '2012-01-23 08:09:24 EST', 'satyam.kandula'), ('---', '2012-01-23 08:09:24 EST', 'satyam.kandula'), ("Undo of a failed package rename operation doesn't work - Was (JavaModelException during package name refactoring when some files contain errors)", '2012-01-23 08:11:23 EST', 'satyam.kandula'), ('UI', '2012-03-05 00:04:17 EST', 'jarthana'), ('jdt-ui-inbox', '2012-03-05 00:04:17 EST', 'jarthana'), ('deepak.azad', '2012-03-05 00:32:03 EST', 'deepakazad'), ('jarthana', '2012-03-05 23:06:22 EST', 'jarthana'), ('ASSIGNED', '2012-03-06 08:17:40 EST', 'markus.kell.r'), ('markus_keller', '2012-03-06 08:17:40 EST', 'markus.kell.r'), ("[rename] Undo of a failed package rename operation doesn't work - Was (JavaModelException during package name refactoring when some files contain errors)", '2012-03-06 08:17:40 EST', 'markus.kell.r'), ('stalebug', '2018-12-27 14:34:12 EST', 'genie')]</t>
  </si>
  <si>
    <t>2013-12-23 05:17:02 EST</t>
  </si>
  <si>
    <t>2011-04-13 05:20 EDT</t>
  </si>
  <si>
    <t>2011-04-13 07:24:06 EDT</t>
  </si>
  <si>
    <t>2014-01-07 08:16:55 EST</t>
  </si>
  <si>
    <t>[('CREATED', '2011-04-13 05:20 EDT'), ('3.6.2', '2011-04-13 07:24:06 EDT', 'yevshif'), ('remysuen', '2011-04-13 08:17:54 EDT', 'remy.suen'), ('UI', '2013-12-19 08:12:44 EST', 'sptaszkiewicz'), ('jdt-ui-inbox', '2013-12-19 08:12:44 EST', 'sptaszkiewicz'), ('JDT', '2013-12-19 08:12:44 EST', 'sptaszkiewicz'), ('szymon.ptaszkiewicz', '2013-12-19 08:12:44 EST', 'sptaszkiewicz'), ('RESOLVED', '2013-12-23 05:17:02 EST', 'noopur_gupta'), ('noopur_gupta', '2013-12-23 05:17:02 EST', 'noopur_gupta'), ('WORKSFORME', '2013-12-23 05:17:02 EST', 'noopur_gupta'), ('normal', '2013-12-23 05:17:02 EST', 'noopur_gupta'), ('daniel_megert', '2014-01-07 08:16:55 EST', 'daniel_megert')]</t>
  </si>
  <si>
    <t>419266</t>
  </si>
  <si>
    <t>2014-04-28 20:07:23 EDT</t>
  </si>
  <si>
    <t>2011-04-14 11:31 EDT</t>
  </si>
  <si>
    <t>2011-04-14 11:32:52 EDT</t>
  </si>
  <si>
    <t>[('CREATED', '2011-04-14 11:31 EDT'), ('3.6.2', '2011-04-14 11:32:52 EDT', 'chris.leon'), ('1', '2011-04-14 11:36:24 EDT', 'chris.leon'), ('0', '2011-04-14 11:38:28 EDT', 'chris.leon'), ('1', '2011-04-14 11:41:53 EDT', 'chris.leon'), ('Sometimes inlining all invocations of a method does not work', '2011-04-14 12:42:57 EDT', 'chris.leon'), ('needinfo', '2011-04-15 05:12:08 EDT', 'daniel_megert'), ('daniel_megert', '2011-04-15 05:12:08 EDT', 'daniel_megert'), ('[inline] Sometimes inlining all invocations of a method does not work', '2011-04-15 05:12:08 EDT', 'daniel_megert'), ('1', '2011-04-15 09:24:40 EDT', 'chris.leon'), ('1', '2011-04-15 09:24:40 EDT', 'chris.leon'), (nan, '2011-04-18 09:59:20 EDT', 'daniel_megert'), ('ASSIGNED', '2011-07-19 08:08:33 EDT', 'daniel_megert'), ('All', '2011-07-19 08:08:33 EDT', 'daniel_megert'), ('3.4', '2011-07-19 08:08:33 EDT', 'daniel_megert'), ('[inline] inlining all invocations of a method does not work', '2011-07-19 08:08:33 EDT', 'daniel_megert'), ('fix candidate', '2011-07-19 08:08:33 EDT', 'daniel_megert'), ('All', '2011-07-19 08:08:33 EDT', 'daniel_megert'), ('nikolaymetchev', '2013-10-10 07:05:51 EDT', 'nikolaymetchev'), ('noopur_gupta', '2013-10-11 05:06:39 EDT', 'daniel_megert'), ('419266', '2013-10-11 14:01:01 EDT', 'markus.kell.r'), ('4.4', '2013-10-11 14:33:02 EDT', 'markus.kell.r'), ('[inline] inlining all invocations of a method does not work for method with non-final enum type', '2013-10-11 14:33:02 EDT', 'markus.kell.r'), (nan, '2013-10-11 14:33:02 EDT', 'markus.kell.r'), ('markus_keller', '2013-10-11 14:33:02 EDT', 'markus.kell.r'), ('RESOLVED', '2014-04-28 20:07:23 EDT', 'markus.kell.r'), ('FIXED', '2014-04-28 20:07:23 EDT', 'markus.kell.r')]</t>
  </si>
  <si>
    <t>245412</t>
  </si>
  <si>
    <t>2011-06-09 12:54:28 EDT</t>
  </si>
  <si>
    <t>2011-08-25 03:26:02 EDT</t>
  </si>
  <si>
    <t>2011-04-21 12:41 EDT</t>
  </si>
  <si>
    <t>2011-04-21 13:40:09 EDT</t>
  </si>
  <si>
    <t>[('CREATED', '2011-04-21 12:41 EDT'), ('UI', '2011-04-21 13:40:09 EDT', 'matthew'), ('3.7', '2011-04-21 13:40:09 EDT', 'matthew'), ('Platform-UI-Inbox', '2011-04-21 13:40:09 EDT', 'matthew'), ('Platform', '2011-04-21 13:40:09 EDT', 'matthew'), ('jdt-ui-inbox', '2011-04-21 16:42:43 EDT', 'ob1.eclipse'), ('JDT', '2011-04-21 16:42:43 EDT', 'ob1.eclipse'), ('obesedin', '2011-04-21 16:42:43 EDT', 'ob1.eclipse'), ('UI', '2011-04-21 16:42:43 EDT', 'ob1.eclipse'), ('daniel_megert', '2011-04-22 03:35:03 EDT', 'daniel_megert'), ('krzysztof_daniel', '2011-05-03 09:55:36 EDT', 'krzysztof.daniel'), ('ASSIGNED', '2011-05-03 10:38:54 EDT', 'markus.kell.r'), ('markus_keller', '2011-05-03 10:38:54 EDT', 'markus.kell.r'), ('245412', '2011-05-03 10:38:54 EDT', 'markus.kell.r'), ('[ltk][reorg] Deleting physically nested projects can cause exceptions', '2011-05-03 10:38:54 EDT', 'markus.kell.r'), ('review-', '2011-05-03 10:38:54 EDT', 'markus.kell.r'), ('Szymon.Brandys', '2011-05-04 13:40:47 EDT', 'markus.kell.r'), ('szymon.ptaszkiewicz', '2011-05-05 11:03:37 EDT', 'sptaszkiewicz'), ('review?(markus_keller)', '2011-06-03 13:00:32 EDT', 'sptaszkiewicz'), ('review-', '2011-06-06 14:48:06 EDT', 'markus.kell.r'), ('1', '2011-06-07 08:13:58 EDT', 'sptaszkiewicz'), ('review+', '2011-06-08 08:05:28 EDT', 'markus.kell.r'), ('markus_keller', '2011-06-08 08:05:28 EDT', 'markus.kell.r'), ('3.8', '2011-06-08 08:05:28 EDT', 'markus.kell.r'), ('1', '2011-06-08 08:06:04 EDT', 'markus.kell.r'), ('1', '2011-06-08 08:06:22 EDT', 'markus.kell.r'), ('3.4.2+', '2011-06-08 09:25:48 EDT', 'markus.kell.r'), ('review?(szymon.ptaszkiewicz)', '2011-06-08 09:25:48 EDT', 'markus.kell.r'), (nan, '2011-06-08 10:36:34 EDT', 'markus.kell.r'), ('1', '2011-06-08 10:57:33 EDT', 'markus.kell.r'), ('review?(szymon.ptaszkiewicz)', '2011-06-08 11:00:40 EDT', 'markus.kell.r'), ('review?(daniel_megert)', '2011-06-08 12:31:15 EDT', 'markus.kell.r'), ('review+', '2011-06-09 05:56:30 EDT', 'sptaszkiewicz'), ('review+', '2011-06-09 08:48:56 EDT', 'daniel_megert'), ('review+', '2011-06-09 08:49:07 EDT', 'daniel_megert'), ('RESOLVED', '2011-06-09 12:54:28 EDT', 'markus.kell.r'), ('FIXED', '2011-06-09 12:54:28 EDT', 'markus.kell.r'), ('VERIFIED', '2011-08-25 03:26:02 EDT', 'daniel_megert')]</t>
  </si>
  <si>
    <t>2014-04-18 04:44:29 EDT</t>
  </si>
  <si>
    <t>2011-04-27 04:20 EDT</t>
  </si>
  <si>
    <t>2011-04-27 05:08:19 EDT</t>
  </si>
  <si>
    <t>[('CREATED', '2011-04-27 04:20 EDT'), ("JUnit test case with customized Runner, can't locate the method when it contains parameters after running", '2011-04-27 05:08:19 EDT', 'xshao'), ('3.6.1', '2011-04-27 05:08:47 EDT', 'xshao'), ('jdt-ui-inbox', '2011-04-27 12:11:05 EDT', 'Michael_Rennie'), ('JDT', '2011-04-27 12:11:05 EDT', 'Michael_Rennie'), ('Michael_Rennie', '2011-04-27 12:11:05 EDT', 'Michael_Rennie'), ('UI', '2011-04-27 12:11:05 EDT', 'Michael_Rennie'), ('helpwanted', '2011-04-27 12:52:40 EDT', 'markus.kell.r'), ('ASSIGNED', '2011-04-27 12:52:40 EDT', 'markus.kell.r'), ('markus_keller', '2011-04-27 12:52:40 EDT', 'markus.kell.r'), ("[JUnit] JUnit test case with customized Runner, can't locate the method when it contains parameters after running", '2011-04-27 12:52:56 EDT', 'markus.kell.r'), ('moritz.eysholdt', '2012-10-03 10:55:47 EDT', 'moritz.eysholdt'), ('andreas.schmid', '2013-10-22 03:58:37 EDT', 'andreas.schmid'), ('1', '2013-10-30 10:58:08 EDT', 'daniel_megert'), ('1', '2013-10-30 10:58:08 EDT', 'daniel_megert'), ('review-', '2013-10-30 10:58:08 EDT', 'daniel_megert'), ('daniel_megert', '2013-10-30 10:58:08 EDT', 'daniel_megert'), ('1', '2013-11-28 04:30:37 EST', 'andreas.schmid'), ('1', '2013-11-28 04:34:04 EST', 'andreas.schmid'), ('review?(daniel_megert)', '2013-11-28 05:12:28 EST', 'daniel_megert'), ('review-', '2014-02-14 05:16:26 EST', 'daniel_megert'), ('1', '2014-02-14 05:16:26 EST', 'daniel_megert'), ('review-', '2014-02-14 05:16:45 EST', 'daniel_megert'), ('1', '2014-03-31 12:05:05 EDT', 'andreas.schmid'), ('1', '2014-04-16 07:54:13 EDT', 'andreas.schmid'), ('review+', '2014-04-16 12:09:27 EDT', 'daniel_megert'), ('1', '2014-04-16 17:23:28 EDT', 'andreas.schmid'), ('1', '2014-04-16 17:23:28 EDT', 'andreas.schmid'), ('RESOLVED', '2014-04-18 04:44:29 EDT', 'daniel_megert'), ('FIXED', '2014-04-18 04:44:29 EDT', 'daniel_megert'), ('andreas.schmid', '2014-04-18 04:44:29 EDT', 'daniel_megert'), ('4.4 M7', '2014-04-18 04:44:29 EDT', 'daniel_megert')]</t>
  </si>
  <si>
    <t>2011-10-03 10:44:48 EDT</t>
  </si>
  <si>
    <t>2011-10-03 09:38:33 EDT</t>
  </si>
  <si>
    <t>2011-05-04 05:21 EDT</t>
  </si>
  <si>
    <t>2011-05-04 05:22:35 EDT</t>
  </si>
  <si>
    <t>[('CREATED', '2011-05-04 05:21 EDT'), ('steve', '2011-05-04 05:22:35 EDT', 'steve'), ('[clean up] Convert to enhanced for-loop on save results in identity comparison', '2011-05-04 10:55:46 EDT', 'markus.kell.r'), ('markus_keller', '2011-05-04 10:55:46 EDT', 'markus.kell.r'), ('deepak.azad', '2011-05-04 10:55:46 EDT', 'markus.kell.r'), ('RESOLVED', '2011-10-01 02:32:36 EDT', 'deepakazad'), ('FIXED', '2011-10-01 02:32:36 EDT', 'deepakazad'), ('3.8 M3', '2011-10-01 02:32:36 EDT', 'deepakazad'), ('REOPENED', '2011-10-03 07:34:34 EDT', 'markus.kell.r'), ('---', '2011-10-03 07:34:34 EDT', 'markus.kell.r'), ('RESOLVED', '2011-10-03 08:57:37 EDT', 'deepakazad'), ('FIXED', '2011-10-03 08:57:37 EDT', 'deepakazad'), ('REOPENED', '2011-10-03 09:38:33 EDT', 'markus.kell.r'), ('---', '2011-10-03 09:38:33 EDT', 'markus.kell.r'), ('RESOLVED', '2011-10-03 10:44:48 EDT', 'deepakazad'), ('FIXED', '2011-10-03 10:44:48 EDT', 'deepakazad')]</t>
  </si>
  <si>
    <t>2011-05-23 03:22 EDT</t>
  </si>
  <si>
    <t>2011-05-23 03:23:32 EDT</t>
  </si>
  <si>
    <t>2012-10-09 09:24:39 EDT</t>
  </si>
  <si>
    <t>[('CREATED', '2011-05-23 03:22 EDT'), ('fix candidate', '2011-05-23 03:23:32 EDT', 'deepakazad'), ('daniel_megert', '2011-05-23 03:28:49 EDT', 'daniel_megert'), ('ASSIGNED', '2011-05-23 03:51:50 EDT', 'markus.kell.r'), ('markus_keller', '2011-05-23 03:51:50 EDT', 'markus.kell.r'), ('grprakash', '2011-05-23 11:21:21 EDT', 'prakash'), ('remysuen', '2011-05-23 15:34:35 EDT', 'remy.suen'), ('bruch', '2011-05-24 05:55:17 EDT', 'marcel.bruch'), ('deepak.azad', '2011-05-31 06:40:21 EDT', 'deepakazad'), ('deepak.azad', '2011-05-31 06:40:21 EDT', 'deepakazad'), ('3.8', '2011-05-31 06:40:21 EDT', 'deepakazad'), ('---', '2012-03-20 06:38:59 EDT', 'daniel_megert'), (nan, '2012-10-09 09:24:39 EDT', 'daniel_megert')]</t>
  </si>
  <si>
    <t>CLOSED  DUPLICATE  of bug 344196</t>
  </si>
  <si>
    <t>2011-05-23 11:50:40 EDT</t>
  </si>
  <si>
    <t>2011-05-23 09:35 EDT</t>
  </si>
  <si>
    <t>[('CREATED', '2011-05-23 09:35 EDT'), ('CLOSED', '2011-05-23 11:50:40 EDT', 'markus.kell.r'), ('markus_keller', '2011-05-23 11:50:40 EDT', 'markus.kell.r'), ('DUPLICATE', '2011-05-23 11:50:40 EDT', 'markus.kell.r')]</t>
  </si>
  <si>
    <t>2011-10-21 01:25:44 EDT</t>
  </si>
  <si>
    <t>2011-05-25 19:45 EDT</t>
  </si>
  <si>
    <t>2011-10-20 10:29:28 EDT</t>
  </si>
  <si>
    <t>[('CREATED', '2011-05-25 19:45 EDT'), ('deepak.azad', '2011-10-20 10:29:28 EDT', 'deepakazad'), ('needinfo', '2011-10-20 10:47:33 EDT', 'daniel_megert'), ('daniel_megert', '2011-10-20 10:47:33 EDT', 'daniel_megert'), ('RESOLVED', '2011-10-21 01:25:44 EDT', 'daniel_megert'), ('WORKSFORME', '2011-10-21 01:25:44 EDT', 'daniel_megert')]</t>
  </si>
  <si>
    <t>2011-05-25 20:02 EDT</t>
  </si>
  <si>
    <t>2011-05-27 10:25:19 EDT</t>
  </si>
  <si>
    <t>2019-08-28 05:35:18 EDT</t>
  </si>
  <si>
    <t>[('CREATED', '2011-05-25 20:02 EDT'), ('ASSIGNED', '2011-05-27 10:25:19 EDT', 'markus.kell.r'), ('markus_keller', '2011-05-27 10:25:19 EDT', 'markus.kell.r'), ('All', '2011-05-27 10:25:19 EDT', 'markus.kell.r'), ('[reorg] Filter libraries from refactor move list', '2011-05-27 10:25:19 EDT', 'markus.kell.r'), ('fix candidate', '2011-05-27 10:25:19 EDT', 'markus.kell.r'), ('All', '2011-05-27 10:25:19 EDT', 'markus.kell.r'), ('normal', '2011-05-27 10:25:19 EDT', 'markus.kell.r'), ('stalebug', '2019-08-27 18:15:55 EDT', 'genie'), ('daniel_megert', '2019-08-28 05:35:18 EDT', 'daniel_megert'), (nan, '2019-08-28 05:35:18 EDT', 'daniel_megert')]</t>
  </si>
  <si>
    <t>2011-05-26 11:56 EDT</t>
  </si>
  <si>
    <t>2011-05-26 11:56:31 EDT</t>
  </si>
  <si>
    <t>2011-10-19 00:53:02 EDT</t>
  </si>
  <si>
    <t>[('CREATED', '2011-05-26 11:56 EDT'), ('thomascramera', '2011-05-26 11:56:31 EDT', 'thomascramera'), ('remysuen', '2011-05-26 12:35:34 EDT', 'remy.suen'), ('ayushman_jain', '2011-05-26 13:31:16 EDT', 'amj87.iitr'), ('UI', '2011-06-15 12:18:01 EDT', 'Olivier_Thomann'), ('jdt-ui-inbox', '2011-06-15 12:18:01 EDT', 'Olivier_Thomann'), ('Olivier_Thomann', '2011-06-15 12:18:01 EDT', 'Olivier_Thomann'), ('markus_keller', '2011-06-16 08:44:23 EDT', 'markus.kell.r'), ('[quick fix] One-step creation of nested Java listeners', '2011-06-16 08:44:23 EDT', 'markus.kell.r'), ('ASSIGNED', '2011-10-19 00:53:02 EDT', 'deepakazad'), ('deepak.azad', '2011-10-19 00:53:02 EDT', 'deepakazad')]</t>
  </si>
  <si>
    <t>2012-06-12 12:48:46 EDT</t>
  </si>
  <si>
    <t>2011-05-26 21:33 EDT</t>
  </si>
  <si>
    <t>2011-05-26 21:37:59 EDT</t>
  </si>
  <si>
    <t>[('CREATED', '2011-05-26 21:33 EDT'), ('Core', '2011-05-26 21:37:59 EDT', 'milesparker'), ('jdt-core-inbox', '2011-05-26 21:37:59 EDT', 'milesparker'), ('Olivier_Thomann', '2011-05-26 21:43:33 EDT', 'Olivier_Thomann'), ('Olivier_Thomann', '2011-05-26 21:43:33 EDT', 'Olivier_Thomann'), ('markus_keller', '2011-05-27 09:38:40 EDT', 'markus.kell.r'), ('UI', '2011-05-27 09:38:40 EDT', 'markus.kell.r'), ('All', '2011-05-27 09:38:40 EDT', 'markus.kell.r'), ('raksha.vasisht', '2011-05-27 09:38:40 EDT', 'markus.kell.r'), ('3.8', '2011-05-27 09:38:40 EDT', 'markus.kell.r'), ('[move member type] IllegalArgumentException on Refactor: Move Type to new File..', '2011-05-27 09:38:40 EDT', 'markus.kell.r'), ('All', '2011-05-27 09:38:40 EDT', 'markus.kell.r'), ('daniel_megert', '2012-02-20 10:09:22 EST', 'daniel_megert'), ('markus_keller', '2012-02-20 10:09:22 EST', 'daniel_megert'), ('4.3', '2012-04-29 19:08:46 EDT', 'markus.kell.r'), ('FIXED', '2012-06-12 12:48:46 EDT', 'markus.kell.r'), ('4.3 M1', '2012-06-12 12:48:46 EDT', 'markus.kell.r'), ('RESOLVED', '2012-06-12 12:48:46 EDT', 'markus.kell.r')]</t>
  </si>
  <si>
    <t>342521 347712</t>
  </si>
  <si>
    <t>2011-10-24 15:12:00 EDT</t>
  </si>
  <si>
    <t>2011-05-30 01:27 EDT</t>
  </si>
  <si>
    <t>2011-05-30 02:30:21 EDT</t>
  </si>
  <si>
    <t>2016-11-18 17:10:54 EST</t>
  </si>
  <si>
    <t>eclipse.sprigogin</t>
  </si>
  <si>
    <t>[('CREATED', '2011-05-30 01:27 EDT'), ('ayushman_jain', '2011-05-30 02:30:21 EDT', 'amj87.iitr'), ('UI', '2011-05-30 02:30:21 EDT', 'amj87.iitr'), ('jdt-ui-inbox', '2011-05-30 02:30:21 EDT', 'amj87.iitr'), ('1', '2011-05-30 08:58:01 EDT', 'Olivier_Thomann'), ('pwebster', '2011-05-30 09:24:30 EDT', 'pwebster'), ('api', '2011-05-30 12:00:25 EDT', 'markus.kell.r'), ('ASSIGNED', '2011-05-30 12:00:25 EDT', 'markus.kell.r'), ('markus_keller', '2011-05-30 12:00:25 EDT', 'markus.kell.r'), ('markus_keller', '2011-05-30 12:00:25 EDT', 'markus.kell.r'), ('3.8', '2011-05-30 12:00:25 EDT', 'markus.kell.r'), ('[refactoring] Add dispose() method to org.eclipse.ltk.core.refactoring.Refactoring', '2011-05-30 12:00:25 EDT', 'markus.kell.r'), ('enhancement', '2011-05-30 12:00:25 EDT', 'markus.kell.r'), ('347712', '2011-05-30 21:10:33 EDT', 'eclipse.sprigogin'), ('daniel_megert', '2011-05-31 07:20:25 EDT', 'daniel_megert'), ('egraf', '2011-05-31 07:46:38 EDT', 'emanuel'), ('malaperle', '2011-06-01 02:21:04 EDT', 'malaperle'), ('1', '2011-07-21 19:10:39 EDT', 'eclipse.sprigogin'), ('[refactoring] Provide a way to implement refactorings that depend on resources that have to be explicitly released', '2011-07-21 19:14:32 EDT', 'eclipse.sprigogin'), ('review?(markus_keller)', '2011-07-21 19:14:32 EDT', 'eclipse.sprigogin'), ('P2', '2011-07-26 06:54:01 EDT', 'markus.kell.r'), ('342521', '2011-10-01 18:26:55 EDT', 'eclipse.sprigogin'), ('review?', '2011-10-03 13:44:44 EDT', 'eclipse.sprigogin'), ('3.8 M3', '2011-10-04 14:32:13 EDT', 'markus.kell.r'), ('RESOLVED', '2011-10-24 15:12:00 EDT', 'markus.kell.r'), ('FIXED', '2011-10-24 15:12:00 EDT', 'markus.kell.r'), ('review+', '2011-10-24 15:12:00 EDT', 'markus.kell.r'), ('iplog+, review+', '2011-10-24 15:16:16 EDT', 'markus.kell.r'), ('eclipse.sprigogin', '2016-11-18 17:10:54 EST', 'eclipse.sprigogin')]</t>
  </si>
  <si>
    <t>2020-02-14 20:31:20 EST</t>
  </si>
  <si>
    <t>2011-06-03 16:38 EDT</t>
  </si>
  <si>
    <t>2011-06-03 22:49:22 EDT</t>
  </si>
  <si>
    <t>[('CREATED', '2011-06-03 16:38 EDT'), ('srikanth_sankaran', '2011-06-03 22:49:22 EDT', 'srikanth_sankaran'), ('UI', '2011-06-03 22:49:22 EDT', 'srikanth_sankaran'), ('jdt-ui-inbox', '2011-06-03 22:49:22 EDT', 'srikanth_sankaran'), ('ASSIGNED', '2011-10-18 21:39:36 EDT', 'deepakazad'), ('deepak.azad', '2011-10-18 21:39:36 EDT', 'deepakazad'), ('CLOSED', '2020-02-14 20:31:20 EST', 'genie'), ('WONTFIX', '2020-02-14 20:31:20 EST', 'genie'), ('stalebug', '2020-02-14 20:31:20 EST', 'genie')]</t>
  </si>
  <si>
    <t>2011-06-08 06:59 EDT</t>
  </si>
  <si>
    <t>[('CREATED', '2011-06-08 06:59 EDT'), ('CLOSED', '2011-06-09 06:43:16 EDT', 'markus.kell.r'), ('markus_keller', '2011-06-09 06:43:16 EDT', 'markus.kell.r'), ('DUPLICATE', '2011-06-09 06:43:16 EDT', 'markus.kell.r')]</t>
  </si>
  <si>
    <t>2011-06-27 02:45:38 EDT</t>
  </si>
  <si>
    <t>2011-07-20 12:45:45 EDT</t>
  </si>
  <si>
    <t>2011-06-09 08:47 EDT</t>
  </si>
  <si>
    <t>2011-06-09 08:47:14 EDT</t>
  </si>
  <si>
    <t>2011-08-02 05:45:41 EDT</t>
  </si>
  <si>
    <t>[('CREATED', '2011-06-09 08:47 EDT'), ('deepak.azad', '2011-06-09 08:47:14 EDT', 'deepakazad'), ('deepak.azad', '2011-06-09 08:47:14 EDT', 'deepakazad'), ('markus_keller', '2011-06-20 09:09:15 EDT', 'deepakazad'), ('RESOLVED', '2011-06-27 02:45:38 EDT', 'deepakazad'), ('FIXED', '2011-06-27 02:45:38 EDT', 'deepakazad'), ('VERIFIED', '2011-07-20 12:45:45 EDT', 'Michael_Rennie'), ('Michael_Rennie', '2011-07-20 12:45:45 EDT', 'Michael_Rennie'), ('3.7.1', '2011-08-02 05:45:41 EDT', 'markus.kell.r')]</t>
  </si>
  <si>
    <t>2011-06-28 07:22:44 EDT</t>
  </si>
  <si>
    <t>2011-07-20 14:35:05 EDT</t>
  </si>
  <si>
    <t>2011-06-09 14:55 EDT</t>
  </si>
  <si>
    <t>2011-06-09 14:55:13 EDT</t>
  </si>
  <si>
    <t>2011-08-02 05:45:43 EDT</t>
  </si>
  <si>
    <t>[('CREATED', '2011-06-09 14:55 EDT'), ('deepak.azad', '2011-06-09 14:55:13 EDT', 'deepakazad'), ('deepak.azad', '2011-06-09 14:55:13 EDT', 'deepakazad'), ('daniel_megert, markus_keller', '2011-06-14 06:04:11 EDT', 'deepakazad'), ('RESOLVED', '2011-06-28 07:22:44 EDT', 'deepakazad'), ('FIXED', '2011-06-28 07:22:44 EDT', 'deepakazad'), ('Michael_Rennie', '2011-07-20 14:35:05 EDT', 'Michael_Rennie'), ('VERIFIED', '2011-07-20 14:35:05 EDT', 'Michael_Rennie'), ('3.7.1', '2011-08-02 05:45:43 EDT', 'markus.kell.r')]</t>
  </si>
  <si>
    <t>402605 (view as bug list)</t>
  </si>
  <si>
    <t>2011-06-14 03:24 EDT</t>
  </si>
  <si>
    <t>2011-06-14 08:21:01 EDT</t>
  </si>
  <si>
    <t>2020-01-09 09:12:56 EST</t>
  </si>
  <si>
    <t>[('CREATED', '2011-06-14 03:24 EDT'), ('ASSIGNED', '2011-06-14 08:21:01 EDT', 'markus.kell.r'), ('markus_keller', '2011-06-14 08:21:01 EDT', 'markus.kell.r'), ('[inline][quick fix] Inline Local Variable changes semantics if initializer is not a pure function', '2011-06-14 08:21:01 EDT', 'markus.kell.r'), ('deepak.azad', '2011-06-14 11:03:05 EDT', 'deepakazad'), ('oleg.tsvinev', '2013-03-07 13:14:03 EST', 'markus.kell.r'), ('stalebug', '2020-01-09 09:12:56 EST', 'genie')]</t>
  </si>
  <si>
    <t>2011-06-14 11:03:26 EDT</t>
  </si>
  <si>
    <t>2011-06-14 08:29 EDT</t>
  </si>
  <si>
    <t>2011-06-14 08:31:50 EDT</t>
  </si>
  <si>
    <t>[('CREATED', '2011-06-14 08:29 EDT'), ('kalinka1948', '2011-06-14 08:31:50 EDT', 'kalinka1948'), ('CLOSED', '2011-06-14 11:03:26 EDT', 'markus.kell.r'), ('markus_keller', '2011-06-14 11:03:26 EDT', 'markus.kell.r'), ('DUPLICATE', '2011-06-14 11:03:26 EDT', 'markus.kell.r')]</t>
  </si>
  <si>
    <t>349326 351170 358846</t>
  </si>
  <si>
    <t>2011-06-14 22:56 EDT</t>
  </si>
  <si>
    <t>2011-06-14 22:57:23 EDT</t>
  </si>
  <si>
    <t>2013-04-23 06:37:54 EDT</t>
  </si>
  <si>
    <t>[('CREATED', '2011-06-14 22:56 EDT'), ('deepak.azad', '2011-06-14 22:57:23 EDT', 'deepakazad'), ('deepak.azad', '2011-06-14 22:57:23 EDT', 'deepakazad'), ('stephan', '2011-06-15 17:57:22 EDT', 'stephan.herrmann'), ('markus_keller', '2011-06-24 12:27:55 EDT', 'markus.kell.r'), ('351170', '2011-07-05 08:00:45 EDT', 'deepakazad'), ('349326', '2011-07-06 04:58:13 EDT', 'deepakazad'), ('P2', '2011-07-07 00:36:39 EDT', 'deepakazad'), ('1', '2011-07-07 05:00:35 EDT', 'deepakazad'), ('1', '2011-07-07 07:22:37 EDT', 'deepakazad'), ('review?(markus_keller)', '2011-07-07 10:26:24 EDT', 'deepakazad'), (nan, '2011-07-07 11:35:25 EDT', 'markus.kell.r'), ('1', '2011-07-11 10:32:49 EDT', 'deepakazad'), ('P3', '2011-07-12 06:32:07 EDT', 'deepakazad'), ('3.8', '2011-07-12 06:32:07 EDT', 'deepakazad'), ('Konstantin.Scheglov', '2011-07-15 10:16:20 EDT', 'Konstantin.Scheglov'), ('358846', '2011-09-26 01:49:39 EDT', 'amj87.iitr'), ('[1.7][quick fix] for new resource leak warnings', '2011-09-30 04:51:01 EDT', 'deepakazad'), ('359727', '2011-10-03 11:47:25 EDT', 'amj87.iitr'), (nan, '2011-10-10 08:54:40 EDT', 'amj87.iitr'), ('4.3', '2012-04-25 09:35:45 EDT', 'deepakazad'), ('daniel_megert', '2013-04-23 06:37:54 EDT', 'daniel_megert'), ('jdt-ui-inbox', '2013-04-23 06:37:54 EDT', 'daniel_megert'), ('---', '2013-04-23 06:37:54 EDT', 'daniel_megert'), ('ASSIGNED', '2013-04-23 06:37:54 EDT', 'daniel_megert')]</t>
  </si>
  <si>
    <t>2011-07-12 02:38:53 EDT</t>
  </si>
  <si>
    <t>2011-07-19 08:38:27 EDT</t>
  </si>
  <si>
    <t>2011-06-15 03:37 EDT</t>
  </si>
  <si>
    <t>2011-06-21 04:49:57 EDT</t>
  </si>
  <si>
    <t>2011-08-02 05:45:44 EDT</t>
  </si>
  <si>
    <t>[('CREATED', '2011-06-15 03:37 EDT'), ('[introduce indirection] Introduce indirection throws IAE', '2011-06-21 04:49:57 EDT', 'deepakazad'), ('deepak.azad', '2011-06-21 04:49:57 EDT', 'deepakazad'), ('1', '2011-07-07 12:16:07 EDT', 'markus.kell.r'), ('3.7.1', '2011-07-07 12:32:14 EDT', 'markus.kell.r'), ('[1.7][introduce indirection] Introduce indirection throws IAE', '2011-07-07 12:32:14 EDT', 'markus.kell.r'), ('RESOLVED', '2011-07-12 02:38:53 EDT', 'raksha.vasisht'), ('FIXED', '2011-07-12 02:38:53 EDT', 'raksha.vasisht'), ('daniel_megert', '2011-07-15 02:21:51 EDT', 'daniel_megert'), ('---', '2011-07-15 02:21:51 EDT', 'daniel_megert'), ('VERIFIED', '2011-07-19 08:38:27 EDT', 'satyam.kandula'), ('satyam.kandula', '2011-07-19 08:38:27 EDT', 'satyam.kandula'), ('3.7.1', '2011-08-02 05:45:44 EDT', 'markus.kell.r')]</t>
  </si>
  <si>
    <t>2012-01-04 12:41:58 EST</t>
  </si>
  <si>
    <t>2011-06-15 22:41 EDT</t>
  </si>
  <si>
    <t>2011-06-21 07:15:37 EDT</t>
  </si>
  <si>
    <t>[('CREATED', '2011-06-15 22:41 EDT'), ('raksha.vasisht', '2011-06-21 07:15:37 EDT', 'raksha.vasisht'), ('raksha.vasisht', '2011-06-21 07:15:37 EDT', 'raksha.vasisht'), ('review?(markus_keller)', '2011-07-05 04:46:12 EDT', 'raksha.vasisht'), ('markus_keller', '2011-07-05 09:25:48 EDT', 'markus.kell.r'), ('review-', '2011-07-05 09:25:48 EDT', 'markus.kell.r'), ('P2', '2011-07-28 00:37:11 EDT', 'deepakazad'), ('1', '2011-07-28 04:49:45 EDT', 'raksha.vasisht'), ('review?(markus_keller)', '2011-07-28 04:50:01 EDT', 'raksha.vasisht'), ('daniel_megert', '2011-12-14 07:16:58 EST', 'daniel_megert'), ('3.8 M5', '2011-12-14 07:16:58 EST', 'daniel_megert'), ('RESOLVED', '2012-01-04 12:41:58 EST', 'markus.kell.r'), ('FIXED', '2012-01-04 12:41:58 EST', 'markus.kell.r'), (nan, '2012-01-04 12:41:58 EST', 'markus.kell.r')]</t>
  </si>
  <si>
    <t>2011-07-20 08:01:18 EDT</t>
  </si>
  <si>
    <t>2011-07-20 08:01:25 EDT</t>
  </si>
  <si>
    <t>2011-07-20 06:24:50 EDT</t>
  </si>
  <si>
    <t>2011-06-17 05:50 EDT</t>
  </si>
  <si>
    <t>2011-06-17 05:50:56 EDT</t>
  </si>
  <si>
    <t>[('CREATED', '2011-06-17 05:50 EDT'), ('daniel_megert', '2011-06-17 05:50:56 EDT', 'daniel_megert'), ('deepak.azad', '2011-06-17 05:50:56 EDT', 'daniel_megert'), ('markus_keller', '2011-06-24 13:25:48 EDT', 'markus.kell.r'), ('cwindatt', '2011-06-24 14:34:04 EDT', 'curtis.windatt.public'), ("[1.7][quick fix] Need 'Surround with try/multi-catch'", '2011-06-29 12:11:35 EDT', 'deepakazad'), ('1', '2011-07-02 01:41:27 EDT', 'deepakazad'), ('RESOLVED', '2011-07-02 04:32:13 EDT', 'deepakazad'), ('FIXED', '2011-07-02 04:32:13 EDT', 'deepakazad'), ('REOPENED', '2011-07-04 08:37:24 EDT', 'markus.kell.r'), ('---', '2011-07-04 08:37:24 EDT', 'markus.kell.r'), ('RESOLVED', '2011-07-05 08:49:52 EDT', 'deepakazad'), ('FIXED', '2011-07-05 08:49:52 EDT', 'deepakazad'), ('satyam.kandula', '2011-07-19 10:55:27 EDT', 'satyam.kandula'), ('VERIFIED', '2011-07-19 11:16:22 EDT', 'satyam.kandula'), ('P2', '2011-07-20 06:24:50 EDT', 'daniel_megert'), ('REOPENED', '2011-07-20 06:24:50 EDT', 'daniel_megert'), ('---', '2011-07-20 06:24:50 EDT', 'daniel_megert'), ('RESOLVED', '2011-07-20 08:01:18 EDT', 'daniel_megert'), ('FIXED', '2011-07-20 08:01:18 EDT', 'daniel_megert'), ('VERIFIED', '2011-07-20 08:01:25 EDT', 'daniel_megert'), ('3.7.1', '2011-08-02 05:45:44 EDT', 'markus.kell.r')]</t>
  </si>
  <si>
    <t>2011-09-30 23:56:58 EDT</t>
  </si>
  <si>
    <t>2011-06-20 01:33 EDT</t>
  </si>
  <si>
    <t>2011-06-20 01:44:55 EDT</t>
  </si>
  <si>
    <t>[('CREATED', '2011-06-20 01:33 EDT'), ('deepak.azad', '2011-06-20 01:44:55 EDT', 'deepakazad'), ('deepak.azad', '2011-06-20 01:44:55 EDT', 'deepakazad'), ('3.8', '2011-06-20 01:44:55 EDT', 'deepakazad'), ('[quick assist] "Convert to enhanced for loop" isn\'t available for loops over array with prefix increment', '2011-06-20 01:44:55 EDT', 'deepakazad'), ('RESOLVED', '2011-09-30 23:56:58 EDT', 'deepakazad'), ('FIXED', '2011-09-30 23:56:58 EDT', 'deepakazad'), ('3.8 M3', '2011-09-30 23:56:58 EDT', 'deepakazad')]</t>
  </si>
  <si>
    <t>99931</t>
  </si>
  <si>
    <t>2020-02-08 11:56:47 EST</t>
  </si>
  <si>
    <t>2011-06-20 17:17 EDT</t>
  </si>
  <si>
    <t>2011-06-21 03:30:36 EDT</t>
  </si>
  <si>
    <t>[('CREATED', '2011-06-20 17:17 EDT'), ('deepak.azad', '2011-06-21 03:30:36 EDT', 'deepakazad'), ('[refactoring][1.7] Introduce parameter Object... does not work for intersection types', '2011-06-21 05:29:59 EDT', 'deepakazad'), ('[refactoring] Introduce parameter Object... does not work for intersection types', '2011-06-28 12:40:39 EDT', 'deepakazad'), ('ASSIGNED', '2011-07-13 05:23:15 EDT', 'markus.kell.r'), ('markus_keller', '2011-07-13 05:23:15 EDT', 'markus.kell.r'), ('99931', '2011-07-13 05:23:15 EDT', 'markus.kell.r'), ('WONTFIX', '2020-02-08 11:56:47 EST', 'genie'), ('CLOSED', '2020-02-08 11:56:47 EST', 'genie'), ('stalebug', '2020-02-08 11:56:47 EST', 'genie')]</t>
  </si>
  <si>
    <t>2020-05-01 20:29:29 EDT</t>
  </si>
  <si>
    <t>2011-06-20 17:54 EDT</t>
  </si>
  <si>
    <t>2011-06-21 04:51:47 EDT</t>
  </si>
  <si>
    <t>[('CREATED', '2011-06-20 17:54 EDT'), ('[inline][refactoring] Inline method does not work', '2011-06-21 04:51:47 EDT', 'deepakazad'), ('deepak.azad', '2011-06-21 04:51:47 EDT', 'deepakazad'), ('P4', '2011-07-01 06:48:41 EDT', 'markus.kell.r'), ('ASSIGNED', '2011-07-01 06:48:41 EDT', 'markus.kell.r'), ('99931', '2011-07-01 06:48:41 EDT', 'markus.kell.r'), ('[inline][refactoring] Inline method does not work with intersection types', '2011-07-01 06:48:41 EDT', 'markus.kell.r'), ('WONTFIX', '2020-05-01 20:29:29 EDT', 'genie'), ('CLOSED', '2020-05-01 20:29:29 EDT', 'genie'), ('stalebug', '2020-05-01 20:29:29 EDT', 'genie')]</t>
  </si>
  <si>
    <t>2011-10-26 08:44:53 EDT</t>
  </si>
  <si>
    <t>2011-06-22 07:54 EDT</t>
  </si>
  <si>
    <t>2011-06-24 12:18:22 EDT</t>
  </si>
  <si>
    <t>2011-11-15 03:24:07 EST</t>
  </si>
  <si>
    <t>[('CREATED', '2011-06-22 07:54 EDT'), ('Olivier_Thomann', '2011-06-24 12:18:22 EDT', 'Olivier_Thomann'), ('jdt-ui-inbox', '2011-06-24 12:18:42 EDT', 'Olivier_Thomann'), ('UI', '2011-06-24 12:18:42 EDT', 'Olivier_Thomann'), ('deepak.azad, markus_keller', '2011-10-18 21:31:13 EDT', 'deepakazad'), ('[rename] "Rename field" doesn\'t recognize getter and setter methods', '2011-10-18 21:31:26 EDT', 'deepakazad'), ('daniel_megert', '2011-10-25 07:21:36 EDT', 'daniel_megert'), ('deepak.azad', '2011-10-25 07:21:36 EDT', 'daniel_megert'), ('P4', '2011-10-25 07:21:45 EDT', 'daniel_megert'), ('RESOLVED', '2011-10-26 08:44:53 EDT', 'markus.kell.r'), ('INVALID', '2011-10-26 08:44:53 EDT', 'markus.kell.r'), ('jdt-ui-inbox', '2011-10-26 08:44:53 EDT', 'markus.kell.r'), ('[getter setter][rename] "Rename field" doesn\'t recognize getter and setter methods', '2011-11-15 03:24:07 EST', 'deepakazad')]</t>
  </si>
  <si>
    <t>2011-10-24 06:42:43 EDT</t>
  </si>
  <si>
    <t>2011-06-25 05:32 EDT</t>
  </si>
  <si>
    <t>2011-06-25 06:29:25 EDT</t>
  </si>
  <si>
    <t>2012-01-13 13:17:46 EST</t>
  </si>
  <si>
    <t>[('CREATED', '2011-06-25 05:32 EDT'), ('remysuen', '2011-06-25 06:29:25 EDT', 'remy.suen'), ('UI', '2011-06-25 06:29:25 EDT', 'remy.suen'), ('jdt-ui-inbox', '2011-06-25 06:29:25 EDT', 'remy.suen'), ('All', '2011-07-04 10:03:22 EDT', 'daniel_megert'), ('3.4', '2011-07-04 10:03:22 EDT', 'daniel_megert'), ('[reorg] Drag text file to "default package" folder deletes said file with exception report.', '2011-07-04 10:03:22 EDT', 'daniel_megert'), ('All', '2011-07-04 10:03:22 EDT', 'daniel_megert'), ('major', '2011-07-04 10:03:22 EDT', 'daniel_megert'), ('ASSIGNED', '2011-07-04 10:03:22 EDT', 'daniel_megert'), ('daniel_megert', '2011-07-04 10:03:22 EDT', 'daniel_megert'), ('markus_keller', '2011-07-04 10:04:42 EDT', 'daniel_megert'), ('[reorg] Move text file to "default package" folder deletes the file with exception report', '2011-07-04 10:05:31 EDT', 'daniel_megert'), ('raksha.vasisht', '2011-08-03 06:27:11 EDT', 'markus.kell.r'), ('3.8', '2011-08-03 06:27:11 EDT', 'markus.kell.r'), ('3.8 M2', '2011-09-06 05:08:19 EDT', 'markus.kell.r'), ('review?(markus_keller)', '2011-09-13 03:00:39 EDT', 'raksha.vasisht'), ('3.8 M3', '2011-09-13 03:22:45 EDT', 'daniel_megert'), ('Security_Advisories', '2011-10-11 05:29:18 EDT', 'markus.kell.r'), ('review-', '2011-10-11 05:29:18 EDT', 'markus.kell.r'), ('RESOLVED', '2011-10-24 06:42:43 EDT', 'raksha.vasisht'), ('FIXED', '2011-10-24 06:42:43 EDT', 'raksha.vasisht'), ('wayne', '2012-01-13 12:10:53 EST', 'wayne.beaton'), (nan, '2012-01-13 13:17:46 EST', 'markus.kell.r')]</t>
  </si>
  <si>
    <t>240048 (view as bug list)</t>
  </si>
  <si>
    <t>2011-08-22 04:51:54 EDT</t>
  </si>
  <si>
    <t>2011-08-25 02:57:25 EDT</t>
  </si>
  <si>
    <t>2011-06-26 05:42 EDT</t>
  </si>
  <si>
    <t>2011-06-28 08:53:53 EDT</t>
  </si>
  <si>
    <t>[('CREATED', '2011-06-26 05:42 EDT'), ('deepak.azad', '2011-06-28 08:53:53 EDT', 'deepakazad'), ('[change method signature] NPE while refactoring a method', '2011-06-28 08:53:53 EDT', 'deepakazad'), ('3.4.2', '2011-06-28 11:26:22 EDT', 'markus.kell.r'), ('markus_keller', '2011-06-28 11:26:22 EDT', 'markus.kell.r'), ('3.7.1', '2011-06-28 11:26:22 EDT', 'markus.kell.r'), ('[change method signature] NPE while renaming a method', '2011-06-28 11:26:22 EDT', 'markus.kell.r'), ('ASSIGNED', '2011-06-28 11:26:22 EDT', 'markus.kell.r'), ('markus_keller', '2011-06-28 11:26:22 EDT', 'markus.kell.r'), ('adam.hawthorne', '2011-06-28 11:28:00 EDT', 'markus.kell.r'), ('1', '2011-08-19 12:39:34 EDT', 'markus.kell.r'), ('review?(raksha.vasisht)', '2011-08-19 13:11:41 EDT', 'markus.kell.r'), ('raksha.vasisht', '2011-08-22 02:55:11 EDT', 'raksha.vasisht'), ('review+', '2011-08-22 02:55:11 EDT', 'raksha.vasisht'), ('RESOLVED', '2011-08-22 04:51:54 EDT', 'markus.kell.r'), ('FIXED', '2011-08-22 04:51:54 EDT', 'markus.kell.r'), ('VERIFIED', '2011-08-25 02:57:25 EDT', 'daniel_megert'), ('daniel_megert', '2011-08-25 02:57:25 EDT', 'daniel_megert')]</t>
  </si>
  <si>
    <t>CLOSED  DUPLICATE  of bug 386410</t>
  </si>
  <si>
    <t>2012-10-26 07:08:59 EDT</t>
  </si>
  <si>
    <t>2011-06-27 01:24 EDT</t>
  </si>
  <si>
    <t>2011-06-27 01:32:21 EDT</t>
  </si>
  <si>
    <t>[('CREATED', '2011-06-27 01:24 EDT'), ('ayushman_jain', '2011-06-27 01:32:21 EDT', 'amj87.iitr'), ('UI', '2011-06-27 01:32:21 EDT', 'amj87.iitr'), ('jdt-ui-inbox', '2011-06-27 01:32:21 EDT', 'amj87.iitr'), ('daniel_megert', '2011-07-26 03:31:57 EDT', 'daniel_megert'), ('[extract interface] Extract Interface option to ignore annotations', '2011-07-26 03:31:57 EDT', 'daniel_megert'), ('All', '2011-07-26 03:32:03 EDT', 'daniel_megert'), ('All', '2011-07-26 03:32:03 EDT', 'daniel_megert'), ('markus_keller', '2011-07-26 13:48:32 EDT', 'markus.kell.r'), ('3.8 candidate', '2011-07-26 13:48:32 EDT', 'markus.kell.r'), ('stephan', '2011-08-02 17:31:32 EDT', 'stephan.herrmann'), ('ASSIGNED', '2011-10-18 23:56:04 EDT', 'deepakazad'), ('deepak.azad', '2011-10-18 23:56:04 EDT', 'deepakazad'), ('CLOSED', '2012-10-26 07:08:59 EDT', 'markus.kell.r'), ('DUPLICATE', '2012-10-26 07:08:59 EDT', 'markus.kell.r'), (nan, '2012-10-26 07:08:59 EDT', 'markus.kell.r')]</t>
  </si>
  <si>
    <t>CLOSED  DUPLICATE  of bug 348024</t>
  </si>
  <si>
    <t>2011-07-05 02:44:07 EDT</t>
  </si>
  <si>
    <t>2011-06-27 05:06 EDT</t>
  </si>
  <si>
    <t>2011-06-27 05:16:08 EDT</t>
  </si>
  <si>
    <t>[('CREATED', '2011-06-27 05:06 EDT'), ('jdt-ui-inbox', '2011-06-27 05:16:08 EDT', 'amj87.iitr'), ('ayushman_jain', '2011-06-27 05:16:08 EDT', 'amj87.iitr'), ('UI', '2011-06-27 05:16:08 EDT', 'amj87.iitr'), ('deepak.azad', '2011-06-28 08:52:56 EDT', 'deepakazad'), ('[extract interface] Error when extracting interface', '2011-06-28 08:53:19 EDT', 'deepakazad'), ('CLOSED', '2011-07-05 02:44:07 EDT', 'daniel_megert'), ('daniel_megert', '2011-07-05 02:44:07 EDT', 'daniel_megert'), ('DUPLICATE', '2011-07-05 02:44:07 EDT', 'daniel_megert')]</t>
  </si>
  <si>
    <t>2011-07-05 02:43:58 EDT</t>
  </si>
  <si>
    <t>2011-06-28 04:22 EDT</t>
  </si>
  <si>
    <t>2011-07-04 05:05:28 EDT</t>
  </si>
  <si>
    <t>[('CREATED', '2011-06-28 04:22 EDT'), ('loherweg-eclipse', '2011-07-04 05:05:28 EDT', 'loherweg-eclipse'), ('tsui.tony', '2011-07-04 18:22:27 EDT', 'tsui.tony'), ('CLOSED', '2011-07-05 02:43:58 EDT', 'daniel_megert'), ('daniel_megert', '2011-07-05 02:43:58 EDT', 'daniel_megert'), ('DUPLICATE', '2011-07-05 02:43:58 EDT', 'daniel_megert')]</t>
  </si>
  <si>
    <t>2011-07-06 10:35:40 EDT</t>
  </si>
  <si>
    <t>2011-07-19 16:34:13 EDT</t>
  </si>
  <si>
    <t>2011-06-28 13:33 EDT</t>
  </si>
  <si>
    <t>2011-07-04 16:37:35 EDT</t>
  </si>
  <si>
    <t>2011-08-02 05:45:42 EDT</t>
  </si>
  <si>
    <t>[('CREATED', '2011-06-28 13:33 EDT'), ('raksha.vasisht', '2011-07-04 16:37:35 EDT', 'raksha.vasisht'), ('markus_keller', '2011-07-06 10:35:40 EDT', 'markus.kell.r'), ('RESOLVED', '2011-07-06 10:35:40 EDT', 'markus.kell.r'), ('markus_keller', '2011-07-06 10:35:40 EDT', 'markus.kell.r'), ('FIXED', '2011-07-06 10:35:40 EDT', 'markus.kell.r'), ('VERIFIED', '2011-07-19 16:34:13 EDT', 'Michael_Rennie'), ('Michael_Rennie', '2011-07-19 16:34:13 EDT', 'Michael_Rennie'), ('3.7.1', '2011-08-02 05:45:42 EDT', 'markus.kell.r')]</t>
  </si>
  <si>
    <t>2011-06-30 02:02 EDT</t>
  </si>
  <si>
    <t>2011-06-30 09:57:14 EDT</t>
  </si>
  <si>
    <t>2011-06-30 15:45:58 EDT</t>
  </si>
  <si>
    <t>[('CREATED', '2011-06-30 02:02 EDT'), ('jdt-ui-inbox', '2011-06-30 09:57:14 EDT', 'ob1.eclipse'), ('JDT', '2011-06-30 09:57:14 EDT', 'ob1.eclipse'), ('obesedin', '2011-06-30 09:57:14 EDT', 'ob1.eclipse'), ('UI', '2011-06-30 09:57:14 EDT', 'ob1.eclipse'), ('3.6', '2011-06-30 09:57:14 EDT', 'ob1.eclipse'), ('ASSIGNED', '2011-06-30 13:44:13 EDT', 'markus.kell.r'), ('markus_keller', '2011-06-30 13:44:13 EDT', 'markus.kell.r'), ('[ltk] Delete Resources should show the resource location', '2011-06-30 13:44:13 EDT', 'markus.kell.r'), ('pwebster', '2011-06-30 15:45:58 EDT', 'pwebster')]</t>
  </si>
  <si>
    <t>2011-07-05 02:36:09 EDT</t>
  </si>
  <si>
    <t>2011-07-04 14:01:05 EDT</t>
  </si>
  <si>
    <t>2011-07-04 07:18 EDT</t>
  </si>
  <si>
    <t>2011-07-04 07:30:10 EDT</t>
  </si>
  <si>
    <t>[('CREATED', '2011-07-04 07:18 EDT'), ('RESOLVED', '2011-07-04 07:30:10 EDT', 'daniel_megert'), ('daniel_megert', '2011-07-04 07:30:10 EDT', 'daniel_megert'), ('INVALID', '2011-07-04 07:30:10 EDT', 'daniel_megert'), ('REOPENED', '2011-07-04 14:01:05 EDT', 'camilleri.jon'), ('---', '2011-07-04 14:01:05 EDT', 'camilleri.jon'), ('RESOLVED', '2011-07-05 02:36:09 EDT', 'daniel_megert'), ('INVALID', '2011-07-05 02:36:09 EDT', 'daniel_megert')]</t>
  </si>
  <si>
    <t>2011-07-06 23:51 EDT</t>
  </si>
  <si>
    <t>2011-07-06 23:52:21 EDT</t>
  </si>
  <si>
    <t>2019-12-27 15:33:05 EST</t>
  </si>
  <si>
    <t>[('CREATED', '2011-07-06 23:51 EDT'), ('nchen, reprogrammer', '2011-07-06 23:52:21 EDT', 'reprogrammer'), ('UI', '2011-07-07 02:06:28 EDT', 'amj87.iitr'), ('jdt-ui-inbox', '2011-07-07 02:06:28 EDT', 'amj87.iitr'), ('ayushman_jain', '2011-07-07 02:06:28 EDT', 'amj87.iitr'), ('snegara2', '2011-07-07 10:10:40 EDT', 'reprogrammer'), ('deepak.azad', '2011-10-19 01:48:41 EDT', 'deepakazad'), ("[move method] Eclipse doesn't log a move refactoring", '2011-10-19 01:49:22 EDT', 'deepakazad'), ('ASSIGNED', '2011-10-19 01:52:38 EDT', 'deepakazad'), ('stalebug', '2019-12-27 15:33:05 EST', 'genie')]</t>
  </si>
  <si>
    <t>2011-10-18 21:46:17 EDT</t>
  </si>
  <si>
    <t>2011-07-07 00:15 EDT</t>
  </si>
  <si>
    <t>2011-07-07 00:15:29 EDT</t>
  </si>
  <si>
    <t>[('CREATED', '2011-07-07 00:15 EDT'), ('nchen, reprogrammer', '2011-07-07 00:15:29 EDT', 'reprogrammer'), ('UI', '2011-07-07 02:05:13 EDT', 'amj87.iitr'), ('jdt-ui-inbox', '2011-07-07 02:05:13 EDT', 'amj87.iitr'), ('ayushman_jain', '2011-07-07 02:05:13 EDT', 'amj87.iitr'), ('snegara2', '2011-07-07 10:09:51 EDT', 'reprogrammer'), ('CLOSED', '2011-10-18 21:46:17 EDT', 'deepakazad'), ('deepak.azad', '2011-10-18 21:46:17 EDT', 'deepakazad'), ('DUPLICATE', '2011-10-18 21:46:17 EDT', 'deepakazad')]</t>
  </si>
  <si>
    <t>517109 (view as bug list)</t>
  </si>
  <si>
    <t>420055 481796</t>
  </si>
  <si>
    <t>2011-07-07 05:25 EDT</t>
  </si>
  <si>
    <t>2011-07-07 06:40:00 EDT</t>
  </si>
  <si>
    <t>2020-09-07 17:58:51 EDT</t>
  </si>
  <si>
    <t>[('CREATED', '2011-07-07 05:25 EDT'), ('ayushman_jain', '2011-07-07 06:40:00 EDT', 'amj87.iitr'), ('satyam.kandula', '2011-07-07 06:40:00 EDT', 'amj87.iitr'), ('markus_keller', '2011-08-16 04:36:15 EDT', 'satyam.kandula'), ('crow.philip.secondary', '2011-10-04 04:39:40 EDT', 'crow.philip.secondary'), ('srikanth_sankaran', '2011-10-04 14:19:15 EDT', 'markus.kell.r'), ('Renaming a "getName" method takes ages to complete "checking preconditions" phase...', '2011-10-04 14:19:15 EDT', 'markus.kell.r'), ('performance', '2011-10-04 14:58:07 EDT', 'markus.kell.r'), ('ASSIGNED', '2011-10-04 14:58:07 EDT', 'markus.kell.r'), ('satyam.kandula', '2011-10-04 14:58:07 EDT', 'markus.kell.r'), ('UI', '2011-10-04 14:58:07 EDT', 'markus.kell.r'), ('jdt-ui-inbox', '2011-10-04 14:58:07 EDT', 'markus.kell.r'), ('[rename] Renaming a "getName" method takes ages to complete "checking preconditions" phase...', '2011-10-04 14:58:07 EDT', 'markus.kell.r'), ('fix candidate', '2011-10-04 14:58:07 EDT', 'markus.kell.r'), ('daniel_megert', '2011-10-05 03:56:17 EDT', 'daniel_megert'), ('thirumala', '2013-08-07 22:20:22 EDT', 'thirumala'), ('eclipse.sprigogin', '2013-08-07 22:57:00 EDT', 'eclipse.sprigogin'), ('tparker', '2013-08-08 11:20:35 EDT', 'tparker'), ('noopur_gupta', '2013-10-15 06:10:50 EDT', 'daniel_megert'), ('nikolaymetchev', '2013-10-15 06:10:50 EDT', 'daniel_megert'), ('nikolaymetchev', '2013-10-15 10:41:36 EDT', 'nikolaymetchev'), ('1', '2013-10-15 11:45:37 EDT', 'nikolaymetchev'), ('review?(noopur_gupta)', '2013-10-16 06:34:43 EDT', 'daniel_megert'), ('1', '2013-10-21 05:39:40 EDT', 'noopur_gupta'), ('420055', '2013-10-22 05:57:42 EDT', 'nikolaymetchev'), ('1', '2013-11-18 07:06:53 EST', 'noopur_gupta'), (nan, '2013-11-18 07:07:13 EST', 'noopur_gupta'), ('bogdanb', '2015-01-12 06:33:08 EST', 'bogdanb'), ('dwagelaar', '2017-03-15 09:38:23 EDT', 'dwagelaar'), ('holger.mensch', '2017-05-16 08:06:18 EDT', 'holger.seith'), ('simeon.danailov.andreev', '2017-05-23 04:42:08 EDT', 'daniel_megert'), ('loskutov', '2017-05-23 04:49:36 EDT', 'loskutov'), ('All', '2017-05-23 04:49:36 EDT', 'loskutov'), ('All', '2017-05-23 04:49:36 EDT', 'loskutov'), ('481796', '2017-05-23 15:40:47 EDT', 'eclipse.sprigogin'), ('jdt-ui-inbox', '2017-05-24 05:08:04 EDT', 'daniel_megert'), ('https://git.eclipse.org/r/116813', '2018-02-06 13:38:38 EST', 'genie'), ('stephan.herrmann', '2018-02-06 15:15:42 EST', 'stephan.herrmann'), (nan, '2018-02-07 10:03:17 EST', 'thirumala'), ('https://git.eclipse.org/r/116888', '2018-02-07 17:06:23 EST', 'genie'), ('https://git.eclipse.org/c/jdt/eclipse.jdt.ui.git/commit/?id=a6bb576e5e165d7ca3352666330ceb194bf723c5', '2018-04-24 11:05:35 EDT', 'genie'), ('stalebug', '2020-09-07 17:58:51 EDT', 'genie')]</t>
  </si>
  <si>
    <t>2012-02-21 06:59:48 EST</t>
  </si>
  <si>
    <t>2012-02-21 07:00:00 EST</t>
  </si>
  <si>
    <t>2011-07-07 23:12 EDT</t>
  </si>
  <si>
    <t>2011-07-07 23:14:06 EDT</t>
  </si>
  <si>
    <t>2020-05-21 09:56:47 EDT</t>
  </si>
  <si>
    <t>[('CREATED', '2011-07-07 23:12 EDT'), ('reprogrammer', '2011-07-07 23:14:06 EDT', 'snegara2'), ('nchen', '2011-07-07 23:14:26 EDT', 'snegara2'), ('snegara2', '2011-07-07 23:15:00 EDT', 'snegara2'), ('Eclipse fails to rename a method in a Java project that transitively depends on the project that declares this method', '2011-07-08 10:09:09 EDT', 'snegara2'), ('deepak.azad, markus_keller, satyam.kandula', '2011-11-23 08:50:13 EST', 'deepakazad'), ('[rename] Eclipse fails to rename a method in a Java project that transitively depends on the project that declares this method', '2011-11-23 08:56:15 EST', 'deepakazad'), ('RESOLVED', '2012-02-21 06:59:48 EST', 'daniel_megert'), ('daniel_megert', '2012-02-21 06:59:48 EST', 'daniel_megert'), ('WORKSFORME', '2012-02-21 06:59:48 EST', 'daniel_megert'), ('markus_keller', '2012-02-21 06:59:48 EST', 'daniel_megert'), ('REOPENED', '2012-02-21 07:00:00 EST', 'daniel_megert'), ('---', '2012-02-21 07:00:00 EST', 'daniel_megert'), ('NEW', '2012-02-21 07:00:08 EST', 'daniel_megert'), ('stalebug', '2020-05-21 09:56:47 EDT', 'genie')]</t>
  </si>
  <si>
    <t>2011-07-21 02:31:13 EDT</t>
  </si>
  <si>
    <t>2011-07-13 03:08 EDT</t>
  </si>
  <si>
    <t>2011-07-13 08:38:23 EDT</t>
  </si>
  <si>
    <t>[('CREATED', '2011-07-13 03:08 EDT'), ('Olivier_Thomann', '2011-07-13 08:38:23 EDT', 'Olivier_Thomann'), ('Olivier_Thomann', '2011-07-13 08:38:23 EDT', 'Olivier_Thomann'), ('nickel.de', '2011-07-19 04:45:16 EDT', 'nickel.de'), ('jdt-ui-inbox', '2011-07-20 12:38:29 EDT', 'Olivier_Thomann'), ('UI', '2011-07-20 12:38:29 EDT', 'Olivier_Thomann'), ('CLOSED', '2011-07-21 02:31:13 EDT', 'daniel_megert'), ('daniel_megert', '2011-07-21 02:31:13 EDT', 'daniel_megert'), ('DUPLICATE', '2011-07-21 02:31:13 EDT', 'daniel_megert')]</t>
  </si>
  <si>
    <t>379168 392040 433974 (view as bug list)</t>
  </si>
  <si>
    <t>2014-05-13 13:32:57 EDT</t>
  </si>
  <si>
    <t>2014-05-19 06:25:08 EDT</t>
  </si>
  <si>
    <t>2011-07-13 07:53 EDT</t>
  </si>
  <si>
    <t>2011-07-13 07:54:01 EDT</t>
  </si>
  <si>
    <t>[('CREATED', '2011-07-13 07:53 EDT'), ('3.8', '2011-07-13 07:54:01 EDT', 'deepakazad'), ('ASSIGNED', '2011-07-13 08:04:26 EDT', 'markus.kell.r'), ('4.3', '2012-04-24 11:45:13 EDT', 'markus.kell.r'), ('jason.stevens', '2012-05-10 14:50:48 EDT', 'deepakazad'), ('efsavage', '2012-05-23 01:19:23 EDT', 'efsavage'), ('loskutov', '2012-10-17 23:49:45 EDT', 'deepakazad'), ('daniel_megert', '2013-02-19 09:24:58 EST', 'daniel_megert'), ('All', '2013-02-19 09:24:58 EST', 'daniel_megert'), ('All', '2013-02-19 09:24:58 EST', 'daniel_megert'), ('enhancement', '2013-02-19 09:24:58 EST', 'daniel_megert'), ('---', '2013-04-18 06:18:58 EDT', 'daniel_megert'), ('review?(markus_keller)', '2013-09-15 19:25:21 EDT', 'deepakazad'), ('4.4', '2013-09-16 06:00:53 EDT', 'daniel_megert'), ('manju_mathew', '2013-09-26 14:36:02 EDT', 'markus.kell.r'), ('deepakazad', '2013-09-26 14:36:02 EDT', 'markus.kell.r'), ('review?(manju_mathew)', '2013-09-26 14:36:02 EDT', 'markus.kell.r'), ('noopur_gupta', '2013-09-30 06:46:00 EDT', 'noopur_gupta'), ('review-', '2013-11-17 23:35:35 EST', 'manju656'), ('simon-eclipse', '2014-03-11 14:07:32 EDT', 'simon-eclipse'), ('manju_mathew', '2014-04-28 14:14:50 EDT', 'daniel_megert'), ('4.5', '2014-04-28 14:14:50 EDT', 'daniel_megert'), ('alexander.weickmann', '2014-05-02 13:42:03 EDT', 'markus.kell.r'), ('P2', '2014-05-02 14:42:07 EDT', 'markus.kell.r'), ('[1.7][clean up][quick assist] Remove unnecessary type arguments (was: Suggest to use &lt;&gt; where applicable)', '2014-05-02 14:42:07 EDT', 'markus.kell.r'), ('4.4 RC1', '2014-05-07 11:42:31 EDT', 'markus.kell.r'), ('review?(markus_keller)', '2014-05-09 03:32:40 EDT', 'daniel_megert'), ('RESOLVED', '2014-05-13 13:32:57 EDT', 'markus.kell.r'), ('FIXED', '2014-05-13 13:32:57 EDT', 'markus.kell.r'), ('review+', '2014-05-13 13:32:57 EDT', 'markus.kell.r'), ('VERIFIED', '2014-05-19 06:25:08 EDT', 'noopur_gupta')]</t>
  </si>
  <si>
    <t>CLOSED  DUPLICATE  of bug 100871</t>
  </si>
  <si>
    <t>2011-07-19 09:43:06 EDT</t>
  </si>
  <si>
    <t>2011-07-19 07:54 EDT</t>
  </si>
  <si>
    <t>2011-07-19 07:55:04 EDT</t>
  </si>
  <si>
    <t>2011-07-19 09:51:03 EDT</t>
  </si>
  <si>
    <t>[('CREATED', '2011-07-19 07:54 EDT'), ("[1.7] 'Extract to local variable' refactoring produces incorrect code", '2011-07-19 07:55:04 EDT', 'ankur_sharma'), ("[extract local] 'Extract to local variable' refactoring produces incorrect code", '2011-07-19 09:43:06 EDT', 'deepakazad'), ('CLOSED', '2011-07-19 09:43:06 EDT', 'deepakazad'), ('deepak.azad', '2011-07-19 09:43:06 EDT', 'deepakazad'), ('DUPLICATE', '2011-07-19 09:43:06 EDT', 'deepakazad'), ('daniel_megert', '2011-07-19 09:51:03 EDT', 'daniel_megert')]</t>
  </si>
  <si>
    <t>2011-07-26 07:28:36 EDT</t>
  </si>
  <si>
    <t>2011-08-03 06:13:54 EDT</t>
  </si>
  <si>
    <t>2011-07-19 09:50:25 EDT</t>
  </si>
  <si>
    <t>[('CREATED', '2011-07-19 07:54 EDT'), ('deepak.azad', '2011-07-19 09:50:25 EDT', 'deepakazad'), ('[extract constant][extract local][1.7] Extract local variable refactoring incorrectly offered on a resource', '2011-07-19 09:50:25 EDT', 'deepakazad'), ('P2', '2011-07-20 04:47:00 EDT', 'daniel_megert'), ('daniel_megert', '2011-07-20 04:47:00 EDT', 'daniel_megert'), ('deepak.azad', '2011-07-20 04:47:00 EDT', 'daniel_megert'), ('[extract constant][extract local][1.7] Extract local variable refactoring incorrectly offered on a resource inside try ()', '2011-07-20 04:47:00 EDT', 'daniel_megert'), ('[extract constant][extract local][1.7] Extract local variable should not be available inside the resource specification of try-with-resources', '2011-07-20 07:57:26 EDT', 'daniel_megert'), ('[1.7][extract method][extract constant][extract local] Extract local variable should not be available inside the resource specification of try-with-resources', '2011-07-22 01:45:30 EDT', 'deepakazad'), ('review?(daniel_megert)', '2011-07-25 05:48:29 EDT', 'deepakazad'), ('review+', '2011-07-26 06:11:36 EDT', 'daniel_megert'), ('RESOLVED', '2011-07-26 07:28:36 EDT', 'deepakazad'), ('markus_keller', '2011-07-26 07:28:36 EDT', 'deepakazad'), ('FIXED', '2011-07-26 07:28:36 EDT', 'deepakazad'), ('raksha.vasisht', '2011-08-02 04:52:27 EDT', 'raksha.vasisht'), ('3.7.1', '2011-08-02 05:45:48 EDT', 'markus.kell.r'), ('VERIFIED', '2011-08-03 06:13:54 EDT', 'raksha.vasisht')]</t>
  </si>
  <si>
    <t>CLOSED  DUPLICATE  of bug 211529</t>
  </si>
  <si>
    <t>2011-07-19 09:32:20 EDT</t>
  </si>
  <si>
    <t>2011-07-19 07:57 EDT</t>
  </si>
  <si>
    <t>2011-07-19 07:57:39 EDT</t>
  </si>
  <si>
    <t>[('CREATED', '2011-07-19 07:57 EDT'), ("[1.7] 'Extract to constant' refactoring does not replace the string with the constant", '2011-07-19 07:57:39 EDT', 'ankur_sharma'), ('CLOSED', '2011-07-19 09:32:20 EDT', 'deepakazad'), ('deepak.azad', '2011-07-19 09:32:20 EDT', 'deepakazad'), ('DUPLICATE', '2011-07-19 09:32:20 EDT', 'deepakazad'), ("[extract constant] 'Extract to constant' refactoring does not replace the string with the constant", '2011-07-19 09:32:20 EDT', 'deepakazad')]</t>
  </si>
  <si>
    <t>2011-07-22 02:53:47 EDT</t>
  </si>
  <si>
    <t>2011-08-03 05:36:54 EDT</t>
  </si>
  <si>
    <t>2011-07-19 08:02 EDT</t>
  </si>
  <si>
    <t>2011-07-19 09:48:12 EDT</t>
  </si>
  <si>
    <t>[('CREATED', '2011-07-19 08:02 EDT'), ('deepak.azad', '2011-07-19 09:48:12 EDT', 'deepakazad'), ('deepak.azad', '2011-07-19 09:48:12 EDT', 'deepakazad'), ('[generalize type][1.7] AssertionFailedException on using "Generalize declared type"', '2011-07-19 09:48:12 EDT', 'deepakazad'), ('daniel_megert', '2011-07-20 04:47:55 EDT', 'daniel_megert'), ('P2', '2011-07-20 04:47:55 EDT', 'daniel_megert'), ('RESOLVED', '2011-07-22 02:53:47 EDT', 'deepakazad'), ('FIXED', '2011-07-22 02:53:47 EDT', 'deepakazad'), ('3.7.1', '2011-08-02 05:45:48 EDT', 'markus.kell.r'), ('VERIFIED', '2011-08-03 05:36:54 EDT', 'daniel_megert'), ('All', '2011-08-03 05:36:54 EDT', 'daniel_megert')]</t>
  </si>
  <si>
    <t>2011-07-26 07:29:49 EDT</t>
  </si>
  <si>
    <t>2011-08-02 05:05:02 EDT</t>
  </si>
  <si>
    <t>2011-07-19 08:12 EDT</t>
  </si>
  <si>
    <t>2011-07-19 09:49:20 EDT</t>
  </si>
  <si>
    <t>[('CREATED', '2011-07-19 08:12 EDT'), ('deepak.azad', '2011-07-19 09:49:20 EDT', 'deepakazad'), ('[inline][1.7] Inlining a resource gives erroneous output.', '2011-07-19 09:49:20 EDT', 'deepakazad'), ('daniel_megert', '2011-07-20 07:57:15 EDT', 'daniel_megert'), ('deepak.azad', '2011-07-20 07:57:15 EDT', 'daniel_megert'), ('[inline][1.7] Inline should not be available for variables used in the resource specification of try-with-resources', '2011-07-20 07:57:15 EDT', 'daniel_megert'), ('All', '2011-07-20 07:57:15 EDT', 'daniel_megert'), ('P2', '2011-07-20 07:57:55 EDT', 'daniel_megert'), ('FIXED', '2011-07-26 07:29:49 EDT', 'deepakazad'), ('RESOLVED', '2011-07-26 07:29:49 EDT', 'deepakazad'), ('VERIFIED', '2011-08-02 05:05:02 EDT', 'raksha.vasisht'), ('raksha.vasisht', '2011-08-02 05:05:02 EDT', 'raksha.vasisht'), ('3.7.1', '2011-08-02 05:45:44 EDT', 'markus.kell.r')]</t>
  </si>
  <si>
    <t>2011-07-21 01:10:52 EDT</t>
  </si>
  <si>
    <t>2011-08-03 06:15:53 EDT</t>
  </si>
  <si>
    <t>2011-07-19 10:31 EDT</t>
  </si>
  <si>
    <t>2011-07-19 10:43:33 EDT</t>
  </si>
  <si>
    <t>[('CREATED', '2011-07-19 10:31 EDT'), ('deepak.azad', '2011-07-19 10:43:33 EDT', 'deepakazad'), ('deepak.azad', '2011-07-19 10:43:33 EDT', 'deepakazad'), ('RESOLVED', '2011-07-21 01:10:52 EDT', 'deepakazad'), ('FIXED', '2011-07-21 01:10:52 EDT', 'deepakazad'), ('3.7.1', '2011-08-02 05:45:44 EDT', 'markus.kell.r'), ('VERIFIED', '2011-08-03 06:15:53 EDT', 'daniel_megert'), ('daniel_megert', '2011-08-03 06:15:53 EDT', 'daniel_megert')]</t>
  </si>
  <si>
    <t>2012-04-16 14:05:14 EDT</t>
  </si>
  <si>
    <t>2011-07-21 12:57 EDT</t>
  </si>
  <si>
    <t>2011-07-21 12:59:48 EDT</t>
  </si>
  <si>
    <t>[('CREATED', '2011-07-21 12:57 EDT'), ('Refactor &gt; Extract Method with break statement in switch causes NPE', '2011-07-21 12:59:48 EDT', 's_lauzon'), ('ayushman_jain', '2011-07-21 13:01:37 EDT', 'amj87.iitr'), ('UI', '2011-07-21 13:01:37 EDT', 'amj87.iitr'), ('jdt-ui-inbox', '2011-07-21 13:01:37 EDT', 'amj87.iitr'), ('All', '2011-07-22 02:29:14 EDT', 'daniel_megert'), ('daniel_megert', '2011-07-22 02:29:14 EDT', 'daniel_megert'), ('markus_keller', '2011-07-22 02:29:14 EDT', 'daniel_megert'), ('[extract method] Refactor &gt; Extract Method with break statement in switch causes NPE', '2011-07-22 02:29:14 EDT', 'daniel_megert'), ('3.8', '2011-07-22 02:29:14 EDT', 'daniel_megert'), ('major', '2011-07-22 02:29:14 EDT', 'daniel_megert'), ('All', '2011-07-22 02:29:14 EDT', 'daniel_megert'), ('3.6', '2011-07-22 02:29:14 EDT', 'daniel_megert'), ('RESOLVED', '2012-04-16 14:05:14 EDT', 'markus.kell.r'), ('FIXED', '2012-04-16 14:05:14 EDT', 'markus.kell.r'), ('3.8 M7', '2012-04-16 14:05:14 EDT', 'markus.kell.r'), ('normal', '2012-04-16 14:05:14 EDT', 'markus.kell.r')]</t>
  </si>
  <si>
    <t>2012-04-03 11:46:51 EDT</t>
  </si>
  <si>
    <t>2011-08-03 05:43 EDT</t>
  </si>
  <si>
    <t>2011-09-01 14:09:18 EDT</t>
  </si>
  <si>
    <t>[('CREATED', '2011-08-03 05:43 EDT'), ('Core', '2011-09-01 14:09:18 EDT', 'kentarou'), ('3.7', '2011-09-01 14:09:18 EDT', 'kentarou'), ('jdt-core-inbox', '2011-09-01 14:09:18 EDT', 'kentarou'), ('JDT', '2011-09-01 14:09:18 EDT', 'kentarou'), ('kentarou', '2011-09-01 14:09:18 EDT', 'kentarou'), ('zach.musgrave', '2011-11-29 16:38:18 EST', 'zach.musgrave'), ('srikanth_sankaran', '2011-11-30 02:05:33 EST', 'srikanth_sankaran'), ('UI', '2011-12-02 03:47:53 EST', 'srikanth_sankaran'), ('jdt-ui-inbox', '2011-12-02 03:47:53 EST', 'srikanth_sankaran'), ('3.7.1', '2011-12-02 03:47:53 EST', 'srikanth_sankaran'), ('daniel_megert', '2011-12-05 09:56:02 EST', 'daniel_megert'), ('---', '2011-12-05 09:56:31 EST', 'daniel_megert'), ('raksha.vasisht', '2011-12-06 02:32:47 EST', 'daniel_megert'), ('markus_keller', '2011-12-06 06:09:04 EST', 'markus.kell.r'), ('investigate', '2012-02-20 10:37:33 EST', 'daniel_megert'), ('daniel_megert', '2012-02-20 10:37:33 EST', 'daniel_megert'), ('3.8', '2012-02-20 10:38:05 EST', 'daniel_megert'), ('CLOSED', '2012-04-03 11:46:51 EDT', 'daniel_megert'), (nan, '2012-04-03 11:46:51 EDT', 'daniel_megert'), ('All', '2012-04-03 11:46:51 EDT', 'daniel_megert'), ('jdt-ui-inbox', '2012-04-03 11:46:51 EDT', 'daniel_megert'), ('DUPLICATE', '2012-04-03 11:46:51 EDT', 'daniel_megert'), ('[move member type] Move to new file fails for static inner interface with static inner interface', '2012-04-03 11:46:51 EDT', 'daniel_megert'), ('---', '2012-04-03 11:46:51 EDT', 'daniel_megert'), ('All', '2012-04-03 11:46:51 EDT', 'daniel_megert')]</t>
  </si>
  <si>
    <t>499863</t>
  </si>
  <si>
    <t>2011-08-03 09:08 EDT</t>
  </si>
  <si>
    <t>2011-08-03 09:09:41 EDT</t>
  </si>
  <si>
    <t>2016-12-21 12:19:29 EST</t>
  </si>
  <si>
    <t>[('CREATED', '2011-08-03 09:08 EDT'), ('deepak.azad', '2011-08-03 09:09:41 EDT', 'deepakazad'), ('ASSIGNED', '2011-08-03 09:09:53 EDT', 'daniel_megert'), ('All', '2011-08-03 09:09:53 EDT', 'daniel_megert'), ('3.8 candidate', '2011-08-03 09:09:53 EDT', 'daniel_megert'), ('All', '2011-08-03 09:09:53 EDT', 'daniel_megert'), ('enhancement', '2011-08-03 09:09:53 EDT', 'daniel_megert'), ('3.7', '2011-08-03 09:10:07 EDT', 'daniel_megert'), ('markus_keller', '2011-08-03 14:02:14 EDT', 'markus.kell.r'), (nan, '2012-03-20 06:39:56 EDT', 'daniel_megert'), ('499863', '2016-12-21 12:19:29 EST', 'markus.kell.r')]</t>
  </si>
  <si>
    <t>2011-08-08 10:53 EDT</t>
  </si>
  <si>
    <t>2011-08-09 03:21:55 EDT</t>
  </si>
  <si>
    <t>2012-04-10 13:39:09 EDT</t>
  </si>
  <si>
    <t>[('CREATED', '2011-08-08 10:53 EDT'), ('daniel_megert', '2011-08-09 03:21:55 EDT', 'daniel_megert'), ('All', '2011-08-09 03:21:55 EDT', 'daniel_megert'), ('All', '2011-08-09 03:21:55 EDT', 'daniel_megert'), ('enhancement', '2011-08-09 03:21:55 EDT', 'daniel_megert'), ('ASSIGNED', '2011-08-09 06:17:04 EDT', 'markus.kell.r'), ('[quick assist][refactoring] Mechanism to chain Quick fix popup, Refactor and Source menus together', '2011-08-09 06:17:04 EDT', 'markus.kell.r'), ('reprogrammer', '2012-04-10 13:39:09 EDT', 'reprogrammer')]</t>
  </si>
  <si>
    <t>2011-10-18 22:23:41 EDT</t>
  </si>
  <si>
    <t>2011-08-19 19:21 EDT</t>
  </si>
  <si>
    <t>2011-08-19 22:13:42 EDT</t>
  </si>
  <si>
    <t>2011-10-18 22:23:52 EDT</t>
  </si>
  <si>
    <t>[('CREATED', '2011-08-19 19:21 EDT'), ('Olivier_Thomann', '2011-08-19 22:13:42 EDT', 'Olivier_Thomann'), ('UI', '2011-08-19 22:13:42 EDT', 'Olivier_Thomann'), ('jdt-ui-inbox', '2011-08-19 22:13:42 EDT', 'Olivier_Thomann'), ('deepak.azad', '2011-10-18 22:23:41 EDT', 'deepakazad'), ('DUPLICATE', '2011-10-18 22:23:41 EDT', 'deepakazad'), ('CLOSED', '2011-10-18 22:23:41 EDT', 'deepakazad'), ('[extract local] Extract local variable generates incorrect code', '2011-10-18 22:23:52 EDT', 'deepakazad')]</t>
  </si>
  <si>
    <t>2011-10-24 13:42:34 EDT</t>
  </si>
  <si>
    <t>2011-08-21 17:08 EDT</t>
  </si>
  <si>
    <t>2011-10-24 11:47:06 EDT</t>
  </si>
  <si>
    <t>[('CREATED', '2011-08-21 17:08 EDT'), ('ASSIGNED', '2011-10-24 11:47:06 EDT', 'raksha.vasisht'), ('raksha.vasisht', '2011-10-24 11:47:06 EDT', 'raksha.vasisht'), ('[pull up] enables overloading + private method', '2011-10-24 11:47:06 EDT', 'raksha.vasisht'), ('All', '2011-10-24 11:47:06 EDT', 'raksha.vasisht'), ('DUPLICATE', '2011-10-24 13:42:34 EDT', 'raksha.vasisht'), ('CLOSED', '2011-10-24 13:42:34 EDT', 'raksha.vasisht')]</t>
  </si>
  <si>
    <t>CLOSED  DUPLICATE  of bug 356687</t>
  </si>
  <si>
    <t>2011-09-05 12:43:25 EDT</t>
  </si>
  <si>
    <t>2011-08-21 18:37 EDT</t>
  </si>
  <si>
    <t>[('CREATED', '2011-08-21 18:37 EDT'), ('CLOSED', '2011-09-05 12:43:25 EDT', 'markus.kell.r'), ('markus_keller', '2011-09-05 12:43:25 EDT', 'markus.kell.r'), ('All', '2011-09-05 12:43:25 EDT', 'markus.kell.r'), ('DUPLICATE', '2011-09-05 12:43:25 EDT', 'markus.kell.r'), ('[move method] super method invocation does not compile after refactoring', '2011-09-05 12:43:25 EDT', 'markus.kell.r'), ('All', '2011-09-05 12:43:25 EDT', 'markus.kell.r')]</t>
  </si>
  <si>
    <t>CLOSED  DUPLICATE  of bug 33222</t>
  </si>
  <si>
    <t>2011-10-24 15:15:29 EDT</t>
  </si>
  <si>
    <t>2011-08-23 16:06 EDT</t>
  </si>
  <si>
    <t>2011-08-23 16:06:46 EDT</t>
  </si>
  <si>
    <t>[('CREATED', '2011-08-23 16:06 EDT'), ('nchen, reprogrammer', '2011-08-23 16:06:46 EDT', 'reprogrammer'), ('snegara2', '2011-08-23 16:07:04 EDT', 'reprogrammer'), ('raksha.vasisht', '2011-10-24 15:15:29 EDT', 'raksha.vasisht'), ('INVALID', '2011-10-24 15:15:29 EDT', 'raksha.vasisht'), ('All', '2011-10-24 15:15:29 EDT', 'raksha.vasisht'), ('CLOSED', '2011-10-24 15:15:29 EDT', 'raksha.vasisht'), ('daniel_megert', '2011-10-25 02:14:46 EDT', 'daniel_megert'), ('DUPLICATE', '2011-10-25 02:14:46 EDT', 'daniel_megert'), ('[rename] The rename refactoring does not allow classes with the same names in different packages', '2011-10-25 02:14:46 EDT', 'daniel_megert')]</t>
  </si>
  <si>
    <t>356678 356679 (view as bug list)</t>
  </si>
  <si>
    <t>2011-09-05 12:10:22 EDT</t>
  </si>
  <si>
    <t>2011-09-13 04:27:02 EDT</t>
  </si>
  <si>
    <t>2011-09-04 11:03 EDT</t>
  </si>
  <si>
    <t>2011-09-05 12:06:51 EDT</t>
  </si>
  <si>
    <t>[('CREATED', '2011-09-04 11:03 EDT'), ('All', '2011-09-05 12:06:51 EDT', 'markus.kell.r'), ('ASSIGNED', '2011-09-05 12:06:51 EDT', 'markus.kell.r'), ('markus_keller', '2011-09-05 12:06:51 EDT', 'markus.kell.r'), ('All', '2011-09-05 12:06:51 EDT', 'markus.kell.r'), ('[rename] Rename class leads to compilation error when conflicting type is *-imported', '2011-09-05 12:06:51 EDT', 'markus.kell.r'), ('markus_keller', '2011-09-05 12:09:47 EDT', 'markus.kell.r'), ('RESOLVED', '2011-09-05 12:10:22 EDT', 'markus.kell.r'), ('FIXED', '2011-09-05 12:10:22 EDT', 'markus.kell.r'), ('3.8 M2', '2011-09-05 12:10:22 EDT', 'markus.kell.r'), ('deepak.azad', '2011-09-13 04:26:50 EDT', 'deepakazad'), ('VERIFIED', '2011-09-13 04:27:02 EDT', 'deepakazad')]</t>
  </si>
  <si>
    <t>CLOSED  DUPLICATE  of bug 356677</t>
  </si>
  <si>
    <t>2011-09-05 12:14:36 EDT</t>
  </si>
  <si>
    <t>2011-09-04 11:19 EDT</t>
  </si>
  <si>
    <t>[('CREATED', '2011-09-04 11:19 EDT'), ('markus_keller', '2011-09-05 12:14:36 EDT', 'markus.kell.r'), ('DUPLICATE', '2011-09-05 12:14:36 EDT', 'markus.kell.r'), ('CLOSED', '2011-09-05 12:14:36 EDT', 'markus.kell.r')]</t>
  </si>
  <si>
    <t>2011-09-05 12:16:54 EDT</t>
  </si>
  <si>
    <t>2011-09-04 11:24 EDT</t>
  </si>
  <si>
    <t>[('CREATED', '2011-09-04 11:24 EDT'), ('markus_keller', '2011-09-05 12:16:54 EDT', 'markus.kell.r'), ('DUPLICATE', '2011-09-05 12:16:54 EDT', 'markus.kell.r'), ('CLOSED', '2011-09-05 12:16:54 EDT', 'markus.kell.r')]</t>
  </si>
  <si>
    <t>2011-09-04 15:31 EDT</t>
  </si>
  <si>
    <t>2011-09-05 12:25:06 EDT</t>
  </si>
  <si>
    <t>2019-12-04 18:40:48 EST</t>
  </si>
  <si>
    <t>[('CREATED', '2011-09-04 15:31 EDT'), ('All', '2011-09-05 12:25:06 EDT', 'markus.kell.r'), ('ASSIGNED', '2011-09-05 12:25:06 EDT', 'markus.kell.r'), ('markus_keller', '2011-09-05 12:25:06 EDT', 'markus.kell.r'), ('All', '2011-09-05 12:25:06 EDT', 'markus.kell.r'), ('stalebug', '2019-12-04 18:40:48 EST', 'genie')]</t>
  </si>
  <si>
    <t>355329 (view as bug list)</t>
  </si>
  <si>
    <t>2013-08-27 04:59:29 EDT</t>
  </si>
  <si>
    <t>2011-09-04 17:26 EDT</t>
  </si>
  <si>
    <t>2011-09-05 12:42:11 EDT</t>
  </si>
  <si>
    <t>[('CREATED', '2011-09-04 17:26 EDT'), ('ASSIGNED', '2011-09-05 12:42:11 EDT', 'markus.kell.r'), ('markus_keller', '2011-09-05 12:42:11 EDT', 'markus.kell.r'), ('[move method] super method invocation does not compile after refactoring', '2011-09-05 12:42:11 EDT', 'markus.kell.r'), ('daniel_megert, noopur_gupta', '2013-08-23 03:05:52 EDT', 'daniel_megert'), ('review?(noopur_gupta)', '2013-08-23 03:05:52 EDT', 'daniel_megert'), ('nikolaymetchev', '2013-08-23 03:06:06 EDT', 'daniel_megert'), ('1', '2013-08-23 10:24:28 EDT', 'nikolaymetchev'), ('1', '2013-08-26 08:21:39 EDT', 'noopur_gupta'), ('RESOLVED', '2013-08-27 04:59:29 EDT', 'noopur_gupta'), ('All', '2013-08-27 04:59:29 EDT', 'noopur_gupta'), ('FIXED', '2013-08-27 04:59:29 EDT', 'noopur_gupta'), ('4.4 M2', '2013-08-27 04:59:29 EDT', 'noopur_gupta'), ('review+', '2013-08-27 04:59:29 EDT', 'noopur_gupta'), ('All', '2013-08-27 04:59:29 EDT', 'noopur_gupta')]</t>
  </si>
  <si>
    <t>2011-09-04 17:32 EDT</t>
  </si>
  <si>
    <t>2011-09-05 12:47:28 EDT</t>
  </si>
  <si>
    <t>2019-12-05 16:47:25 EST</t>
  </si>
  <si>
    <t>[('CREATED', '2011-09-04 17:32 EDT'), ('ASSIGNED', '2011-09-05 12:47:28 EDT', 'markus.kell.r'), ('markus_keller', '2011-09-05 12:47:28 EDT', 'markus.kell.r'), ('All', '2011-09-05 12:47:28 EDT', 'markus.kell.r'), ('All', '2011-09-05 12:47:28 EDT', 'markus.kell.r'), ('stalebug', '2019-12-05 16:47:25 EST', 'genie')]</t>
  </si>
  <si>
    <t>2020-04-14 02:32:33 EDT</t>
  </si>
  <si>
    <t>2011-09-04 17:40 EDT</t>
  </si>
  <si>
    <t>2011-09-05 12:47:59 EDT</t>
  </si>
  <si>
    <t>[('CREATED', '2011-09-04 17:40 EDT'), ('ASSIGNED', '2011-09-05 12:47:59 EDT', 'markus.kell.r'), ('markus_keller', '2011-09-05 12:47:59 EDT', 'markus.kell.r'), ('All', '2011-09-05 12:47:59 EDT', 'markus.kell.r'), ('All', '2011-09-05 12:47:59 EDT', 'markus.kell.r'), ('CLOSED', '2020-04-14 02:32:33 EDT', 'genie'), ('WONTFIX', '2020-04-14 02:32:33 EDT', 'genie'), ('stalebug', '2020-04-14 02:32:33 EDT', 'genie')]</t>
  </si>
  <si>
    <t>CLOSED  DUPLICATE  of bug 58616</t>
  </si>
  <si>
    <t>2011-09-05 12:53:29 EDT</t>
  </si>
  <si>
    <t>2011-09-04 18:59 EDT</t>
  </si>
  <si>
    <t>2011-09-05 12:53:04 EDT</t>
  </si>
  <si>
    <t>[('CREATED', '2011-09-04 18:59 EDT'), ('markus_keller', '2011-09-05 12:53:04 EDT', 'markus.kell.r'), ('adding parameter introduces a compilation error: Cannot reduce the visibility of the inherited method from', '2011-09-05 12:53:04 EDT', 'markus.kell.r'), ('CLOSED', '2011-09-05 12:53:29 EDT', 'markus.kell.r'), ('All', '2011-09-05 12:53:29 EDT', 'markus.kell.r'), ('DUPLICATE', '2011-09-05 12:53:29 EDT', 'markus.kell.r'), ('[change method signature] adding parameter introduces a compilation error: Cannot reduce the visibility of the inherited method from', '2011-09-05 12:53:29 EDT', 'markus.kell.r'), ('All', '2011-09-05 12:53:29 EDT', 'markus.kell.r')]</t>
  </si>
  <si>
    <t>2011-09-05 12:51:54 EDT</t>
  </si>
  <si>
    <t>2011-09-04 19:03 EDT</t>
  </si>
  <si>
    <t>[('CREATED', '2011-09-04 19:03 EDT'), ('CLOSED', '2011-09-05 12:51:54 EDT', 'markus.kell.r'), ('markus_keller', '2011-09-05 12:51:54 EDT', 'markus.kell.r'), ('DUPLICATE', '2011-09-05 12:51:54 EDT', 'markus.kell.r'), ('[change method signature] adding parameter enables overriding and changes program behavior', '2011-09-05 12:51:54 EDT', 'markus.kell.r')]</t>
  </si>
  <si>
    <t>2011-09-05 12:52:18 EDT</t>
  </si>
  <si>
    <t>2011-09-04 19:07 EDT</t>
  </si>
  <si>
    <t>[('CREATED', '2011-09-04 19:07 EDT'), ('CLOSED', '2011-09-05 12:52:18 EDT', 'markus.kell.r'), ('markus_keller', '2011-09-05 12:52:18 EDT', 'markus.kell.r'), ('DUPLICATE', '2011-09-05 12:52:18 EDT', 'markus.kell.r'), ('[change method signature] adding parameter enables overloading and changes program behavior', '2011-09-05 12:52:18 EDT', 'markus.kell.r')]</t>
  </si>
  <si>
    <t>CLOSED  DUPLICATE  of bug 235112</t>
  </si>
  <si>
    <t>2011-10-24 13:23:03 EDT</t>
  </si>
  <si>
    <t>2011-09-12 16:58 EDT</t>
  </si>
  <si>
    <t>[('CREATED', '2011-09-12 16:58 EDT'), ('CLOSED', '2011-10-24 13:23:03 EDT', 'raksha.vasisht'), ('raksha.vasisht', '2011-10-24 13:23:03 EDT', 'raksha.vasisht'), ('DUPLICATE', '2011-10-24 13:23:03 EDT', 'raksha.vasisht')]</t>
  </si>
  <si>
    <t>2013-01-14 08:52:42 EST</t>
  </si>
  <si>
    <t>2013-01-29 05:08:43 EST</t>
  </si>
  <si>
    <t>2011-09-13 04:10 EDT</t>
  </si>
  <si>
    <t>2011-10-12 04:59:47 EDT</t>
  </si>
  <si>
    <t>2014-05-15 02:55:04 EDT</t>
  </si>
  <si>
    <t>[('CREATED', '2011-09-13 04:10 EDT'), ('daniel_megert', '2011-10-12 04:59:47 EDT', 'daniel_megert'), ('All', '2011-10-12 04:59:47 EDT', 'daniel_megert'), ('deepak.azad', '2011-10-12 04:59:47 EDT', 'daniel_megert'), ('3.8', '2011-10-12 04:59:47 EDT', 'daniel_megert'), ('Class folder in Java project have refresh problem', '2011-10-12 04:59:47 EDT', 'daniel_megert'), ('All', '2011-10-12 04:59:47 EDT', 'daniel_megert'), ('major', '2011-10-12 04:59:47 EDT', 'daniel_megert'), ('markus_keller', '2011-10-12 10:31:51 EDT', 'markus.kell.r'), ('andrew', '2012-02-07 00:40:17 EST', 'amj87.iitr'), ('jdt-ui-inbox', '2012-04-25 09:42:48 EDT', 'deepakazad'), ('4.3', '2012-04-25 09:42:48 EDT', 'deepakazad'), ('fix candidate', '2012-04-25 09:42:48 EDT', 'deepakazad'), ('ASSIGNED', '2012-04-25 10:14:54 EDT', 'deepakazad'), ('deepak.azad', '2012-04-25 10:14:54 EDT', 'deepakazad'), ('noopur_gupta', '2013-01-07 12:11:32 EST', 'daniel_megert'), ('review?(daniel_megert)', '2013-01-10 07:10:01 EST', 'noopur_gupta'), ('review-', '2013-01-10 12:11:45 EST', 'daniel_megert'), ('1', '2013-01-10 12:12:34 EST', 'daniel_megert'), ('review-', '2013-01-10 12:12:34 EST', 'daniel_megert'), ('4.3 M5', '2013-01-11 05:34:13 EST', 'daniel_megert'), ('4.3', '2013-01-14 04:35:24 EST', 'noopur_gupta'), ('review?(daniel_megert)', '2013-01-14 04:39:54 EST', 'noopur_gupta'), ('review+', '2013-01-14 05:19:53 EST', 'daniel_megert'), ('review+', '2013-01-14 05:20:10 EST', 'daniel_megert'), ('review?', '2013-01-14 05:24:38 EST', 'noopur_gupta'), ('RESOLVED', '2013-01-14 08:52:42 EST', 'daniel_megert'), ('FIXED', '2013-01-14 08:52:42 EST', 'daniel_megert'), ('4.3 M5', '2013-01-14 08:52:42 EST', 'daniel_megert'), (nan, '2013-01-14 08:52:42 EST', 'daniel_megert'), ('manju_mathew', '2013-01-29 02:30:07 EST', 'manju656'), ('VERIFIED', '2013-01-29 05:08:43 EST', 'manju656'), (nan, '2014-05-15 02:55:04 EDT', 'noopur_gupta')]</t>
  </si>
  <si>
    <t>2011-09-14 11:30 EDT</t>
  </si>
  <si>
    <t>2011-09-14 13:38:37 EDT</t>
  </si>
  <si>
    <t>2020-05-27 12:02:36 EDT</t>
  </si>
  <si>
    <t>[('CREATED', '2011-09-14 11:30 EDT'), ('P4', '2011-09-14 13:38:37 EDT', 'markus.kell.r'), ('ASSIGNED', '2011-09-14 13:38:37 EDT', 'markus.kell.r'), ('markus_keller', '2011-09-14 13:38:37 EDT', 'markus.kell.r'), ("[convert local] 'Convert Local Variable to Field' creates compile error when expression throws checked exception and target is 'Field declaration'", '2011-09-14 13:38:37 EDT', 'markus.kell.r'), ('minor', '2011-09-14 13:38:37 EDT', 'markus.kell.r'), ('stalebug', '2020-05-27 12:02:36 EDT', 'genie')]</t>
  </si>
  <si>
    <t>2020-03-03 17:19:09 EST</t>
  </si>
  <si>
    <t>2011-09-17 05:33 EDT</t>
  </si>
  <si>
    <t>2011-09-17 05:56:19 EDT</t>
  </si>
  <si>
    <t>[('CREATED', '2011-09-17 05:33 EDT'), ('3.7', '2011-09-17 05:56:19 EDT', 'fiterman'), ('markus_keller', '2011-09-21 00:42:22 EDT', 'fiterman'), ('deepak.azad', '2011-09-21 00:42:33 EDT', 'fiterman'), ('ASSIGNED', '2011-10-24 14:34:40 EDT', 'raksha.vasisht'), ('raksha.vasisht', '2011-10-24 14:34:40 EDT', 'raksha.vasisht'), ('[extract interface] Extract interface incorrectly handles generics + interfaces', '2011-10-24 14:34:40 EDT', 'raksha.vasisht'), ('stalebug', '2020-03-03 17:19:09 EST', 'genie'), ('WONTFIX', '2020-03-03 17:19:09 EST', 'genie'), ('CLOSED', '2020-03-03 17:19:09 EST', 'genie')]</t>
  </si>
  <si>
    <t>2011-11-08 11:46:56 EST</t>
  </si>
  <si>
    <t>2011-10-15 07:15 EDT</t>
  </si>
  <si>
    <t>2011-10-17 07:58:32 EDT</t>
  </si>
  <si>
    <t>[('CREATED', '2011-10-15 07:15 EDT'), ('JDT', '2011-10-17 07:58:32 EDT', 'remy.suen'), ('remysuen', '2011-10-17 07:58:32 EDT', 'remy.suen'), ('UI', '2011-10-17 07:58:32 EDT', 'remy.suen'), ('3.7.1', '2011-10-17 07:58:32 EDT', 'remy.suen'), ('jdt-ui-inbox', '2011-10-17 07:58:32 EDT', 'remy.suen'), ('needinfo', '2011-10-17 09:00:24 EDT', 'daniel_megert'), ('daniel_megert', '2011-10-17 09:00:24 EDT', 'daniel_megert'), ('[move static members] Refactoring: move static method results in java.lang.NullPointerException', '2011-10-17 09:00:24 EDT', 'daniel_megert'), ('raksha.vasisht', '2011-10-24 11:46:35 EDT', 'raksha.vasisht'), ('RESOLVED', '2011-11-08 11:46:56 EST', 'deepakazad'), ('deepak.azad', '2011-11-08 11:46:56 EST', 'deepakazad'), ('WORKSFORME', '2011-11-08 11:46:56 EST', 'deepakazad')]</t>
  </si>
  <si>
    <t>2011-10-18 13:54:47 EDT</t>
  </si>
  <si>
    <t>2011-10-16 05:09 EDT</t>
  </si>
  <si>
    <t>2011-10-17 03:08:43 EDT</t>
  </si>
  <si>
    <t>[('CREATED', '2011-10-16 05:09 EDT'), ('[rename] package rename corrupts files', '2011-10-17 03:08:43 EDT', 'daniel_megert'), ('daniel_megert', '2011-10-17 03:08:43 EDT', 'daniel_megert'), ('UI', '2011-10-17 03:08:43 EDT', 'daniel_megert'), ('jdt-ui-inbox', '2011-10-17 03:08:43 EDT', 'daniel_megert'), ('Text', '2011-10-17 05:20:30 EDT', 'mailings'), ('3.7.1', '2011-10-17 05:20:30 EDT', 'mailings'), ('UI', '2011-10-17 05:21:46 EDT', 'daniel_megert'), ('RESOLVED', '2011-10-18 13:54:47 EDT', 'markus.kell.r'), ('markus_keller', '2011-10-18 13:54:47 EDT', 'markus.kell.r'), ('NOT_ECLIPSE', '2011-10-18 13:54:47 EDT', 'markus.kell.r')]</t>
  </si>
  <si>
    <t>2011-10-19 07:36:38 EDT</t>
  </si>
  <si>
    <t>2011-10-19 02:50 EDT</t>
  </si>
  <si>
    <t>2011-10-19 02:52:14 EDT</t>
  </si>
  <si>
    <t>2011-10-19 11:20:12 EDT</t>
  </si>
  <si>
    <t>[('CREATED', '2011-10-19 02:50 EDT'), ('daniel_megert', '2011-10-19 02:52:14 EDT', 'daniel_megert'), ('markus_keller', '2011-10-19 02:52:14 EDT', 'daniel_megert'), ('3.6.2+J7', '2011-10-19 02:52:14 EDT', 'daniel_megert'), ('ASSIGNED', '2011-10-19 03:36:11 EDT', 'raksha.vasisht'), ('raksha.vasisht', '2011-10-19 03:36:11 EDT', 'raksha.vasisht'), ('NEW', '2011-10-19 03:37:46 EDT', 'daniel_megert'), ('RESOLVED', '2011-10-19 07:36:38 EDT', 'markus.kell.r'), ('FIXED', '2011-10-19 07:36:38 EDT', 'markus.kell.r'), ('Javadoc warning in 3.6.2+J7', '2011-10-19 11:20:12 EDT', 'markus.kell.r')]</t>
  </si>
  <si>
    <t>361566</t>
  </si>
  <si>
    <t>2011-10-24 16:22:48 EDT</t>
  </si>
  <si>
    <t>2011-10-20 11:27 EDT</t>
  </si>
  <si>
    <t>2011-10-20 11:28:17 EDT</t>
  </si>
  <si>
    <t>[('CREATED', '2011-10-20 11:27 EDT'), ('ASSIGNED', '2011-10-20 11:28:17 EDT', 'markus.kell.r'), ('markus_keller', '2011-10-20 11:28:17 EDT', 'markus.kell.r'), ('markus_keller', '2011-10-20 11:28:17 EDT', 'markus.kell.r'), ('3.8', '2011-10-20 11:28:17 EDT', 'markus.kell.r'), ('361566', '2011-10-20 11:34:54 EDT', 'markus.kell.r'), ('remysuen', '2011-10-20 13:53:22 EDT', 'remy.suen'), ('RESOLVED', '2011-10-24 16:22:48 EDT', 'markus.kell.r'), ('All', '2011-10-24 16:22:48 EDT', 'markus.kell.r'), ('FIXED', '2011-10-24 16:22:48 EDT', 'markus.kell.r'), ('All', '2011-10-24 16:22:48 EDT', 'markus.kell.r')]</t>
  </si>
  <si>
    <t>2020-03-21 19:25:24 EDT</t>
  </si>
  <si>
    <t>2011-10-24 16:37 EDT</t>
  </si>
  <si>
    <t>2011-10-24 16:40:13 EDT</t>
  </si>
  <si>
    <t>[('CREATED', '2011-10-24 16:37 EDT'), ('srikanth_sankaran', '2011-10-24 16:40:13 EDT', 'amj87.iitr'), ('satyam.kandula', '2011-10-24 16:40:13 EDT', 'amj87.iitr'), ('jdt-ui-inbox', '2011-11-02 05:21:54 EDT', 'satyam.kandula'), ('UI', '2011-11-02 05:21:54 EDT', 'satyam.kandula'), ('deepak.azad', '2011-11-08 10:55:40 EST', 'deepakazad'), ('ASSIGNED', '2011-11-08 10:59:24 EST', 'deepakazad'), ('Undo broken after Move refactoring', '2011-11-08 10:59:24 EST', 'deepakazad'), ('markus_keller', '2011-11-08 11:40:01 EST', 'markus.kell.r'), ('WONTFIX', '2020-03-21 19:25:24 EDT', 'genie'), ('CLOSED', '2020-03-21 19:25:24 EDT', 'genie'), ('stalebug', '2020-03-21 19:25:24 EDT', 'genie')]</t>
  </si>
  <si>
    <t>2011-10-26 08:55:50 EDT</t>
  </si>
  <si>
    <t>2011-10-26 09:04:02 EDT</t>
  </si>
  <si>
    <t>2011-10-26 08:19:16 EDT</t>
  </si>
  <si>
    <t>2011-10-26 06:57 EDT</t>
  </si>
  <si>
    <t>2011-10-26 06:58:22 EDT</t>
  </si>
  <si>
    <t>wei.li</t>
  </si>
  <si>
    <t>[('CREATED', '2011-10-26 06:57 EDT'), ('wei.li', '2011-10-26 06:58:22 EDT', 'wei.li'), ('UI', '2011-10-26 07:05:11 EDT', 'sptaszkiewicz'), ('3.7', '2011-10-26 07:05:11 EDT', 'sptaszkiewicz'), ('jdt-ui-inbox', '2011-10-26 07:05:11 EDT', 'sptaszkiewicz'), ('JDT', '2011-10-26 07:05:11 EDT', 'sptaszkiewicz'), ('RESOLVED', '2011-10-26 07:14:13 EDT', 'daniel_megert'), ('daniel_megert', '2011-10-26 07:14:13 EDT', 'daniel_megert'), ('WORKSFORME', '2011-10-26 07:14:13 EDT', 'daniel_megert'), ('[move member type] Indigo refactor (file level) bugs', '2011-10-26 07:14:13 EDT', 'daniel_megert'), ('REOPENED', '2011-10-26 08:19:16 EDT', 'wei.li'), ('---', '2011-10-26 08:19:16 EDT', 'wei.li'), ('RESOLVED', '2011-10-26 08:55:50 EDT', 'markus.kell.r'), ('markus_keller', '2011-10-26 08:55:50 EDT', 'markus.kell.r'), ('WORKSFORME', '2011-10-26 08:55:50 EDT', 'markus.kell.r'), ('[reorg] Indigo refactor (file level) bugs', '2011-10-26 08:55:50 EDT', 'markus.kell.r'), ('INVALID', '2011-10-26 09:04:02 EDT', 'wei.li')]</t>
  </si>
  <si>
    <t>2011-11-14 09:31:16 EST</t>
  </si>
  <si>
    <t>2011-11-02 21:44 EDT</t>
  </si>
  <si>
    <t>2011-11-02 21:55:08 EDT</t>
  </si>
  <si>
    <t>[('CREATED', '2011-11-02 21:44 EDT'), ('remysuen', '2011-11-02 21:55:08 EDT', 'remy.suen'), ('jdt-ui-inbox', '2011-11-10 16:19:44 EST', 'remy.suen'), ('JDT', '2011-11-10 16:19:44 EST', 'remy.suen'), ('UI', '2011-11-10 16:19:44 EST', 'remy.suen'), ('3.8', '2011-11-10 16:19:44 EST', 'remy.suen'), ('ASSIGNED', '2011-11-11 06:56:44 EST', 'markus.kell.r'), ('markus_keller', '2011-11-11 06:56:44 EST', 'markus.kell.r'), ('markus_keller', '2011-11-11 06:56:44 EST', 'markus.kell.r'), ('3.8 M4', '2011-11-11 06:56:44 EST', 'markus.kell.r'), ('[ltk] NPE when deleting plugin from workspace', '2011-11-11 06:56:44 EST', 'markus.kell.r'), ('RESOLVED', '2011-11-14 09:31:16 EST', 'markus.kell.r'), ('All', '2011-11-14 09:31:16 EST', 'markus.kell.r'), ('FIXED', '2011-11-14 09:31:16 EST', 'markus.kell.r'), ('All', '2011-11-14 09:31:16 EST', 'markus.kell.r')]</t>
  </si>
  <si>
    <t>2020-01-18 14:32:44 EST</t>
  </si>
  <si>
    <t>2011-11-08 18:53 EST</t>
  </si>
  <si>
    <t>2011-11-08 18:53:59 EST</t>
  </si>
  <si>
    <t>[('CREATED', '2011-11-08 18:53 EST'), ('nchen, reprogrammer', '2011-11-08 18:53:59 EST', 'reprogrammer'), ('snegara2', '2011-11-08 18:54:06 EST', 'reprogrammer'), ('deepak.azad', '2011-11-08 20:45:22 EST', 'deepakazad'), ('[rename][refactoring] Warning messages of refactoring tools for compilation problems are too generic', '2011-11-08 22:51:44 EST', 'deepakazad'), ('ASSIGNED', '2011-11-09 01:07:46 EST', 'deepakazad'), ('CLOSED', '2020-01-18 14:32:44 EST', 'genie'), ('WONTFIX', '2020-01-18 14:32:44 EST', 'genie'), ('stalebug', '2020-01-18 14:32:44 EST', 'genie')]</t>
  </si>
  <si>
    <t>2011-11-08 23:06:06 EST</t>
  </si>
  <si>
    <t>2011-11-08 22:18 EST</t>
  </si>
  <si>
    <t>2011-11-08 22:23:29 EST</t>
  </si>
  <si>
    <t>[('CREATED', '2011-11-08 22:18 EST'), ('nchen, reprogrammer', '2011-11-08 22:23:29 EST', 'reprogrammer'), ('snegara2', '2011-11-08 22:23:39 EST', 'reprogrammer'), ('CLOSED', '2011-11-08 23:06:06 EST', 'deepakazad'), ('deepak.azad', '2011-11-08 23:06:06 EST', 'deepakazad'), ('DUPLICATE', '2011-11-08 23:06:06 EST', 'deepakazad')]</t>
  </si>
  <si>
    <t>2012-02-21 06:30:58 EST</t>
  </si>
  <si>
    <t>2011-11-22 08:42 EST</t>
  </si>
  <si>
    <t>2011-11-22 10:10:17 EST</t>
  </si>
  <si>
    <t>[('CREATED', '2011-11-22 08:42 EST'), ('deepak.azad, markus_keller', '2011-11-22 10:10:17 EST', 'deepakazad'), ('[quick fix] Provide QuickFix to add @SuppressWarnings annotation to the Class', '2011-11-22 10:10:17 EST', 'deepakazad'), ('daniel_megert', '2011-11-23 08:23:54 EST', 'daniel_megert'), ('WONTFIX', '2012-02-21 06:30:58 EST', 'daniel_megert'), ('RESOLVED', '2012-02-21 06:30:58 EST', 'daniel_megert')]</t>
  </si>
  <si>
    <t>2012-08-22 14:26:00 EDT</t>
  </si>
  <si>
    <t>2011-11-23 02:52 EST</t>
  </si>
  <si>
    <t>2011-11-23 02:53:47 EST</t>
  </si>
  <si>
    <t>[('CREATED', '2011-11-23 02:52 EST'), ('rene.samselnig', '2011-11-23 02:53:47 EST', 'rene.samselnig'), ('ayushman_jain', '2012-05-28 01:00:30 EDT', 'amj87.iitr'), ('jdt-ui-inbox', '2012-05-28 01:00:30 EDT', 'amj87.iitr'), ('deepak.azad', '2012-05-28 05:01:46 EDT', 'deepakazad'), ('UI', '2012-05-28 05:01:46 EDT', 'deepakazad'), ('[generate constructor] Generate constructor using fields globally sets access modifier to private', '2012-05-28 05:09:13 EDT', 'deepakazad'), ('fix candidate', '2012-05-28 05:09:13 EDT', 'deepakazad'), ('ASSIGNED', '2012-05-28 05:09:22 EDT', 'deepakazad'), ('markus_keller', '2012-05-29 08:37:42 EDT', 'markus.kell.r'), ('All', '2012-05-29 08:37:42 EDT', 'markus.kell.r'), ('All', '2012-05-29 08:37:42 EDT', 'markus.kell.r'), ('samrat.dhillon', '2012-06-04 19:05:03 EDT', 'samrat.dhillon'), ('1', '2012-06-04 20:02:14 EDT', 'samrat.dhillon'), ('daniel_megert', '2012-08-21 03:08:14 EDT', 'daniel_megert'), ('review?(markus_keller)', '2012-08-21 03:08:14 EDT', 'daniel_megert'), ('RESOLVED', '2012-08-22 14:26:00 EDT', 'markus.kell.r'), ('FIXED', '2012-08-22 14:26:00 EDT', 'markus.kell.r'), ('markus_keller', '2012-08-22 14:26:00 EDT', 'markus.kell.r'), ('4.3 M2', '2012-08-22 14:26:00 EDT', 'markus.kell.r'), (nan, '2012-08-22 14:26:00 EDT', 'markus.kell.r'), (nan, '2012-08-22 14:26:00 EDT', 'markus.kell.r')]</t>
  </si>
  <si>
    <t>2011-12-01 04:49:59 EST</t>
  </si>
  <si>
    <t>2011-11-28 08:15 EST</t>
  </si>
  <si>
    <t>2011-11-28 08:15:14 EST</t>
  </si>
  <si>
    <t>[('CREATED', '2011-11-28 08:15 EST'), ('nchen, reprogrammer', '2011-11-28 08:15:14 EST', 'reprogrammer'), ('snegara2', '2011-11-28 08:15:22 EST', 'reprogrammer'), ('3.7.1', '2011-11-28 08:15:38 EST', 'reprogrammer'), ('All', '2011-11-28 14:15:53 EST', 'deepakazad'), ("[move method] The design of the Move Instance Method refactoring tool doesn't match users' expectations", '2011-11-28 14:15:53 EST', 'deepakazad'), ('All', '2011-11-28 14:15:53 EST', 'deepakazad'), ('deepak.azad', '2011-11-28 14:15:53 EST', 'deepakazad'), ('ASSIGNED', '2011-12-01 02:59:54 EST', 'deepakazad'), ('deepak.azad', '2011-12-01 02:59:54 EST', 'deepakazad'), ('RESOLVED', '2011-12-01 04:49:59 EST', 'deepakazad'), ('markus_keller', '2011-12-01 04:49:59 EST', 'deepakazad'), ('FIXED', '2011-12-01 04:49:59 EST', 'deepakazad'), ('3.8 M4', '2011-12-01 04:49:59 EST', 'deepakazad')]</t>
  </si>
  <si>
    <t>2011-11-28 16:59 EST</t>
  </si>
  <si>
    <t>2011-11-28 16:59:59 EST</t>
  </si>
  <si>
    <t>2019-11-02 19:17:50 EDT</t>
  </si>
  <si>
    <t>[('CREATED', '2011-11-28 16:59 EST'), ('reprogrammer', '2011-11-28 16:59:59 EST', 'reprogrammer'), ('3.7.1', '2011-11-28 16:59:59 EST', 'reprogrammer'), ('snegara2', '2011-11-28 17:07:36 EST', 'reprogrammer'), ('nchen', '2011-11-28 17:07:43 EST', 'reprogrammer'), ('deepak.azad', '2011-11-29 04:10:17 EST', 'deepakazad'), ('All', '2011-11-29 04:10:17 EST', 'deepakazad'), ("[refactoring] The Change Method Signature refactoring doesn't always get logged correctly.", '2011-11-29 04:10:17 EST', 'deepakazad'), ('All', '2011-11-29 04:10:17 EST', 'deepakazad'), ('ASSIGNED', '2011-11-29 04:17:49 EST', 'deepakazad'), ('fix candidate', '2011-11-29 04:18:27 EST', 'deepakazad'), ("[change method signature][refactoring] The Change Method Signature refactoring doesn't always get logged correctly.", '2011-11-30 14:10:58 EST', 'deepakazad'), ('https://bugs.eclipse.org/bugs/show_bug.cgi?id=365233', '2011-11-30 18:10:36 EST', 'reprogrammer'), ('stalebug', '2019-11-02 19:17:50 EDT', 'genie')]</t>
  </si>
  <si>
    <t>2011-12-24 07:13:39 EST</t>
  </si>
  <si>
    <t>2012-01-05 08:50:44 EST</t>
  </si>
  <si>
    <t>2011-11-29 06:25 EST</t>
  </si>
  <si>
    <t>2011-11-29 06:25:50 EST</t>
  </si>
  <si>
    <t>[('CREATED', '2011-11-29 06:25 EST'), ('deepak.azad', '2011-11-29 06:25:50 EST', 'deepakazad'), ('deepak.azad', '2011-11-29 06:25:50 EST', 'deepakazad'), ('3.8', '2011-11-29 06:25:50 EST', 'deepakazad'), ('3.8 M5', '2011-12-23 16:13:38 EST', 'deepakazad'), ('RESOLVED', '2011-12-24 07:13:39 EST', 'deepakazad'), ('FIXED', '2011-12-24 07:13:39 EST', 'deepakazad'), ('VERIFIED', '2012-01-05 08:50:44 EST', 'daniel_megert')]</t>
  </si>
  <si>
    <t>2011-11-29 15:13 EST</t>
  </si>
  <si>
    <t>2011-11-29 15:44:05 EST</t>
  </si>
  <si>
    <t>2019-10-26 01:08:36 EDT</t>
  </si>
  <si>
    <t>[('CREATED', '2011-11-29 15:13 EST'), ('reprogrammer', '2011-11-29 15:44:05 EST', 'reprogrammer'), ('nchen', '2011-11-29 15:44:11 EST', 'reprogrammer'), ('snegara2', '2011-11-29 15:44:16 EST', 'reprogrammer'), ('[extract method] [refactoring] The Extract Method refactoring tool could be more flexible with respect to the "Ambiguous return value: ..." problem', '2011-11-30 13:46:43 EST', 'reprogrammer'), ('deepak.azad', '2011-12-02 10:51:44 EST', 'deepakazad'), ('needinfo', '2011-12-02 11:02:46 EST', 'deepakazad'), ('markus_keller', '2011-12-06 12:06:57 EST', 'deepakazad'), ('stalebug', '2019-10-26 01:08:36 EDT', 'genie')]</t>
  </si>
  <si>
    <t>2020-05-15 13:11:41 EDT</t>
  </si>
  <si>
    <t>2011-11-30 14:03 EST</t>
  </si>
  <si>
    <t>2011-11-30 14:03:22 EST</t>
  </si>
  <si>
    <t>[('CREATED', '2011-11-30 14:03 EST'), ('reprogrammer', '2011-11-30 14:03:22 EST', 'reprogrammer'), ('3.7.1', '2011-11-30 14:03:22 EST', 'reprogrammer'), ('nchen', '2011-11-30 14:03:29 EST', 'reprogrammer'), ('snegara2', '2011-11-30 14:03:39 EST', 'reprogrammer'), ('https://bugs.eclipse.org/bugs/show_bug.cgi?id=365010', '2011-11-30 14:05:03 EST', 'reprogrammer'), ('deepak.azad', '2011-12-02 07:34:19 EST', 'deepakazad'), ('ASSIGNED', '2011-12-02 07:34:19 EST', 'deepakazad'), ('daniel_megert', '2011-12-08 09:45:28 EST', 'daniel_megert'), ('review?(deepak.azad)', '2011-12-09 12:16:31 EST', 'deepakazad'), ('review-', '2012-01-27 05:16:05 EST', 'deepakazad'), ('stalebug', '2020-05-15 13:11:41 EDT', 'genie'), ('CLOSED', '2020-05-15 13:11:41 EDT', 'genie'), ('WONTFIX', '2020-05-15 13:11:41 EDT', 'genie')]</t>
  </si>
  <si>
    <t>303519</t>
  </si>
  <si>
    <t>2011-12-01 01:21 EST</t>
  </si>
  <si>
    <t>2011-12-01 01:22:16 EST</t>
  </si>
  <si>
    <t>2012-08-09 03:01:05 EDT</t>
  </si>
  <si>
    <t>[('CREATED', '2011-12-01 01:21 EST'), ('303519', '2011-12-01 01:22:16 EST', 'ankush'), ('ankush', '2011-12-01 01:22:16 EST', 'ankush'), ('ASSIGNED', '2011-12-01 01:36:44 EST', 'deepakazad'), ('deepak.azad', '2011-12-01 01:36:44 EST', 'deepakazad'), ('[preferences] Add customizable formatting preferences for line wrapping based on number of elements', '2011-12-01 01:36:44 EST', 'deepakazad'), ('markus_keller', '2011-12-01 06:47:29 EST', 'markus.kell.r'), ('3.8 M5', '2011-12-01 06:47:29 EST', 'markus.kell.r'), ('ayushman_jain, srikanth_sankaran', '2011-12-01 10:55:05 EST', 'amj87.iitr'), ('daniel_megert', '2011-12-05 06:13:40 EST', 'daniel_megert'), ('3.8 M6', '2012-01-11 06:01:03 EST', 'daniel_megert'), ('---', '2012-01-26 02:00:04 EST', 'srikanth_sankaran'), ('3.9 candidate', '2012-01-26 02:00:04 EST', 'srikanth_sankaran'), (nan, '2012-08-09 03:01:05 EDT', 'daniel_megert'), ('All', '2012-08-09 03:01:05 EDT', 'daniel_megert'), ('enhancement', '2012-08-09 03:01:05 EDT', 'daniel_megert')]</t>
  </si>
  <si>
    <t>2011-12-01 04:47 EST</t>
  </si>
  <si>
    <t>2011-12-01 04:50:31 EST</t>
  </si>
  <si>
    <t>2011-12-01 11:49:20 EST</t>
  </si>
  <si>
    <t>[('CREATED', '2011-12-01 04:47 EST'), ('P4', '2011-12-01 04:50:31 EST', 'deepakazad'), ('ASSIGNED', '2011-12-01 04:50:31 EST', 'deepakazad'), ('markus_keller', '2011-12-01 10:49:11 EST', 'markus.kell.r'), ('reprogrammer', '2011-12-01 11:49:20 EST', 'reprogrammer')]</t>
  </si>
  <si>
    <t>2011-12-01 18:27 EST</t>
  </si>
  <si>
    <t>2011-12-01 18:27:37 EST</t>
  </si>
  <si>
    <t>2019-12-20 12:10:19 EST</t>
  </si>
  <si>
    <t>[('CREATED', '2011-12-01 18:27 EST'), ('nchen, reprogrammer, snegara2', '2011-12-01 18:27:37 EST', 'reprogrammer'), ('All', '2011-12-01 18:27:37 EST', 'reprogrammer'), ('P5', '2011-12-02 07:49:48 EST', 'deepakazad'), ('deepak.azad', '2011-12-02 07:49:48 EST', 'deepakazad'), ('[refactoring] [extract method] The Extract Method refactoring fails when selection begins at the end of a comment', '2011-12-02 07:49:48 EST', 'deepakazad'), ('ASSIGNED', '2011-12-02 07:49:57 EST', 'deepakazad'), ('nbros', '2013-03-20 04:57:43 EDT', 'nicolas.bros'), ('stalebug', '2019-12-20 12:10:19 EST', 'genie')]</t>
  </si>
  <si>
    <t>185060 (view as bug list)</t>
  </si>
  <si>
    <t>2012-01-09 09:35:39 EST</t>
  </si>
  <si>
    <t>2012-01-17 08:30:06 EST</t>
  </si>
  <si>
    <t>2012-01-09 07:23:27 EST</t>
  </si>
  <si>
    <t>2011-12-01 19:37 EST</t>
  </si>
  <si>
    <t>2011-12-03 02:02:25 EST</t>
  </si>
  <si>
    <t>[('CREATED', '2011-12-01 19:37 EST'), ('deepak.azad', '2011-12-03 02:02:25 EST', 'deepakazad'), ('deepak.azad', '2011-12-03 02:02:25 EST', 'deepakazad'), ('3.8 M5', '2011-12-03 02:02:25 EST', 'deepakazad'), ('[rename] Renaming public class to name of compilation unit fatal error', '2011-12-03 02:02:25 EST', 'deepakazad'), ('daniel_megert, markus_keller', '2011-12-05 04:23:13 EST', 'daniel_megert'), ('RESOLVED', '2011-12-23 14:27:50 EST', 'deepakazad'), ('FIXED', '2011-12-23 14:27:50 EST', 'deepakazad'), ('eclipse', '2012-01-04 04:56:06 EST', 'daniel_megert'), ('review?(markus_keller)', '2012-01-06 02:11:44 EST', 'daniel_megert'), ('3.7.2 candidate', '2012-01-06 02:22:10 EST', 'daniel_megert'), ('REOPENED', '2012-01-09 07:23:27 EST', 'markus.kell.r'), ('All', '2012-01-09 07:23:27 EST', 'markus.kell.r'), ('---', '2012-01-09 07:23:27 EST', 'markus.kell.r'), ('3.7.2', '2012-01-09 07:23:27 EST', 'markus.kell.r'), (nan, '2012-01-09 07:23:27 EST', 'markus.kell.r'), (nan, '2012-01-09 07:23:27 EST', 'markus.kell.r'), ('All', '2012-01-09 07:23:27 EST', 'markus.kell.r'), ('RESOLVED', '2012-01-09 09:35:39 EST', 'deepakazad'), ('FIXED', '2012-01-09 09:35:39 EST', 'deepakazad'), ('VERIFIED', '2012-01-17 08:30:06 EST', 'markus.kell.r')]</t>
  </si>
  <si>
    <t>2011-12-16 13:06:49 EST</t>
  </si>
  <si>
    <t>2011-12-05 15:49 EST</t>
  </si>
  <si>
    <t>2011-12-05 15:50:15 EST</t>
  </si>
  <si>
    <t>[('CREATED', '2011-12-05 15:49 EST'), ('nchen, reprogrammer, snegara2', '2011-12-05 15:50:15 EST', 'reprogrammer'), ('deepak.azad, markus_keller', '2011-12-06 11:56:54 EST', 'deepakazad'), ('deepak.azad', '2011-12-06 11:56:54 EST', 'deepakazad'), ('3.8 M5', '2011-12-06 11:56:54 EST', 'deepakazad'), ('RESOLVED', '2011-12-16 13:06:49 EST', 'deepakazad'), ('FIXED', '2011-12-16 13:06:49 EST', 'deepakazad')]</t>
  </si>
  <si>
    <t>2012-02-21 06:28:40 EST</t>
  </si>
  <si>
    <t>2011-12-06 01:59 EST</t>
  </si>
  <si>
    <t>2011-12-06 03:53:35 EST</t>
  </si>
  <si>
    <t>[('CREATED', '2011-12-06 01:59 EST'), ('UI', '2011-12-06 03:53:35 EST', 'eclipse'), ('jdt-ui-inbox', '2011-12-06 03:53:35 EST', 'eclipse'), ('needinfo', '2011-12-06 14:29:08 EST', 'markus.kell.r'), ('markus_keller', '2011-12-06 14:29:08 EST', 'markus.kell.r'), ('RESOLVED', '2012-02-21 06:28:40 EST', 'daniel_megert'), ('daniel_megert', '2012-02-21 06:28:40 EST', 'daniel_megert'), ('WORKSFORME', '2012-02-21 06:28:40 EST', 'daniel_megert')]</t>
  </si>
  <si>
    <t>46318 (view as bug list)</t>
  </si>
  <si>
    <t>2020-03-23 17:08:04 EDT</t>
  </si>
  <si>
    <t>2011-12-06 18:40 EST</t>
  </si>
  <si>
    <t>2011-12-06 18:40:19 EST</t>
  </si>
  <si>
    <t>[('CREATED', '2011-12-06 18:40 EST'), ('nchen, reprogrammer, snegara2', '2011-12-06 18:40:19 EST', 'reprogrammer'), ('tip', '2011-12-07 01:10:09 EST', 'deepakazad'), ('ASSIGNED', '2011-12-07 01:16:49 EST', 'deepakazad'), ('deepak.azad', '2011-12-07 01:16:49 EST', 'deepakazad'), ('[refactoring] [extract method] improve refactoring result when statement sequence that returns', '2011-12-07 01:16:49 EST', 'deepakazad'), ('stalebug', '2020-03-23 17:08:04 EDT', 'genie'), ('WONTFIX', '2020-03-23 17:08:04 EDT', 'genie'), ('CLOSED', '2020-03-23 17:08:04 EDT', 'genie')]</t>
  </si>
  <si>
    <t>2011-12-09 22:25 EST</t>
  </si>
  <si>
    <t>2011-12-09 22:25:50 EST</t>
  </si>
  <si>
    <t>2019-09-25 15:37:21 EDT</t>
  </si>
  <si>
    <t>[('CREATED', '2011-12-09 22:25 EST'), ('nchen, reprogrammer, snegara2', '2011-12-09 22:25:50 EST', 'reprogrammer'), ('3.8', '2011-12-09 22:25:50 EST', 'reprogrammer'), ('fix candidate', '2012-01-03 02:24:11 EST', 'deepakazad'), ('ASSIGNED', '2012-01-03 02:24:11 EST', 'deepakazad'), ('deepak.azad', '2012-01-03 02:24:11 EST', 'deepakazad'), ('stalebug', '2019-09-25 15:37:21 EDT', 'genie')]</t>
  </si>
  <si>
    <t>2012-01-21 10:15:16 EST</t>
  </si>
  <si>
    <t>2011-12-09 22:37 EST</t>
  </si>
  <si>
    <t>2011-12-09 22:37:35 EST</t>
  </si>
  <si>
    <t>[('CREATED', '2011-12-09 22:37 EST'), ('nchen, reprogrammer, snegara2', '2011-12-09 22:37:35 EST', 'reprogrammer'), ('deepak.azad', '2011-12-16 06:36:34 EST', 'deepakazad'), ('deepak.azad', '2011-12-16 06:36:34 EST', 'deepakazad'), ('djanoiup', '2012-01-20 03:03:14 EST', 'djanoiup'), ('RESOLVED', '2012-01-21 10:15:16 EST', 'deepakazad'), ('FIXED', '2012-01-21 10:15:16 EST', 'deepakazad'), ('3.8 M5', '2012-01-21 10:15:16 EST', 'deepakazad')]</t>
  </si>
  <si>
    <t>2020-05-07 13:37:30 EDT</t>
  </si>
  <si>
    <t>2011-12-11 06:48 EST</t>
  </si>
  <si>
    <t>2011-12-11 06:50:04 EST</t>
  </si>
  <si>
    <t>2020-05-08 05:46:28 EDT</t>
  </si>
  <si>
    <t>[('CREATED', '2011-12-11 06:48 EST'), ('lukas.eder', '2011-12-11 06:50:04 EST', 'lukas.eder'), ('3.7', '2011-12-11 06:50:04 EST', 'lukas.eder'), ('ASSIGNED', '2012-02-21 08:15:24 EST', 'daniel_megert'), ('daniel_megert', '2012-02-21 08:15:24 EST', 'daniel_megert'), ('All', '2012-02-21 08:15:31 EST', 'daniel_megert'), ('All', '2012-02-21 08:15:31 EST', 'daniel_megert'), ('stalebug', '2020-05-07 13:37:30 EDT', 'genie'), ('CLOSED', '2020-05-07 13:37:30 EDT', 'genie'), ('WONTFIX', '2020-05-07 13:37:30 EDT', 'genie'), ('stephan.herrmann', '2020-05-08 05:46:28 EDT', 'stephan.herrmann')]</t>
  </si>
  <si>
    <t>2020-09-19 06:19:54 EDT</t>
  </si>
  <si>
    <t>2020-11-21 03:56:44 EST</t>
  </si>
  <si>
    <t>2011-12-12 14:53 EST</t>
  </si>
  <si>
    <t>2011-12-13 02:46:24 EST</t>
  </si>
  <si>
    <t>fabrice.tiercelin</t>
  </si>
  <si>
    <t>[('CREATED', '2011-12-12 14:53 EST'), ('daniel_megert', '2011-12-13 02:46:24 EST', 'daniel_megert'), ('deepak.azad', '2011-12-13 02:46:24 EST', 'daniel_megert'), ('stalebug', '2020-01-05 17:39:06 EST', 'genie'), (nan, '2020-01-06 03:57:21 EST', 'daniel_megert'), ('All', '2020-01-06 03:57:21 EST', 'daniel_megert'), ('All', '2020-01-06 03:57:21 EST', 'daniel_megert'), ('jdt-ui-inbox', '2020-01-06 03:57:21 EST', 'daniel_megert'), ('deepakazad', '2020-01-06 03:57:21 EST', 'daniel_megert'), ('ASSIGNED', '2020-01-06 03:57:31 EST', 'daniel_megert'), ('fabrice.tiercelin', '2020-02-07 01:59:04 EST', 'fabrice.tiercelin'), ('fabrice.tiercelin', '2020-02-07 01:59:04 EST', 'fabrice.tiercelin'), ('https://git.eclipse.org/r/c/jdt/eclipse.jdt.ui/+/169446', '2020-09-16 04:48:57 EDT', 'genie'), ('carsten.hammer', '2020-09-16 07:58:55 EDT', 'fabrice.tiercelin'), ('https://git.eclipse.org/c/jdt/eclipse.jdt.ui.git/commit/?id=05721b15b0cf730e35b405b515cc2cffcd613e80', '2020-09-17 23:34:14 EDT', 'genie'), ('noopur_gupta', '2020-09-18 04:34:43 EDT', 'noopur_gupta'), ('4.18 M1', '2020-09-18 04:38:47 EDT', 'noopur_gupta'), ('https://git.eclipse.org/r/c/jdt/eclipse.jdt.ui/+/169583', '2020-09-18 10:05:10 EDT', 'genie'), ('https://git.eclipse.org/c/jdt/eclipse.jdt.ui.git/commit/?id=24324525631cb31bc0199a1410b325832d5fa1a8', '2020-09-19 06:18:43 EDT', 'genie'), ('RESOLVED', '2020-09-19 06:19:54 EDT', 'fabrice.tiercelin'), ('FIXED', '2020-09-19 06:19:54 EDT', 'fabrice.tiercelin'), ('VERIFIED', '2020-11-21 03:56:44 EST', 'fabrice.tiercelin')]</t>
  </si>
  <si>
    <t>CLOSED  DUPLICATE  of bug 354842</t>
  </si>
  <si>
    <t>2011-12-20 14:30:07 EST</t>
  </si>
  <si>
    <t>2011-12-16 11:59 EST</t>
  </si>
  <si>
    <t>2011-12-17 02:15:09 EST</t>
  </si>
  <si>
    <t>[('CREATED', '2011-12-16 11:59 EST'), ('needinfo', '2011-12-17 02:15:09 EST', 'daniel_megert'), ('daniel_megert', '2011-12-17 02:15:09 EST', 'daniel_megert'), (nan, '2011-12-20 14:30:07 EST', 'deepakazad'), ('CLOSED', '2011-12-20 14:30:07 EST', 'deepakazad'), ('deepak.azad', '2011-12-20 14:30:07 EST', 'deepakazad'), ('DUPLICATE', '2011-12-20 14:30:07 EST', 'deepakazad')]</t>
  </si>
  <si>
    <t>2012-02-01 04:08:16 EST</t>
  </si>
  <si>
    <t>2011-12-20 13:03 EST</t>
  </si>
  <si>
    <t>2011-12-20 14:14:08 EST</t>
  </si>
  <si>
    <t>[('CREATED', '2011-12-20 13:03 EST'), ('deepak.azad', '2011-12-20 14:14:08 EST', 'deepakazad'), ('UI', '2011-12-20 14:14:08 EST', 'deepakazad'), ('jdt-ui-inbox', '2011-12-20 14:14:08 EST', 'deepakazad'), ('RESOLVED', '2012-02-01 04:08:16 EST', 'deepakazad'), ('WONTFIX', '2012-02-01 04:08:16 EST', 'deepakazad'), ('[generate delegate][refactoring] Generate Decorator Class', '2012-02-01 04:08:16 EST', 'deepakazad')]</t>
  </si>
  <si>
    <t>367534 (view as bug list)</t>
  </si>
  <si>
    <t>2020-04-10 18:55:35 EDT</t>
  </si>
  <si>
    <t>2011-12-24 08:01 EST</t>
  </si>
  <si>
    <t>2011-12-24 12:29:21 EST</t>
  </si>
  <si>
    <t>[('CREATED', '2011-12-24 08:01 EST'), ('ASSIGNED', '2011-12-24 12:29:21 EST', 'deepakazad'), ('deepak.azad', '2011-12-24 12:29:21 EST', 'deepakazad'), ('[inline] Inline Local Variable does not qualify accesses to obscured types', '2011-12-24 12:29:21 EST', 'deepakazad'), ('reprogrammer', '2011-12-25 00:31:24 EST', 'reprogrammer'), ('major', '2012-01-03 06:23:15 EST', 'daniel_megert'), ('daniel_megert', '2012-01-03 06:23:15 EST', 'daniel_megert'), ('All', '2012-01-03 06:23:15 EST', 'daniel_megert'), ('fix candidate', '2012-01-03 06:23:15 EST', 'daniel_megert'), ('All', '2012-01-03 06:23:15 EST', 'daniel_megert'), ('max.schaefer', '2012-01-03 11:12:12 EST', 'daniel_megert'), ('nikolaymetchev', '2013-10-10 07:06:23 EDT', 'nikolaymetchev'), ('noopur_gupta', '2013-10-11 05:07:21 EDT', 'daniel_megert'), ('review?(noopur_gupta)', '2013-10-14 10:52:22 EDT', 'daniel_megert'), ('1', '2013-10-17 11:47:37 EDT', 'noopur_gupta'), (nan, '2014-04-25 04:37:37 EDT', 'noopur_gupta'), ('1', '2014-05-05 13:32:47 EDT', 'nikolaymetchev'), ('4.5', '2014-05-09 11:06:33 EDT', 'daniel_megert'), ('review?(noopur_gupta)', '2014-05-09 11:06:33 EDT', 'daniel_megert'), ('1', '2014-05-12 06:40:38 EDT', 'nikolaymetchev'), ('markus_keller', '2015-05-12 12:55:35 EDT', 'markus.kell.r'), ('4.6', '2015-05-12 12:55:35 EDT', 'markus.kell.r'), ('4.7', '2016-04-22 01:08:32 EDT', 'noopur_gupta'), ('https://git.eclipse.org/r/71284', '2016-04-23 15:28:14 EDT', 'genie'), ('4.8', '2017-05-10 06:11:55 EDT', 'noopur_gupta'), ('---', '2018-04-13 06:39:01 EDT', 'noopur_gupta'), ('CLOSED', '2020-04-10 18:55:35 EDT', 'genie'), ('WONTFIX', '2020-04-10 18:55:35 EDT', 'genie'), ('stalebug', '2020-04-10 18:55:35 EDT', 'genie')]</t>
  </si>
  <si>
    <t>2012-01-03 02:08:23 EST</t>
  </si>
  <si>
    <t>2011-12-30 10:59:36 EST</t>
  </si>
  <si>
    <t>2011-12-27 15:37 EST</t>
  </si>
  <si>
    <t>2011-12-29 10:26:49 EST</t>
  </si>
  <si>
    <t>2012-01-03 06:18:05 EST</t>
  </si>
  <si>
    <t>[('CREATED', '2011-12-27 15:37 EST'), ('[quick fix] Create Local Variable Quick Fix to Put Declaration at Top of Method', '2011-12-29 10:26:49 EST', 'deepakazad'), ('deepak.azad', '2011-12-29 10:26:49 EST', 'deepakazad'), ('UI', '2011-12-29 10:26:49 EST', 'deepakazad'), ('jdt-ui-inbox', '2011-12-29 10:26:49 EST', 'deepakazad'), ('reprogrammer', '2011-12-29 15:26:58 EST', 'reprogrammer'), ('RESOLVED', '2011-12-30 01:43:22 EST', 'deepakazad'), ('WONTFIX', '2011-12-30 01:43:22 EST', 'deepakazad'), ('REOPENED', '2011-12-30 10:59:36 EST', 'numeralnathan'), ('---', '2011-12-30 10:59:36 EST', 'numeralnathan'), ('RESOLVED', '2012-01-03 02:08:23 EST', 'deepakazad'), ('markus_keller', '2012-01-03 02:08:23 EST', 'deepakazad'), ('WONTFIX', '2012-01-03 02:08:23 EST', 'deepakazad'), ('daniel_megert', '2012-01-03 06:18:05 EST', 'daniel_megert')]</t>
  </si>
  <si>
    <t>2012-04-13 11:30:10 EDT</t>
  </si>
  <si>
    <t>2011-12-30 15:00 EST</t>
  </si>
  <si>
    <t>2011-12-30 15:00:31 EST</t>
  </si>
  <si>
    <t>[('CREATED', '2011-12-30 15:00 EST'), ('reprogrammer', '2011-12-30 15:00:31 EST', 'reprogrammer'), ('ASSIGNED', '2012-01-01 09:57:45 EST', 'deepakazad'), ('deepak.azad', '2012-01-01 09:57:45 EST', 'deepakazad'), ('fix candidate', '2012-01-01 09:57:45 EST', 'deepakazad'), ('WONTFIX', '2012-04-13 11:30:10 EDT', 'markus.kell.r'), (nan, '2012-04-13 11:30:10 EDT', 'markus.kell.r'), ('RESOLVED', '2012-04-13 11:30:10 EDT', 'markus.kell.r'), ('markus_keller', '2012-04-13 11:30:10 EDT', 'markus.kell.r')]</t>
  </si>
  <si>
    <t>2012-04-13 11:29:48 EDT</t>
  </si>
  <si>
    <t>2011-12-30 15:08 EST</t>
  </si>
  <si>
    <t>2011-12-30 15:08:25 EST</t>
  </si>
  <si>
    <t>[('CREATED', '2011-12-30 15:08 EST'), ('reprogrammer', '2011-12-30 15:08:25 EST', 'reprogrammer'), ('ASSIGNED', '2012-01-01 09:58:22 EST', 'deepakazad'), ('deepak.azad', '2012-01-01 09:58:22 EST', 'deepakazad'), ('fix candidate', '2012-01-01 09:58:22 EST', 'deepakazad'), ('markus_keller', '2012-04-13 11:29:48 EDT', 'markus.kell.r'), ('WONTFIX', '2012-04-13 11:29:48 EDT', 'markus.kell.r'), (nan, '2012-04-13 11:29:48 EDT', 'markus.kell.r'), ('RESOLVED', '2012-04-13 11:29:48 EDT', 'markus.kell.r')]</t>
  </si>
  <si>
    <t>CLOSED  DUPLICATE  of bug 64698</t>
  </si>
  <si>
    <t>2012-01-16 12:02:13 EST</t>
  </si>
  <si>
    <t>2012-01-15 11:55 EST</t>
  </si>
  <si>
    <t>[('CREATED', '2012-01-15 11:55 EST'), ('CLOSED', '2012-01-16 12:02:13 EST', 'markus.kell.r'), ('markus_keller', '2012-01-16 12:02:13 EST', 'markus.kell.r'), ('DUPLICATE', '2012-01-16 12:02:13 EST', 'markus.kell.r')]</t>
  </si>
  <si>
    <t>2012-01-19 07:34:08 EST</t>
  </si>
  <si>
    <t>2012-01-17 17:25 EST</t>
  </si>
  <si>
    <t>2012-01-17 17:29:41 EST</t>
  </si>
  <si>
    <t>2012-07-09 20:00:04 EDT</t>
  </si>
  <si>
    <t>h.klene</t>
  </si>
  <si>
    <t>[('CREATED', '2012-01-17 17:25 EST'), ('remysuen', '2012-01-17 17:29:41 EST', 'remy.suen'), ('RESOLVED', '2012-01-19 07:34:08 EST', 'daniel_megert'), ('daniel_megert', '2012-01-19 07:34:08 EST', 'daniel_megert'), ('UI', '2012-01-19 07:34:08 EST', 'daniel_megert'), ('3.8', '2012-01-19 07:34:08 EST', 'daniel_megert'), ('WONTFIX', '2012-01-19 07:34:08 EST', 'daniel_megert'), ('jdt-ui-inbox', '2012-01-19 07:34:08 EST', 'daniel_megert'), ('JDT', '2012-01-19 07:34:08 EST', 'daniel_megert'), ('markus_keller', '2012-01-19 07:53:07 EST', 'markus.kell.r'), ('h.klene', '2012-07-09 20:00:04 EDT', 'h.klene')]</t>
  </si>
  <si>
    <t>CLOSED  DUPLICATE  of bug 25097</t>
  </si>
  <si>
    <t>2012-01-18 04:34:57 EST</t>
  </si>
  <si>
    <t>2012-01-18 03:48 EST</t>
  </si>
  <si>
    <t>2012-01-18 04:29:35 EST</t>
  </si>
  <si>
    <t>[('CREATED', '2012-01-18 03:48 EST'), ('UI', '2012-01-18 04:29:35 EST', 'amj87.iitr'), ('jdt-ui-inbox', '2012-01-18 04:29:35 EST', 'amj87.iitr'), ('ayushman_jain', '2012-01-18 04:29:35 EST', 'amj87.iitr'), ('CLOSED', '2012-01-18 04:34:57 EST', 'daniel_megert'), ('daniel_megert', '2012-01-18 04:34:57 EST', 'daniel_megert'), ('All', '2012-01-18 04:34:57 EST', 'daniel_megert'), ('DUPLICATE', '2012-01-18 04:34:57 EST', 'daniel_megert'), ('[refactoring] Java IDE should provide a "Delete method along with all implementations" refactoring', '2012-01-18 04:34:57 EST', 'daniel_megert'), ('All', '2012-01-18 04:34:57 EST', 'daniel_megert')]</t>
  </si>
  <si>
    <t>2012-01-20 15:59 EST</t>
  </si>
  <si>
    <t>2012-01-20 16:00:32 EST</t>
  </si>
  <si>
    <t>2018-11-14 19:03:15 EST</t>
  </si>
  <si>
    <t>[('CREATED', '2012-01-20 15:59 EST'), ('3.7.1', '2012-01-20 16:00:32 EST', 'milos.gligoric'), ('reprogrammer', '2012-01-21 08:00:11 EST', 'reprogrammer'), ('daniel_megert', '2012-02-21 08:09:28 EST', 'daniel_megert'), ('All', '2012-02-21 08:09:28 EST', 'daniel_megert'), ('markus_keller', '2012-02-21 08:09:28 EST', 'daniel_megert'), ('[rename] Renaming a field of an anonymous class', '2012-02-21 08:09:28 EST', 'daniel_megert'), ('All', '2012-02-21 08:09:28 EST', 'daniel_megert'), ('stalebug', '2018-11-14 19:03:15 EST', 'genie')]</t>
  </si>
  <si>
    <t>2012-01-21 13:13:51 EST</t>
  </si>
  <si>
    <t>2012-01-20 16:11 EST</t>
  </si>
  <si>
    <t>2012-01-20 16:11:45 EST</t>
  </si>
  <si>
    <t>[('CREATED', '2012-01-20 16:11 EST'), ('3.7.1', '2012-01-20 16:11:45 EST', 'milos.gligoric'), ('reprogrammer', '2012-01-21 07:54:14 EST', 'reprogrammer'), ('deepak.azad, markus_keller', '2012-01-21 12:14:56 EST', 'deepakazad'), ('deepak.azad', '2012-01-21 12:14:56 EST', 'deepakazad'), ('[extract method] Extract code in a method that returns generic type causes compilation error', '2012-01-21 12:14:56 EST', 'deepakazad'), ('FIXED', '2012-01-21 13:13:51 EST', 'deepakazad'), ('3.8 M5', '2012-01-21 13:13:51 EST', 'deepakazad'), ('RESOLVED', '2012-01-21 13:13:51 EST', 'deepakazad')]</t>
  </si>
  <si>
    <t>2012-01-24 00:59 EST</t>
  </si>
  <si>
    <t>2012-01-24 09:31:32 EST</t>
  </si>
  <si>
    <t>2012-02-21 06:31:31 EST</t>
  </si>
  <si>
    <t>[('CREATED', '2012-01-24 00:59 EST'), ('reprogrammer', '2012-01-24 09:31:32 EST', 'reprogrammer'), ('fix candidate', '2012-01-25 03:58:29 EST', 'deepakazad'), ('ASSIGNED', '2012-02-21 06:31:31 EST', 'daniel_megert'), ('daniel_megert', '2012-02-21 06:31:31 EST', 'daniel_megert'), ('All', '2012-02-21 06:31:31 EST', 'daniel_megert'), ('All', '2012-02-21 06:31:31 EST', 'daniel_megert'), ('enhancement', '2012-02-21 06:31:31 EST', 'daniel_megert')]</t>
  </si>
  <si>
    <t>2012-01-24 17:06:45 EST</t>
  </si>
  <si>
    <t>2012-01-24 10:00 EST</t>
  </si>
  <si>
    <t>2012-01-24 10:50:06 EST</t>
  </si>
  <si>
    <t>[('CREATED', '2012-01-24 10:00 EST'), ('daniel_megert', '2012-01-24 10:50:06 EST', 'daniel_megert'), ('markus_keller', '2012-01-24 10:50:06 EST', 'daniel_megert'), ('3.8 M5', '2012-01-24 17:06:45 EST', 'markus.kell.r'), ('RESOLVED', '2012-01-24 17:06:45 EST', 'markus.kell.r'), ('FIXED', '2012-01-24 17:06:45 EST', 'markus.kell.r')]</t>
  </si>
  <si>
    <t>CLOSED  DUPLICATE  of bug 287539</t>
  </si>
  <si>
    <t>2012-01-25 08:18 EST</t>
  </si>
  <si>
    <t>2012-01-25 11:04:27 EST</t>
  </si>
  <si>
    <t>[('CREATED', '2012-01-25 08:18 EST'), ('srikanth_sankaran', '2012-01-25 11:04:27 EST', 'srikanth_sankaran'), ('UI', '2012-01-25 11:04:27 EST', 'srikanth_sankaran'), ('jdt-ui-inbox', '2012-01-25 11:04:27 EST', 'srikanth_sankaran'), ('CLOSED', '2012-01-25 12:54:55 EST', 'daniel_megert'), ('daniel_megert', '2012-01-25 12:54:55 EST', 'daniel_megert'), ('DUPLICATE', '2012-01-25 12:54:55 EST', 'daniel_megert')]</t>
  </si>
  <si>
    <t>2012-02-25 09:39 EST</t>
  </si>
  <si>
    <t>2012-02-26 12:47:04 EST</t>
  </si>
  <si>
    <t>2013-04-30 03:09:46 EDT</t>
  </si>
  <si>
    <t>tom</t>
  </si>
  <si>
    <t>[('CREATED', '2012-02-25 09:39 EST'), ('ayushman_jain', '2012-02-26 12:47:04 EST', 'amj87.iitr'), ('UI', '2012-02-26 12:47:04 EST', 'amj87.iitr'), ('jdt-ui-inbox', '2012-02-26 12:47:04 EST', 'amj87.iitr'), ('ASSIGNED', '2012-03-06 06:47:34 EST', 'markus.kell.r'), ('markus_keller', '2012-03-06 06:47:34 EST', 'markus.kell.r'), ('[refactoring] Refactoring like “change method signature” for generic type parameter lists', '2012-03-06 06:47:34 EST', 'markus.kell.r'), ('deepak.azad', '2012-03-06 08:02:39 EST', 'deepakazad'), ('[refactoring] Refactoring like “change method signature” for generic type and method parameter lists', '2012-03-06 09:17:45 EST', 'markus.kell.r'), ('[refactoring] Refactoring like “change method signature” for generic type and method type parameter lists', '2012-03-06 09:18:44 EST', 'markus.kell.r'), ('tom', '2013-04-30 03:09:46 EDT', 'tom')]</t>
  </si>
  <si>
    <t>2012-02-26 04:06 EST</t>
  </si>
  <si>
    <t>2012-02-26 04:06:54 EST</t>
  </si>
  <si>
    <t>2020-05-06 04:21:10 EDT</t>
  </si>
  <si>
    <t>[('CREATED', '2012-02-26 04:06 EST'), ('lukas.eder', '2012-02-26 04:06:54 EST', 'lukas.eder'), ('All', '2012-02-26 04:06:54 EST', 'lukas.eder'), ('3.7', '2012-02-26 04:06:54 EST', 'lukas.eder'), ('All', '2012-02-26 04:06:54 EST', 'lukas.eder'), ('UI', '2012-02-27 01:02:47 EST', 'amj87.iitr'), ('jdt-ui-inbox', '2012-02-27 01:02:47 EST', 'amj87.iitr'), ('ayushman_jain', '2012-02-27 01:02:47 EST', 'amj87.iitr'), ('ASSIGNED', '2012-02-27 02:23:52 EST', 'daniel_megert'), ('daniel_megert', '2012-02-27 02:23:52 EST', 'daniel_megert'), ('[JUnit] Add "Link with Editor" to JUnit view', '2012-02-27 02:23:52 EST', 'daniel_megert'), ('remysuen', '2012-02-27 10:39:23 EST', 'remy.suen'), ('xcoulon', '2013-08-03 10:03:51 EDT', 'xcoulon'), ('xcoulon', '2013-09-09 10:18:12 EDT', 'xcoulon'), ('manju_mathew', '2013-09-13 04:12:12 EDT', 'daniel_megert'), ('review?(manju_mathew)', '2013-09-13 04:12:12 EDT', 'daniel_megert'), ('review-', '2013-09-18 06:41:54 EDT', 'manju656'), ('manderse', '2013-09-18 08:11:58 EDT', 'manderse'), ('review?', '2014-01-31 04:45:20 EST', 'daniel_megert'), ('review?(manju_mathew)', '2014-01-31 04:47:31 EST', 'daniel_megert'), ('review-', '2014-02-02 23:40:37 EST', 'manju656'), ('review?(manju_mathew)', '2014-02-10 06:33:59 EST', 'daniel_megert'), ('1', '2014-02-11 01:37:13 EST', 'manju656'), ('1', '2014-02-11 01:37:43 EST', 'manju656'), ('review-', '2014-02-11 01:37:43 EST', 'manju656'), ('1', '2014-02-11 01:53:23 EST', 'manju656'), ('1', '2014-02-11 01:53:23 EST', 'manju656'), ('text/plain', '2014-02-11 01:53:23 EST', 'manju656'), ('review-', '2014-02-11 01:53:23 EST', 'manju656'), ('xcoulon', '2014-02-11 01:55:13 EST', 'manju656'), ('andre.dietisheim', '2014-02-11 02:52:29 EST', 'adietish'), ('1', '2014-02-19 00:55:02 EST', 'manju656'), ('1', '2014-02-19 00:55:02 EST', 'manju656'), ('text/plain', '2014-02-19 00:55:02 EST', 'manju656'), ('review-', '2014-02-19 00:55:02 EST', 'manju656'), ('review-', '2014-04-08 00:55:52 EDT', 'manju656'), ('1', '2014-04-08 00:58:11 EDT', 'manju656'), (nan, '2014-04-14 12:09:08 EDT', 'lukas.eder'), ('noopur_gupta', '2014-10-03 05:22:04 EDT', 'daniel_megert'), ('review?(noopur_gupta)', '2014-10-03 05:22:04 EDT', 'daniel_megert'), ('review-', '2014-11-21 04:58:01 EST', 'noopur_gupta'), ('1', '2014-11-26 06:04:54 EST', 'noopur_gupta'), ('1', '2014-11-26 06:04:54 EST', 'noopur_gupta'), ('1', '2014-11-26 06:04:54 EST', 'noopur_gupta'), ('1', '2014-11-26 06:04:54 EST', 'noopur_gupta'), ('markus_keller', '2014-12-17 08:34:57 EST', 'noopur_gupta'), ('review?(noopur_gupta)', '2014-12-17 08:34:57 EST', 'noopur_gupta'), ('review-', '2015-01-20 09:15:09 EST', 'noopur_gupta'), ('review?(noopur_gupta)', '2015-03-20 04:31:50 EDT', 'daniel_megert'), ('review-', '2015-03-27 04:26:58 EDT', 'noopur_gupta'), ('1', '2015-03-30 06:11:35 EDT', 'noopur_gupta'), ('1', '2015-03-30 06:11:35 EDT', 'noopur_gupta'), ('igels', '2015-05-11 13:47:10 EDT', 'alkazako'), ('gautier.desaintmartinlacaze', '2015-12-01 09:20:00 EST', 'gautier.desaintmartinlacaze'), ('lars.vogel', '2015-12-02 03:25:03 EST', 'Lars.Vogel'), ('jdt-ui-inbox', '2020-05-06 04:21:10 EDT', 'Lars.Vogel')]</t>
  </si>
  <si>
    <t>2013-06-26 01:51:08 EDT</t>
  </si>
  <si>
    <t>2012-03-01 04:58 EST</t>
  </si>
  <si>
    <t>[('CREATED', '2012-03-01 04:58 EST'), ('RESOLVED', '2013-06-26 01:51:08 EDT', 'manju656'), ('manju_mathew', '2013-06-26 01:51:08 EDT', 'manju656'), ('WORKSFORME', '2013-06-26 01:51:08 EDT', 'manju656')]</t>
  </si>
  <si>
    <t>2012-03-14 12:23 EDT</t>
  </si>
  <si>
    <t>2012-04-09 14:29:15 EDT</t>
  </si>
  <si>
    <t>[('CREATED', '2012-03-14 12:23 EDT'), ('ASSIGNED', '2012-04-09 14:29:15 EDT', 'deepakazad'), ('deepak.azad', '2012-04-09 14:29:15 EDT', 'deepakazad'), ('[pull up] pull up into generic parent from concrete subclass should change concrete to generic types', '2012-04-09 14:29:15 EDT', 'deepakazad')]</t>
  </si>
  <si>
    <t>CLOSED  DUPLICATE  of bug 24161</t>
  </si>
  <si>
    <t>2012-03-14 13:21 EDT</t>
  </si>
  <si>
    <t>2012-03-14 13:22:26 EDT</t>
  </si>
  <si>
    <t>[('CREATED', '2012-03-14 13:21 EDT'), ('Provide a change visibility refactoring that operates when selecting multiple fields/classes/methods', '2012-03-14 13:22:26 EDT', 'junk'), ('Provide refactorings that operate when selecting multiple fields/classes/methods/etc.', '2012-03-14 13:28:08 EDT', 'junk'), ('DUPLICATE', '2012-04-10 01:03:29 EDT', 'deepakazad'), ('CLOSED', '2012-04-10 01:03:29 EDT', 'deepakazad'), ('deepak.azad', '2012-04-10 01:03:29 EDT', 'deepakazad')]</t>
  </si>
  <si>
    <t>2012-04-20 09:52 EDT</t>
  </si>
  <si>
    <t>2012-04-20 09:53:37 EDT</t>
  </si>
  <si>
    <t>[('CREATED', '2012-04-20 09:52 EDT'), ('lukas.eder', '2012-04-20 09:53:37 EDT', 'lukas.eder'), ('3.7.1', '2012-04-20 09:53:37 EDT', 'lukas.eder'), ('CLOSED', '2012-04-20 09:59:02 EDT', 'deepakazad'), ('deepak.azad', '2012-04-20 09:59:02 EDT', 'deepakazad'), ('DUPLICATE', '2012-04-20 09:59:02 EDT', 'deepakazad')]</t>
  </si>
  <si>
    <t>2020-08-17 10:53:59 EDT</t>
  </si>
  <si>
    <t>2020-08-19 16:02:08 EDT</t>
  </si>
  <si>
    <t>2012-04-20 09:58 EDT</t>
  </si>
  <si>
    <t>2012-04-20 09:58:57 EDT</t>
  </si>
  <si>
    <t>[('CREATED', '2012-04-20 09:58 EDT'), ('lukas.eder', '2012-04-20 09:58:57 EDT', 'lukas.eder'), ('3.7.1', '2012-04-20 09:58:57 EDT', 'lukas.eder'), ('deepak.azad', '2012-04-23 00:58:16 EDT', 'deepakazad'), ("[extract local] Refactor &gt; Extract Local variable creates bad resulting code, and doesn't extract the variable", '2012-04-23 00:58:16 EDT', 'deepakazad'), ('ASSIGNED', '2012-04-27 10:55:08 EDT', 'markus.kell.r'), ('markus_keller', '2012-04-27 10:55:08 EDT', 'markus.kell.r'), ('stalebug', '2020-07-15 20:33:33 EDT', 'genie'), ('kenneth', '2020-07-24 13:58:36 EDT', 'kenneth'), ('kenneth', '2020-07-24 13:58:36 EDT', 'kenneth'), ('4.17 M3', '2020-07-24 13:58:36 EDT', 'kenneth'), (nan, '2020-07-24 13:58:36 EDT', 'kenneth'), ('https://git.eclipse.org/r/c/jdt/eclipse.jdt.ui/+/166813', '2020-07-24 13:58:40 EDT', 'genie'), ('rgrunber', '2020-07-31 13:13:24 EDT', 'rgrunber'), ('rgrunber', '2020-07-31 13:13:24 EDT', 'rgrunber'), ('https://git.eclipse.org/c/jdt/eclipse.jdt.ui.git/commit/?id=007d96bfa6adcb8760852596a851a9ad522e769d', '2020-08-04 18:36:27 EDT', 'genie'), ('RESOLVED', '2020-08-17 10:53:59 EDT', 'rgrunber'), ('FIXED', '2020-08-17 10:53:59 EDT', 'rgrunber'), ('VERIFIED', '2020-08-19 16:02:08 EDT', 'rgrunber')]</t>
  </si>
  <si>
    <t>34310 (view as bug list)</t>
  </si>
  <si>
    <t>2012-08-03 11:37:01 EDT</t>
  </si>
  <si>
    <t>2012-04-20 17:50 EDT</t>
  </si>
  <si>
    <t>2012-04-20 17:50:42 EDT</t>
  </si>
  <si>
    <t>[('CREATED', '2012-04-20 17:50 EDT'), ('3.7.2', '2012-04-20 17:50:42 EDT', 'milos.gligoric'), ('deepak.azad', '2012-04-23 01:00:41 EDT', 'deepakazad'), ('[encapsulate field] Encapsulate field in an interface introduces methods (therefore compilation errors)', '2012-04-23 01:00:41 EDT', 'deepakazad'), ('ASSIGNED', '2012-04-27 10:59:38 EDT', 'markus.kell.r'), ('markus_keller', '2012-04-27 10:59:38 EDT', 'markus.kell.r'), ('4.3 M1', '2012-08-03 11:37:01 EDT', 'markus.kell.r'), ('RESOLVED', '2012-08-03 11:37:01 EDT', 'markus.kell.r'), ('FIXED', '2012-08-03 11:37:01 EDT', 'markus.kell.r'), ('markus_keller', '2012-08-03 11:37:01 EDT', 'markus.kell.r'), ('akiezun', '2012-08-03 11:37:19 EDT', 'markus.kell.r')]</t>
  </si>
  <si>
    <t>2014-03-03 22:55:29 EST</t>
  </si>
  <si>
    <t>2012-04-20 19:49 EDT</t>
  </si>
  <si>
    <t>2012-04-20 19:49:24 EDT</t>
  </si>
  <si>
    <t>[('CREATED', '2012-04-20 19:49 EDT'), ('3.7.2', '2012-04-20 19:49:24 EDT', 'milos.gligoric'), ('deepak.azad', '2012-04-23 01:03:30 EDT', 'deepakazad'), ('[extract method] Extract method refactoring does not add generic parameter on created method', '2012-04-23 01:03:30 EDT', 'deepakazad'), ('markus_keller', '2012-04-26 13:13:09 EDT', 'markus.kell.r'), ('[extract method] does not add generic type parameter on created method', '2012-04-26 13:13:09 EDT', 'markus.kell.r'), ('ASSIGNED', '2012-04-26 13:13:09 EDT', 'markus.kell.r'), ('fix candidate', '2012-04-26 13:13:19 EDT', 'markus.kell.r'), ('RESOLVED', '2014-03-03 22:55:29 EST', 'manju656'), ('manju_mathew', '2014-03-03 22:55:29 EST', 'manju656'), ('WORKSFORME', '2014-03-03 22:55:29 EST', 'manju656'), (nan, '2014-03-03 22:55:29 EST', 'manju656')]</t>
  </si>
  <si>
    <t>CLOSED  DUPLICATE  of bug 108152</t>
  </si>
  <si>
    <t>2017-04-14 09:22:36 EDT</t>
  </si>
  <si>
    <t>2012-04-29 06:44 EDT</t>
  </si>
  <si>
    <t>2012-04-29 06:44:33 EDT</t>
  </si>
  <si>
    <t>[('CREATED', '2012-04-29 06:44 EDT'), ('lukas.eder', '2012-04-29 06:44:33 EDT', 'lukas.eder'), ('3.7.2', '2012-04-29 06:44:33 EDT', 'lukas.eder'), ('helpwanted', '2012-05-04 12:37:27 EDT', 'markus.kell.r'), ('ASSIGNED', '2012-05-04 12:37:27 EDT', 'markus.kell.r'), ('markus_keller', '2012-05-04 12:37:27 EDT', 'markus.kell.r'), ('[refactor][inline] Inlining statically imported method does not correctly clean up static imports', '2012-05-04 12:37:27 EDT', 'markus.kell.r'), ('jan.opacki', '2012-07-22 15:51:13 EDT', 'jan.opacki'), ('daniel_megert', '2013-02-18 06:20:05 EST', 'daniel_megert'), ('review?(markus_keller)', '2013-02-18 06:20:05 EST', 'daniel_megert'), ('review-', '2013-04-25 11:11:30 EDT', 'markus.kell.r'), ('DUPLICATE', '2017-04-14 09:22:36 EDT', 'daniel_megert'), ('CLOSED', '2017-04-14 09:22:36 EDT', 'daniel_megert')]</t>
  </si>
  <si>
    <t>2020-06-05 17:46:11 EDT</t>
  </si>
  <si>
    <t>2020-06-10 03:34:27 EDT</t>
  </si>
  <si>
    <t>2012-05-07 14:35 EDT</t>
  </si>
  <si>
    <t>2012-05-07 14:35:56 EDT</t>
  </si>
  <si>
    <t>[('CREATED', '2012-05-07 14:35 EDT'), ('stephan', '2012-05-07 14:35:56 EDT', 'deepakazad'), ('daniel_megert', '2012-05-08 02:35:32 EDT', 'daniel_megert'), ('All', '2012-05-08 02:35:32 EDT', 'daniel_megert'), ('All', '2012-05-08 02:35:32 EDT', 'daniel_megert'), ('reprogrammer', '2012-05-13 23:38:53 EDT', 'reprogrammer'), ('ASSIGNED', '2012-05-16 10:06:57 EDT', 'markus.kell.r'), ('markus_keller', '2012-05-16 10:06:57 EDT', 'markus.kell.r'), ('fix candidate', '2012-05-16 10:06:57 EDT', 'markus.kell.r'), ('john_arthorne', '2012-08-21 13:38:40 EDT', 'john.arthorne'), ('wolfgang_baltes', '2012-09-05 17:58:28 EDT', 'wolfgang_baltes'), ('h.klene', '2013-02-16 19:37:40 EST', 'h.klene'), ('stephan.herrmann', '2013-04-24 10:53:03 EDT', 'daniel_megert'), ('jukefox', '2014-04-16 10:51:29 EDT', 'jukefox'), ('CLOSED', '2020-06-05 17:46:11 EDT', 'stephan.herrmann'), ('jdt-ui-inbox', '2020-06-05 17:46:11 EDT', 'stephan.herrmann'), ('WONTFIX', '2020-06-05 17:46:11 EDT', 'stephan.herrmann'), ('---', '2020-06-10 03:34:27 EDT', 'stephan.herrmann'), ('REOPENED', '2020-06-10 03:34:27 EDT', 'stephan.herrmann'), ('helpwanted', '2020-06-10 03:34:27 EDT', 'stephan.herrmann')]</t>
  </si>
  <si>
    <t>2012-05-10 11:24:57 EDT</t>
  </si>
  <si>
    <t>2012-05-10 06:29 EDT</t>
  </si>
  <si>
    <t>2012-05-10 06:35:39 EDT</t>
  </si>
  <si>
    <t>[('CREATED', '2012-05-10 06:29 EDT'), ('awinizki', '2012-05-10 06:35:39 EDT', 'awinizki'), ('ayushman_jain', '2012-05-10 08:14:29 EDT', 'amj87.iitr'), ('UI', '2012-05-10 08:14:29 EDT', 'amj87.iitr'), ('jdt-ui-inbox', '2012-05-10 08:14:29 EDT', 'amj87.iitr'), ('deepak.azad', '2012-05-10 08:18:20 EDT', 'deepakazad'), ('[introduce parameter] NullPointerException during refactor -&gt; introduce parameter', '2012-05-10 08:18:20 EDT', 'deepakazad'), ('RESOLVED', '2012-05-10 11:24:57 EDT', 'daniel_megert'), ('daniel_megert', '2012-05-10 11:24:57 EDT', 'daniel_megert'), ('FIXED', '2012-05-10 11:24:57 EDT', 'daniel_megert'), ('markus_keller', '2012-05-10 11:24:57 EDT', 'daniel_megert'), ('3.8 M7', '2012-05-10 11:24:57 EDT', 'daniel_megert')]</t>
  </si>
  <si>
    <t>67606</t>
  </si>
  <si>
    <t>2012-05-21 08:23:19 EDT</t>
  </si>
  <si>
    <t>2012-05-22 05:49:57 EDT</t>
  </si>
  <si>
    <t>2012-05-21 05:10 EDT</t>
  </si>
  <si>
    <t>2020-10-07 01:14:44 EDT</t>
  </si>
  <si>
    <t>[('CREATED', '2012-05-21 05:10 EDT'), ('Platform', '2012-05-21 08:23:19 EDT', 'daniel_megert'), ('CLOSED', '2012-05-21 08:23:19 EDT', 'daniel_megert'), ('daniel_megert', '2012-05-21 08:23:19 EDT', 'daniel_megert'), ('Resources', '2012-05-21 08:23:19 EDT', 'daniel_megert'), ('DUPLICATE', '2012-05-21 08:23:19 EDT', 'daniel_megert'), ('platform-resources-inbox', '2012-05-21 08:23:19 EDT', 'daniel_megert'), ('REOPENED', '2012-05-22 05:49:57 EDT', 'markus.kell.r'), ('UI', '2012-05-22 05:49:57 EDT', 'markus.kell.r'), ('markus_keller', '2012-05-22 05:49:57 EDT', 'markus.kell.r'), ('jdt-ui-inbox', '2012-05-22 05:49:57 EDT', 'markus.kell.r'), ('---', '2012-05-22 05:49:57 EDT', 'markus.kell.r'), ('67606', '2012-05-22 05:49:57 EDT', 'markus.kell.r'), ('[reorg] Copy mangles refactored text when encoding changes', '2012-05-22 05:49:57 EDT', 'markus.kell.r'), ('JDT', '2012-05-22 05:49:57 EDT', 'markus.kell.r'), ('ASSIGNED', '2012-05-22 05:50:05 EDT', 'markus.kell.r'), ('stalebug', '2020-10-07 01:14:44 EDT', 'genie')]</t>
  </si>
  <si>
    <t>2012-05-30 06:50 EDT</t>
  </si>
  <si>
    <t>2012-05-30 07:00:01 EDT</t>
  </si>
  <si>
    <t>2019-09-16 12:35:22 EDT</t>
  </si>
  <si>
    <t>[('CREATED', '2012-05-30 06:50 EDT'), ('needinfo', '2012-05-30 07:00:01 EDT', 'daniel_megert'), ('daniel_megert', '2012-05-30 07:00:01 EDT', 'daniel_megert'), ('[reorg] NPE when dragging method in outline view', '2012-05-30 07:00:01 EDT', 'daniel_megert'), ('ASSIGNED', '2012-05-30 10:35:51 EDT', 'markus.kell.r'), ('markus_keller', '2012-05-30 10:35:51 EDT', 'markus.kell.r'), ('stalebug', '2019-09-16 12:35:22 EDT', 'genie')]</t>
  </si>
  <si>
    <t>2012-06-01 19:20 EDT</t>
  </si>
  <si>
    <t>2012-06-06 11:05:50 EDT</t>
  </si>
  <si>
    <t>[('CREATED', '2012-06-01 19:20 EDT'), ('ASSIGNED', '2012-06-06 11:05:50 EDT', 'markus.kell.r'), ('markus_keller', '2012-06-06 11:05:50 EDT', 'markus.kell.r'), ('[change method signature] consider annotations in Change Method Signature refactoring', '2012-06-06 11:05:50 EDT', 'markus.kell.r')]</t>
  </si>
  <si>
    <t>2012-06-13 08:54:22 EDT</t>
  </si>
  <si>
    <t>2012-06-15 13:47:46 EDT</t>
  </si>
  <si>
    <t>2012-06-07 08:09 EDT</t>
  </si>
  <si>
    <t>[('CREATED', '2012-06-07 08:09 EDT'), ('markus_keller', '2012-06-13 08:54:22 EDT', 'markus.kell.r'), ('3.7.2', '2012-06-13 08:54:22 EDT', 'markus.kell.r'), ('WORKSFORME', '2012-06-13 08:54:22 EDT', 'markus.kell.r'), ('[quick fix] Quick Fix does not use specified code templates for getter and setter', '2012-06-13 08:54:22 EDT', 'markus.kell.r'), ('RESOLVED', '2012-06-13 08:54:22 EDT', 'markus.kell.r'), ('CLOSED', '2012-06-15 13:47:46 EDT', 'markus.kell.r'), ('DUPLICATE', '2012-06-15 13:47:46 EDT', 'markus.kell.r'), ("[encapsulate field] Encapsulate Field doesn't use code style settings for setter parameter name", '2012-06-15 13:47:46 EDT', 'markus.kell.r')]</t>
  </si>
  <si>
    <t>2012-06-17 18:24 EDT</t>
  </si>
  <si>
    <t>2012-06-18 06:45:47 EDT</t>
  </si>
  <si>
    <t>2019-12-29 05:17:35 EST</t>
  </si>
  <si>
    <t>[('CREATED', '2012-06-17 18:24 EDT'), ('daniel_megert', '2012-06-18 06:45:47 EDT', 'daniel_megert'), ('UI', '2012-06-18 06:45:47 EDT', 'daniel_megert'), ('jdt-ui-inbox', '2012-06-18 06:45:47 EDT', 'daniel_megert'), ('needinfo', '2012-06-19 07:42:54 EDT', 'markus.kell.r'), ('ASSIGNED', '2012-06-19 07:42:54 EDT', 'markus.kell.r'), ('markus_keller', '2012-06-19 07:42:54 EDT', 'markus.kell.r'), ('eclipse', '2015-08-03 20:08:11 EDT', 'eclipse'), ('stalebug', '2019-12-29 05:17:35 EST', 'genie')]</t>
  </si>
  <si>
    <t>CLOSED  DUPLICATE  of bug 320878</t>
  </si>
  <si>
    <t>2012-06-22 07:54:48 EDT</t>
  </si>
  <si>
    <t>2012-06-20 06:55 EDT</t>
  </si>
  <si>
    <t>2012-06-20 06:57:06 EDT</t>
  </si>
  <si>
    <t>[('CREATED', '2012-06-20 06:55 EDT'), ('Joerg.Thoennes', '2012-06-20 06:57:06 EDT', 'jtk499'), ('stephan', '2012-06-21 16:11:06 EDT', 'stephan.herrmann'), ('UI', '2012-06-21 16:11:06 EDT', 'stephan.herrmann'), ('jdt-ui-inbox', '2012-06-21 16:11:06 EDT', 'stephan.herrmann'), ('CLOSED', '2012-06-22 07:54:48 EDT', 'markus.kell.r'), ('markus_keller', '2012-06-22 07:54:48 EDT', 'markus.kell.r'), ('DUPLICATE', '2012-06-22 07:54:48 EDT', 'markus.kell.r')]</t>
  </si>
  <si>
    <t>2012-07-18 06:27:10 EDT</t>
  </si>
  <si>
    <t>2012-08-07 10:19:19 EDT</t>
  </si>
  <si>
    <t>2012-06-20 10:36 EDT</t>
  </si>
  <si>
    <t>2012-06-20 10:37:07 EDT</t>
  </si>
  <si>
    <t>[('CREATED', '2012-06-20 10:36 EDT'), ('markus_keller', '2012-06-20 10:37:07 EDT', 'markus.kell.r'), ('deepak.azad', '2012-06-20 10:37:07 EDT', 'markus.kell.r'), ('4.3 M1', '2012-06-20 10:37:07 EDT', 'markus.kell.r'), ('P2', '2012-06-20 10:37:07 EDT', 'markus.kell.r'), ('[quick assist] Issues in "Convert \'if-else\' to \'switch\'" on String, Enum, and boxed types', '2012-06-20 10:49:28 EDT', 'markus.kell.r'), ('RESOLVED', '2012-07-18 06:27:10 EDT', 'deepakazad'), ('pbenedict', '2012-07-18 06:27:10 EDT', 'deepakazad'), ('FIXED', '2012-07-18 06:27:10 EDT', 'deepakazad'), ('VERIFIED', '2012-08-07 10:19:19 EDT', 'daniel_megert'), ('daniel_megert', '2012-08-07 10:19:19 EDT', 'daniel_megert')]</t>
  </si>
  <si>
    <t>2012-06-25 14:29:16 EDT</t>
  </si>
  <si>
    <t>2012-06-22 18:52 EDT</t>
  </si>
  <si>
    <t>2012-06-22 19:00:34 EDT</t>
  </si>
  <si>
    <t>[('CREATED', '2012-06-22 18:52 EDT'), ('reprogrammer', '2012-06-22 19:00:34 EDT', 'reprogrammer'), ('4.3 M1', '2012-06-25 14:29:16 EDT', 'markus.kell.r'), ('RESOLVED', '2012-06-25 14:29:16 EDT', 'markus.kell.r'), ('markus_keller', '2012-06-25 14:29:16 EDT', 'markus.kell.r'), ('FIXED', '2012-06-25 14:29:16 EDT', 'markus.kell.r'), ('markus_keller', '2012-06-25 14:29:16 EDT', 'markus.kell.r')]</t>
  </si>
  <si>
    <t>2012-06-28 08:37 EDT</t>
  </si>
  <si>
    <t>2012-07-03 09:54:35 EDT</t>
  </si>
  <si>
    <t>2013-06-27 01:00:51 EDT</t>
  </si>
  <si>
    <t>[('CREATED', '2012-06-28 08:37 EDT'), ('Tomasz.Zarna', '2012-07-03 09:54:35 EDT', 'tomasz.zarna'), ('ayushman_jain', '2012-07-03 12:05:08 EDT', 'amj87.iitr'), ('UI', '2012-07-03 12:05:08 EDT', 'amj87.iitr'), ('jdt-ui-inbox', '2012-07-03 12:05:08 EDT', 'amj87.iitr'), ('deepak.azad', '2012-08-11 03:00:05 EDT', 'deepakazad'), ('manju_mathew', '2013-06-27 01:00:51 EDT', 'manju656'), ('All', '2013-06-27 01:00:51 EDT', 'manju656'), ('[quick fix] Moving a class via Quick Fix will not resolve imports correctly', '2013-06-27 01:00:51 EDT', 'manju656'), ('All', '2013-06-27 01:00:51 EDT', 'manju656'), ('enhancement', '2013-06-27 01:00:51 EDT', 'manju656'), ('ASSIGNED', '2013-06-27 01:00:51 EDT', 'manju656')]</t>
  </si>
  <si>
    <t>2012-06-28 08:40 EDT</t>
  </si>
  <si>
    <t>2012-07-03 09:57:31 EDT</t>
  </si>
  <si>
    <t>2013-06-27 01:23:26 EDT</t>
  </si>
  <si>
    <t>[('CREATED', '2012-06-28 08:40 EDT'), ('Tomasz.Zarna', '2012-07-03 09:57:31 EDT', 'tomasz.zarna'), ('ayushman_jain', '2012-07-03 12:05:34 EDT', 'amj87.iitr'), ('UI', '2012-07-03 12:05:34 EDT', 'amj87.iitr'), ('jdt-ui-inbox', '2012-07-03 12:05:34 EDT', 'amj87.iitr'), ('deepak.azad', '2012-08-11 03:01:27 EDT', 'deepakazad'), ('ASSIGNED', '2013-06-27 01:23:26 EDT', 'manju656'), ('manju_mathew', '2013-06-27 01:23:26 EDT', 'manju656'), ('[quick fix] Moving a class via Quick Fix will not refactor the imports anywhere', '2013-06-27 01:23:26 EDT', 'manju656'), ('enhancement', '2013-06-27 01:23:26 EDT', 'manju656')]</t>
  </si>
  <si>
    <t>CLOSED  DUPLICATE  of bug 112100</t>
  </si>
  <si>
    <t>2012-07-02 02:46:31 EDT</t>
  </si>
  <si>
    <t>2012-06-29 09:11 EDT</t>
  </si>
  <si>
    <t>2012-06-29 09:12:21 EDT</t>
  </si>
  <si>
    <t>[('CREATED', '2012-06-29 09:11 EDT'), ('3.5.2', '2012-06-29 09:12:21 EDT', 'cub1975'), ('DUPLICATE', '2012-07-02 02:46:31 EDT', 'daniel_megert'), ('[inline] Eclipse "inline method" refactoring fails to preserve synchronization for synchronized methods', '2012-07-02 02:46:31 EDT', 'daniel_megert'), ('All', '2012-07-02 02:46:31 EDT', 'daniel_megert'), ('CLOSED', '2012-07-02 02:46:31 EDT', 'daniel_megert'), ('daniel_megert', '2012-07-02 02:46:31 EDT', 'daniel_megert'), ('All', '2012-07-02 02:46:31 EDT', 'daniel_megert')]</t>
  </si>
  <si>
    <t>2020-05-02 08:32:58 EDT</t>
  </si>
  <si>
    <t>2012-07-10 08:20 EDT</t>
  </si>
  <si>
    <t>2012-07-17 03:57:51 EDT</t>
  </si>
  <si>
    <t>[('CREATED', '2012-07-10 08:20 EDT'), ('daniel_megert', '2012-07-17 03:57:51 EDT', 'daniel_megert'), ('WONTFIX', '2020-05-02 08:32:58 EDT', 'genie'), ('CLOSED', '2020-05-02 08:32:58 EDT', 'genie'), ('stalebug', '2020-05-02 08:32:58 EDT', 'genie')]</t>
  </si>
  <si>
    <t>2012-12-11 06:51:54 EST</t>
  </si>
  <si>
    <t>2012-07-11 03:56 EDT</t>
  </si>
  <si>
    <t>2012-12-11 06:39:02 EST</t>
  </si>
  <si>
    <t>[('CREATED', '2012-07-11 03:56 EDT'), ('szymon.ptaszkiewicz', '2012-12-11 06:39:02 EST', 'sptaszkiewicz'), ('UI', '2012-12-11 06:39:02 EST', 'sptaszkiewicz'), ('jdt-ui-inbox', '2012-12-11 06:39:02 EST', 'sptaszkiewicz'), ('JDT', '2012-12-11 06:39:02 EST', 'sptaszkiewicz'), ('RESOLVED', '2012-12-11 06:51:54 EST', 'daniel_megert'), ('daniel_megert', '2012-12-11 06:51:54 EST', 'daniel_megert'), ('WORKSFORME', '2012-12-11 06:51:54 EST', 'daniel_megert'), ('[ltk][JUnit] Deleting moved project hangs Eclipse', '2012-12-11 06:51:54 EST', 'daniel_megert')]</t>
  </si>
  <si>
    <t>394044 (view as bug list)</t>
  </si>
  <si>
    <t>382972 392307 399786 489451</t>
  </si>
  <si>
    <t>2020-02-17 18:20:18 EST</t>
  </si>
  <si>
    <t>2012-07-15 16:01 EDT</t>
  </si>
  <si>
    <t>2012-07-16 02:21:21 EDT</t>
  </si>
  <si>
    <t>[('CREATED', '2012-07-15 16:01 EDT'), ('lshanmug, Silenio_Quarti', '2012-07-16 02:21:21 EDT', 'arunkumar.thondapu'), ('markus_keller', '2012-10-31 07:10:40 EDT', 'markus.kell.r'), ('ASSIGNED', '2012-12-12 12:46:25 EST', 'markus.kell.r'), ('UI', '2012-12-12 12:46:25 EST', 'markus.kell.r'), ('392307', '2012-12-12 12:46:25 EST', 'markus.kell.r'), ('jdt-ui-inbox', '2012-12-12 12:46:25 EST', 'markus.kell.r'), ('JDT', '2012-12-12 12:46:25 EST', 'markus.kell.r'), ('eclipse', '2013-02-04 06:05:25 EST', 'markus.kell.r'), ('382972', '2013-02-04 06:06:11 EST', 'markus.kell.r'), ('399786', '2015-05-05 13:48:27 EDT', 'markus.kell.r'), ('488910', '2016-03-02 18:24:06 EST', 'sravankumarl'), ('488913', '2016-03-03 00:13:38 EST', 'sravankumarl'), ('489451', '2016-03-18 16:51:17 EDT', 'markus.kell.r'), ('ayub.malik', '2016-04-01 13:06:56 EDT', 'ayub.malik'), ('peter', '2017-10-19 02:10:07 EDT', 'peter'), ('stalebug', '2020-02-17 18:20:18 EST', 'genie'), ('WONTFIX', '2020-02-17 18:20:18 EST', 'genie'), ('CLOSED', '2020-02-17 18:20:18 EST', 'genie')]</t>
  </si>
  <si>
    <t>2013-11-06 04:16:19 EST</t>
  </si>
  <si>
    <t>2012-07-16 16:49 EDT</t>
  </si>
  <si>
    <t>2012-07-16 20:13:46 EDT</t>
  </si>
  <si>
    <t>[('CREATED', '2012-07-16 16:49 EDT'), ('srikanth_sankaran', '2012-07-16 20:13:46 EDT', 'srikanth_sankaran'), ('UI', '2012-07-16 20:13:46 EDT', 'srikanth_sankaran'), ('jdt-ui-inbox', '2012-07-16 20:13:46 EDT', 'srikanth_sankaran'), ('samrat.dhillon', '2013-10-25 13:18:28 EDT', 'samrat.dhillon'), ('samrat.dhillon', '2013-10-26 01:42:00 EDT', 'manju656'), ("[move member type] Moving a member interface to its own file adds the host's type parameters to it", '2013-10-26 01:42:00 EDT', 'manju656'), ('review?(manju_mathew)', '2013-10-26 01:42:00 EDT', 'manju656'), ('All', '2013-10-26 01:42:00 EDT', 'manju656'), ('ASSIGNED', '2013-10-26 01:42:00 EDT', 'manju656'), ('manju_mathew', '2013-10-26 01:42:00 EDT', 'manju656'), ('All', '2013-10-26 01:42:00 EDT', 'manju656'), ('RESOLVED', '2013-11-06 04:16:19 EST', 'manju656'), ('markus_keller', '2013-11-06 04:16:19 EST', 'manju656'), ('FIXED', '2013-11-06 04:16:19 EST', 'manju656'), ('4.4 M4', '2013-11-06 04:16:19 EST', 'manju656'), ('review+', '2013-11-06 04:16:19 EST', 'manju656')]</t>
  </si>
  <si>
    <t>2012-07-17 06:51 EDT</t>
  </si>
  <si>
    <t>2013-02-11 19:43:34 EST</t>
  </si>
  <si>
    <t>2018-12-04 12:02:12 EST</t>
  </si>
  <si>
    <t>[('CREATED', '2012-07-17 06:51 EDT'), ('Jesse.Weinstein', '2013-02-11 19:43:34 EST', 'Jesse.Weinstein'), ('ASSIGNED', '2013-02-12 02:35:48 EST', 'daniel_megert'), ('daniel_megert', '2013-02-12 02:35:48 EST', 'daniel_megert'), ("[extract local] Extract local variable treats method call qualified by 'this' differently from unqualified call", '2013-02-12 02:36:08 EST', 'daniel_megert'), ('nikolaymetchev', '2013-09-19 09:02:51 EDT', 'nikolaymetchev'), ('jarthana, noopur_gupta', '2013-09-20 04:32:25 EDT', 'daniel_megert'), ('review?(noopur_gupta)', '2013-09-20 04:32:25 EDT', 'daniel_megert'), ('review?(jarthana)', '2013-09-20 07:55:39 EDT', 'noopur_gupta'), ('1', '2013-09-20 08:48:20 EDT', 'nikolaymetchev'), ('1', '2013-09-20 08:48:42 EDT', 'nikolaymetchev'), ('1', '2013-09-23 06:33:07 EDT', 'nikolaymetchev'), ('1', '2013-09-23 06:33:30 EDT', 'nikolaymetchev'), ('markus_keller', '2013-09-24 08:33:07 EDT', 'markus.kell.r'), (nan, '2013-09-24 08:33:07 EDT', 'markus.kell.r'), (nan, '2014-04-10 14:00:37 EDT', 'markus.kell.r'), ('1', '2014-04-21 11:22:19 EDT', 'nikolaymetchev'), ('1', '2014-04-21 11:22:19 EDT', 'nikolaymetchev'), ('stalebug', '2018-12-04 12:02:12 EST', 'genie')]</t>
  </si>
  <si>
    <t>2012-08-03 12:22:51 EDT</t>
  </si>
  <si>
    <t>2012-07-19 16:28 EDT</t>
  </si>
  <si>
    <t>2012-07-19 18:01:36 EDT</t>
  </si>
  <si>
    <t>[('CREATED', '2012-07-19 16:28 EDT'), ('Core', '2012-07-19 18:01:36 EDT', 'eclipse'), ('jdt-core-inbox', '2012-07-19 18:01:36 EDT', 'eclipse'), ('UI', '2012-07-20 07:37:09 EDT', 'stephan.herrmann'), ('jdt-ui-inbox', '2012-07-20 07:37:09 EDT', 'stephan.herrmann'), ('---', '2012-07-20 07:37:09 EDT', 'stephan.herrmann'), ('stephan', '2012-07-20 07:37:09 EDT', 'stephan.herrmann'), ('RESOLVED', '2012-08-03 12:22:51 EDT', 'markus.kell.r'), ('markus_keller', '2012-08-03 12:22:51 EDT', 'markus.kell.r'), ('FIXED', '2012-08-03 12:22:51 EDT', 'markus.kell.r'), ('markus_keller', '2012-08-03 12:22:51 EDT', 'markus.kell.r'), ('4.3 M1', '2012-08-03 12:22:51 EDT', 'markus.kell.r'), ('[move method] Update reference to inherited field', '2012-08-03 12:22:51 EDT', 'markus.kell.r'), ('minor', '2012-08-03 12:22:51 EDT', 'markus.kell.r')]</t>
  </si>
  <si>
    <t>2012-08-03 11:09:25 EDT</t>
  </si>
  <si>
    <t>2012-07-25 17:33 EDT</t>
  </si>
  <si>
    <t>2012-07-26 02:04:43 EDT</t>
  </si>
  <si>
    <t>[('CREATED', '2012-07-25 17:33 EDT'), ('ASSIGNED', '2012-07-26 02:04:43 EDT', 'daniel_megert'), ('daniel_megert', '2012-07-26 02:04:43 EDT', 'daniel_megert'), ('All', '2012-07-26 02:04:43 EDT', 'daniel_megert'), ('---', '2012-07-26 02:04:43 EDT', 'daniel_megert'), ('[move method] Existing type used instead of qualifying the moved one', '2012-07-26 02:04:43 EDT', 'daniel_megert'), ('All', '2012-07-26 02:04:43 EDT', 'daniel_megert'), ('normal', '2012-07-26 02:04:43 EDT', 'daniel_megert'), ('RESOLVED', '2012-08-03 11:09:25 EDT', 'markus.kell.r'), ('markus_keller', '2012-08-03 11:09:25 EDT', 'markus.kell.r'), ('FIXED', '2012-08-03 11:09:25 EDT', 'markus.kell.r'), ('markus_keller', '2012-08-03 11:09:25 EDT', 'markus.kell.r'), ('4.3 M1', '2012-08-03 11:09:25 EDT', 'markus.kell.r')]</t>
  </si>
  <si>
    <t>2013-04-11 06:01:01 EDT</t>
  </si>
  <si>
    <t>2012-07-26 08:08:54 EDT</t>
  </si>
  <si>
    <t>2012-07-26 07:35 EDT</t>
  </si>
  <si>
    <t>2012-07-26 07:37:00 EDT</t>
  </si>
  <si>
    <t>[('CREATED', '2012-07-26 07:35 EDT'), ('martin.hanzalek', '2012-07-26 07:37:00 EDT', 'martin.hanzalek'), ('ayushman_jain', '2012-07-26 07:40:00 EDT', 'amj87.iitr'), ('UI', '2012-07-26 07:40:00 EDT', 'amj87.iitr'), ('jdt-ui-inbox', '2012-07-26 07:40:00 EDT', 'amj87.iitr'), ('CLOSED', '2012-07-26 08:08:54 EDT', 'deepakazad'), ('deepak.azad', '2012-07-26 08:08:54 EDT', 'deepakazad'), ('DUPLICATE', '2012-07-26 08:08:54 EDT', 'deepakazad'), ('[inline] Inline refactoring on boolean OR-expression results in wrong code', '2012-07-26 08:08:54 EDT', 'deepakazad'), ('daniel_megert', '2013-04-11 05:52:57 EDT', 'daniel_megert'), ('RESOLVED', '2013-04-11 06:01:01 EDT', 'daniel_megert'), ('WORKSFORME', '2013-04-11 06:01:01 EDT', 'daniel_megert')]</t>
  </si>
  <si>
    <t>2012-08-03 07:05:05 EDT</t>
  </si>
  <si>
    <t>2012-07-30 17:19 EDT</t>
  </si>
  <si>
    <t>[('CREATED', '2012-07-30 17:19 EDT'), ('4.3 M1', '2012-08-03 07:05:05 EDT', 'markus.kell.r'), ('[extract interface] Error with array initializer that uses auto-unboxing', '2012-08-03 07:05:05 EDT', 'markus.kell.r'), ('RESOLVED', '2012-08-03 07:05:05 EDT', 'markus.kell.r'), ('markus_keller', '2012-08-03 07:05:05 EDT', 'markus.kell.r'), ('FIXED', '2012-08-03 07:05:05 EDT', 'markus.kell.r'), ('markus_keller', '2012-08-03 07:05:05 EDT', 'markus.kell.r')]</t>
  </si>
  <si>
    <t>2012-08-02 02:28:19 EDT</t>
  </si>
  <si>
    <t>2012-08-07 12:54:49 EDT</t>
  </si>
  <si>
    <t>2012-08-01 20:00 EDT</t>
  </si>
  <si>
    <t>2020-10-27 12:00:07 EDT</t>
  </si>
  <si>
    <t>jpyeron</t>
  </si>
  <si>
    <t>[('CREATED', '2012-08-01 20:00 EDT'), ('CLOSED', '2012-08-02 02:28:19 EDT', 'daniel_megert'), ('daniel_megert', '2012-08-02 02:28:19 EDT', 'daniel_megert'), ('DUPLICATE', '2012-08-02 02:28:19 EDT', 'daniel_megert'), ('markus_keller', '2012-08-02 05:38:21 EDT', 'markus.kell.r'), ('davemccloskey', '2012-08-02 12:01:25 EDT', 'davemccloskey'), ('tparker', '2012-08-02 12:09:27 EDT', 'tparker'), ('eclipse.sprigogin', '2012-08-02 13:17:08 EDT', 'eclipse.sprigogin'), ('---', '2012-08-07 12:54:49 EDT', 'konigsberg'), ('REOPENED', '2012-08-07 12:54:49 EDT', 'konigsberg'), ('helpwanted', '2012-08-08 02:58:15 EDT', 'daniel_megert'), ('P5', '2012-08-08 02:58:15 EDT', 'daniel_megert'), ('ASSIGNED', '2012-08-08 02:58:15 EDT', 'daniel_megert'), ('All', '2012-08-08 02:58:15 EDT', 'daniel_megert'), ("[JUnit] JUnit view shows tests run in execution order, but that's not quite so useful for me (JDK7)", '2012-08-08 02:58:15 EDT', 'daniel_megert'), ('All', '2012-08-08 02:58:15 EDT', 'daniel_megert'), ('enhancement', '2012-08-08 02:58:15 EDT', 'daniel_megert'), ('mrts.pydev', '2015-01-11 14:19:13 EST', 'mrts.pydev'), ('joerg.hohwiller', '2016-02-22 10:49:24 EST', 'joerg.hohwiller'), ('gautier.desaintmartinlacaze', '2016-02-23 11:37:02 EST', 'gautier.desaintmartinlacaze'), ('mauromol', '2017-01-08 04:49:22 EST', 'mauromol'), ('kon', '2017-08-15 15:33:50 EDT', 'kon'), ('brandon.c.autrey', '2018-02-05 12:33:38 EST', 'brandon.c.autrey'), ('noopur_gupta', '2018-02-06 07:24:36 EST', 'noopur_gupta'), ('dh_tue', '2018-02-06 09:24:40 EST', 'dh_tue'), ('jpyeron', '2020-10-27 12:00:07 EDT', 'jpyeron')]</t>
  </si>
  <si>
    <t>2012-08-27 14:13:22 EDT</t>
  </si>
  <si>
    <t>2012-08-03 06:29:18 EDT</t>
  </si>
  <si>
    <t>2012-08-25 04:25:08 EDT</t>
  </si>
  <si>
    <t>2012-08-02 14:39 EDT</t>
  </si>
  <si>
    <t>2012-08-02 14:46:02 EDT</t>
  </si>
  <si>
    <t>[('CREATED', '2012-08-02 14:39 EDT'), ('ayushman_jain', '2012-08-02 14:46:02 EDT', 'amj87.iitr'), ('UI', '2012-08-02 14:46:02 EDT', 'amj87.iitr'), ('jdt-ui-inbox', '2012-08-02 14:46:02 EDT', 'amj87.iitr'), ('WORKSFORME', '2012-08-03 06:29:18 EDT', 'markus.kell.r'), ('[extract method] CCE in ExtractMethodRefactoring#createMethodBody(..)', '2012-08-03 06:29:18 EDT', 'markus.kell.r'), ('RESOLVED', '2012-08-03 06:29:18 EDT', 'markus.kell.r'), ('markus_keller', '2012-08-03 06:29:18 EDT', 'markus.kell.r'), ('REOPENED', '2012-08-25 04:25:08 EDT', 'h.klene'), ('---', '2012-08-25 04:25:08 EDT', 'h.klene'), ('RESOLVED', '2012-08-27 14:13:22 EDT', 'markus.kell.r'), ('FIXED', '2012-08-27 14:13:22 EDT', 'markus.kell.r'), ('markus_keller', '2012-08-27 14:13:22 EDT', 'markus.kell.r'), ('4.3 M2', '2012-08-27 14:13:22 EDT', 'markus.kell.r')]</t>
  </si>
  <si>
    <t>2012-08-10 19:42 EDT</t>
  </si>
  <si>
    <t>2012-08-14 12:51:09 EDT</t>
  </si>
  <si>
    <t>[('CREATED', '2012-08-10 19:42 EDT'), ('ASSIGNED', '2012-08-14 12:51:09 EDT', 'markus.kell.r'), ('markus_keller', '2012-08-14 12:51:09 EDT', 'markus.kell.r'), ('All', '2012-08-14 12:51:09 EDT', 'markus.kell.r'), ('[refactoring] Implement convert int to AtomicInteger', '2012-08-14 12:51:09 EDT', 'markus.kell.r'), ('All', '2012-08-14 12:51:09 EDT', 'markus.kell.r'), ('P4', '2012-08-14 12:51:09 EDT', 'markus.kell.r')]</t>
  </si>
  <si>
    <t>CLOSED  DUPLICATE  of bug 326832</t>
  </si>
  <si>
    <t>2012-08-21 23:39:39 EDT</t>
  </si>
  <si>
    <t>2012-08-21 04:42 EDT</t>
  </si>
  <si>
    <t>[('CREATED', '2012-08-21 04:42 EDT'), ('CLOSED', '2012-08-21 23:39:39 EDT', 'deepakazad'), ('deepakazad', '2012-08-21 23:39:39 EDT', 'deepakazad'), ('DUPLICATE', '2012-08-21 23:39:39 EDT', 'deepakazad'), ('[pull up] Pull up refactoring loses Javadoc when destination type is an interface', '2012-08-21 23:39:39 EDT', 'deepakazad')]</t>
  </si>
  <si>
    <t>2012-08-22 10:37 EDT</t>
  </si>
  <si>
    <t>2012-08-22 20:47:33 EDT</t>
  </si>
  <si>
    <t>2013-07-23 06:46:25 EDT</t>
  </si>
  <si>
    <t>[('CREATED', '2012-08-22 10:37 EDT'), ('srikanth_sankaran', '2012-08-22 20:47:33 EDT', 'srikanth_sankaran'), ('UI', '2012-08-22 20:47:33 EDT', 'srikanth_sankaran'), ('jdt-ui-inbox', '2012-08-22 20:47:33 EDT', 'srikanth_sankaran'), ('daniel_megert', '2012-08-23 07:26:08 EDT', 'daniel_megert'), ('Extract to ... creates compile error due to hidden type', '2012-08-23 07:26:08 EDT', 'daniel_megert'), ('normal', '2012-08-23 07:26:08 EDT', 'daniel_megert'), ('ASSIGNED', '2013-06-27 02:34:31 EDT', 'manju656'), ('manju_mathew', '2013-06-27 02:34:31 EDT', 'manju656'), ('enhancement', '2013-06-27 02:34:31 EDT', 'manju656'), ('normal', '2013-06-27 08:17:23 EDT', 'daniel_megert'), ('enhancement', '2013-07-23 06:46:25 EDT', 'manju656'), ('[quick fix] Extract to ... creates compile error due to hidden type', '2013-07-23 06:46:25 EDT', 'manju656')]</t>
  </si>
  <si>
    <t>2012-08-24 13:07 EDT</t>
  </si>
  <si>
    <t>2012-08-24 13:07:45 EDT</t>
  </si>
  <si>
    <t>2020-09-08 19:40:34 EDT</t>
  </si>
  <si>
    <t>[('CREATED', '2012-08-24 13:07 EDT'), ('martin.von.zweigbergk', '2012-08-24 13:07:45 EDT', 'martin.von.zweigbergk'), ('eclipse.sprigogin', '2012-08-24 13:11:44 EDT', 'eclipse.sprigogin'), ('UI', '2012-08-24 22:42:36 EDT', 'srikanth_sankaran'), ('jdt-ui-inbox', '2012-08-24 22:42:36 EDT', 'srikanth_sankaran'), ('srikanth_sankaran', '2012-08-24 22:42:36 EDT', 'srikanth_sankaran'), ('stephan', '2012-08-27 20:04:41 EDT', 'stephan.herrmann'), ('ASSIGNED', '2013-06-27 03:14:54 EDT', 'manju656'), ('manju_mathew', '2013-06-27 03:14:54 EDT', 'manju656'), ('All', '2013-06-27 03:14:54 EDT', 'manju656'), ('[extract method] Can not extract method following break/continue statement', '2013-06-27 03:14:54 EDT', 'manju656'), ('All', '2013-06-27 03:14:54 EDT', 'manju656'), ('mak1', '2015-03-16 03:45:50 EDT', 'mak1'), ('stalebug', '2020-09-05 14:26:48 EDT', 'genie'), ('jjohnstn', '2020-09-08 19:40:34 EDT', 'jjohnstn')]</t>
  </si>
  <si>
    <t>2012-10-19 05:23:26 EDT</t>
  </si>
  <si>
    <t>2012-10-19 05:12:25 EDT</t>
  </si>
  <si>
    <t>2012-08-27 02:44 EDT</t>
  </si>
  <si>
    <t>2012-10-18 02:28:08 EDT</t>
  </si>
  <si>
    <t>[('CREATED', '2012-08-27 02:44 EDT'), ('deepakazad', '2012-10-18 02:28:08 EDT', 'deepakazad'), ('[quick assist] invert if statement ignores operator precedence', '2012-10-18 02:28:08 EDT', 'deepakazad'), ('RESOLVED', '2012-10-18 03:14:47 EDT', 'deepakazad'), ('FIXED', '2012-10-18 03:14:47 EDT', 'deepakazad'), ('deepakazad', '2012-10-18 03:14:47 EDT', 'deepakazad'), ('4.3 M3', '2012-10-18 03:14:47 EDT', 'deepakazad'), ('daniel_megert', '2012-10-19 05:12:25 EDT', 'daniel_megert'), ('---', '2012-10-19 05:12:25 EDT', 'daniel_megert'), ('REOPENED', '2012-10-19 05:12:25 EDT', 'daniel_megert'), ('RESOLVED', '2012-10-19 05:23:26 EDT', 'deepakazad'), ('FIXED', '2012-10-19 05:23:26 EDT', 'deepakazad')]</t>
  </si>
  <si>
    <t>CLOSED  DUPLICATE  of bug 71627</t>
  </si>
  <si>
    <t>2012-10-09 14:15:31 EDT</t>
  </si>
  <si>
    <t>2012-09-28 08:59 EDT</t>
  </si>
  <si>
    <t>2012-09-28 08:59:23 EDT</t>
  </si>
  <si>
    <t>[('CREATED', '2012-09-28 08:59 EDT'), ('charbelgereige', '2012-09-28 08:59:23 EDT', 'charbelgereige'), ('srikanth_sankaran', '2012-09-28 09:02:34 EDT', 'srikanth_sankaran'), ('UI', '2012-09-28 09:02:34 EDT', 'srikanth_sankaran'), ('jdt-ui-inbox', '2012-09-28 09:02:34 EDT', 'srikanth_sankaran'), ('CLOSED', '2012-10-09 14:15:31 EDT', 'markus.kell.r'), ('markus_keller', '2012-10-09 14:15:31 EDT', 'markus.kell.r'), ('DUPLICATE', '2012-10-09 14:15:31 EDT', 'markus.kell.r')]</t>
  </si>
  <si>
    <t>2012-10-05 20:41 EDT</t>
  </si>
  <si>
    <t>2012-10-05 20:44:24 EDT</t>
  </si>
  <si>
    <t>2012-10-08 09:51:53 EDT</t>
  </si>
  <si>
    <t>[('CREATED', '2012-10-05 20:41 EDT'), ('Introduce move field to helper class refactoring', '2012-10-05 20:44:24 EDT', 'junk'), ('Introduce move private field to helper class refactoring', '2012-10-05 20:44:45 EDT', 'junk'), ('enhancement', '2012-10-05 21:44:17 EDT', 'stephan.herrmann'), ('stephan', '2012-10-05 21:44:17 EDT', 'stephan.herrmann'), ('UI', '2012-10-05 21:44:17 EDT', 'stephan.herrmann'), ('jdt-ui-inbox', '2012-10-05 21:44:17 EDT', 'stephan.herrmann'), ('ASSIGNED', '2012-10-08 09:51:53 EDT', 'markus.kell.r'), ('markus_keller', '2012-10-08 09:51:53 EDT', 'markus.kell.r'), ('All', '2012-10-08 09:51:53 EDT', 'markus.kell.r'), ('[refactoring] move private field to helper class', '2012-10-08 09:51:53 EDT', 'markus.kell.r'), ('All', '2012-10-08 09:51:53 EDT', 'markus.kell.r')]</t>
  </si>
  <si>
    <t>437398</t>
  </si>
  <si>
    <t>2014-06-13 09:59:32 EDT</t>
  </si>
  <si>
    <t>2012-10-09 02:15 EDT</t>
  </si>
  <si>
    <t>2012-10-09 10:13:04 EDT</t>
  </si>
  <si>
    <t>2014-06-13 13:03:59 EDT</t>
  </si>
  <si>
    <t>[('CREATED', '2012-10-09 02:15 EDT'), ('francisu', '2012-10-09 10:13:04 EDT', 'francisu'), ('daniel_megert', '2012-10-10 06:21:32 EDT', 'daniel_megert'), ('[ltk] Rename refactoring should give more control over new file name', '2012-10-10 06:30:31 EDT', 'daniel_megert'), ('UI', '2012-10-10 06:30:31 EDT', 'daniel_megert'), ('3.8', '2012-10-10 06:30:31 EDT', 'daniel_megert'), ('jdt-ui-inbox', '2012-10-10 06:30:31 EDT', 'daniel_megert'), ('JDT', '2012-10-10 06:30:31 EDT', 'daniel_megert'), ('bugday', '2013-02-12 02:33:09 EST', 'daniel_megert'), ('ASSIGNED', '2013-02-12 02:33:09 EST', 'daniel_megert'), ('enhancement', '2013-02-12 02:33:09 EST', 'daniel_megert'), ('jerome.cambon', '2014-04-07 11:49:26 EDT', 'jerome.cambon'), ('jerome.cambon', '2014-04-10 04:31:35 EDT', 'daniel_megert'), ('simon.vienot', '2014-04-10 06:49:28 EDT', 'simon.vienot'), ('markus_keller, noopur_gupta', '2014-05-29 07:38:22 EDT', 'noopur_gupta'), ('review?(noopur_gupta)', '2014-05-29 07:38:22 EDT', 'noopur_gupta'), ('4.5', '2014-05-29 08:21:50 EDT', 'noopur_gupta'), ('1', '2014-06-04 10:16:04 EDT', 'jerome.cambon'), ('review?', '2014-06-04 10:16:04 EDT', 'jerome.cambon'), ('1', '2014-06-05 06:29:18 EDT', 'jerome.cambon'), (nan, '2014-06-05 06:29:18 EDT', 'jerome.cambon'), ('review?', '2014-06-05 06:29:18 EDT', 'jerome.cambon'), (nan, '2014-06-06 06:31:46 EDT', 'jerome.cambon'), ('review?', '2014-06-06 06:31:46 EDT', 'jerome.cambon'), ('1', '2014-06-06 06:31:46 EDT', 'jerome.cambon'), ('1', '2014-06-06 06:32:08 EDT', 'jerome.cambon'), ('text/plain', '2014-06-06 06:32:08 EDT', 'jerome.cambon'), ('RESOLVED', '2014-06-13 09:59:32 EDT', 'noopur_gupta'), ('FIXED', '2014-06-13 09:59:32 EDT', 'noopur_gupta'), ('4.5 M1', '2014-06-13 09:59:32 EDT', 'noopur_gupta'), ('review+', '2014-06-13 09:59:32 EDT', 'noopur_gupta'), ('437398', '2014-06-13 13:03:59 EDT', 'markus.kell.r')]</t>
  </si>
  <si>
    <t>2012-10-11 15:05 EDT</t>
  </si>
  <si>
    <t>2013-01-28 08:40:17 EST</t>
  </si>
  <si>
    <t>[('CREATED', '2012-10-11 15:05 EDT'), ('[Rename type] Could use qualified type name to resolve name conflicts', '2013-01-28 08:40:17 EST', 'markus.kell.r'), ('All', '2013-01-28 08:40:17 EST', 'markus.kell.r'), ('ASSIGNED', '2013-01-28 08:40:17 EST', 'markus.kell.r'), ('markus_keller', '2013-01-28 08:40:17 EST', 'markus.kell.r'), ('All', '2013-01-28 08:40:17 EST', 'markus.kell.r')]</t>
  </si>
  <si>
    <t>2012-10-15 10:07:27 EDT</t>
  </si>
  <si>
    <t>2012-10-15 10:04 EDT</t>
  </si>
  <si>
    <t>2012-10-15 10:33:50 EDT</t>
  </si>
  <si>
    <t>[('CREATED', '2012-10-15 10:04 EDT'), ('RESOLVED', '2012-10-15 10:07:27 EDT', 'markus.kell.r'), ('markus_keller', '2012-10-15 10:07:27 EDT', 'markus.kell.r'), ('FIXED', '2012-10-15 10:07:27 EDT', 'markus.kell.r'), ('markus_keller', '2012-10-15 10:07:27 EDT', 'markus.kell.r'), ('4.3 M3', '2012-10-15 10:07:27 EDT', 'markus.kell.r'), ('daniel_megert, david_williams', '2012-10-15 10:33:50 EDT', 'markus.kell.r')]</t>
  </si>
  <si>
    <t>CLOSED  DUPLICATE  of bug 101419</t>
  </si>
  <si>
    <t>2019-12-28 11:55:44 EST</t>
  </si>
  <si>
    <t>2012-10-15 14:26 EDT</t>
  </si>
  <si>
    <t>2012-10-15 14:32:23 EDT</t>
  </si>
  <si>
    <t>[('CREATED', '2012-10-15 14:26 EDT'), ('Olivier_Thomann', '2012-10-15 14:32:23 EDT', 'Olivier_Thomann'), ('UI', '2012-10-15 14:32:23 EDT', 'Olivier_Thomann'), ('jdt-ui-inbox', '2012-10-15 14:32:23 EDT', 'Olivier_Thomann'), ('All', '2012-11-26 04:37:02 EST', 'markus.kell.r'), ('ASSIGNED', '2012-11-26 04:37:02 EST', 'markus.kell.r'), ('markus_keller', '2012-11-26 04:37:02 EST', 'markus.kell.r'), ('All', '2012-11-26 04:37:02 EST', 'markus.kell.r'), ('[introduce parameter] refactoring ignores code style settings', '2012-11-26 04:37:02 EST', 'markus.kell.r'), ('Jesse.Weinstein', '2013-02-11 19:43:23 EST', 'Jesse.Weinstein'), ('El_Lutzo', '2019-12-27 23:08:23 EST', 'El_Lutzo'), ('CLOSED', '2019-12-28 11:55:44 EST', 'daniel_megert'), ('daniel_megert', '2019-12-28 11:55:44 EST', 'daniel_megert'), ('DUPLICATE', '2019-12-28 11:55:44 EST', 'daniel_megert')]</t>
  </si>
  <si>
    <t>2013-02-12 02:55:53 EST</t>
  </si>
  <si>
    <t>2012-10-17 04:55 EDT</t>
  </si>
  <si>
    <t>[('CREATED', '2012-10-17 04:55 EDT'), ('RESOLVED', '2013-02-12 02:55:53 EST', 'daniel_megert'), ('daniel_megert', '2013-02-12 02:55:53 EST', 'daniel_megert'), ('WORKSFORME', '2013-02-12 02:55:53 EST', 'daniel_megert')]</t>
  </si>
  <si>
    <t>2012-10-25 14:47 EDT</t>
  </si>
  <si>
    <t>2012-10-26 10:28:34 EDT</t>
  </si>
  <si>
    <t>Michael_Rennie</t>
  </si>
  <si>
    <t>[('CREATED', '2012-10-25 14:47 EDT'), ('Michael_Rennie', '2012-10-26 10:28:34 EDT', 'Michael_Rennie'), ('UI', '2012-10-26 10:28:34 EDT', 'Michael_Rennie'), ('jdt-ui-inbox', '2012-10-26 10:28:34 EDT', 'Michael_Rennie')]</t>
  </si>
  <si>
    <t>2013-10-14 01:37:26 EDT</t>
  </si>
  <si>
    <t>2012-10-29 16:55 EDT</t>
  </si>
  <si>
    <t>2012-10-30 11:44:56 EDT</t>
  </si>
  <si>
    <t>2014-01-15 09:14:48 EST</t>
  </si>
  <si>
    <t>[('CREATED', '2012-10-29 16:55 EDT'), ('bugday', '2012-10-30 11:44:56 EDT', 'markus.kell.r'), ('ASSIGNED', '2012-10-30 11:44:56 EDT', 'markus.kell.r'), ('markus_keller', '2012-10-30 11:44:56 EDT', 'markus.kell.r'), ('samrat.dhillon', '2013-10-10 21:57:37 EDT', 'samrat.dhillon'), ('manju_mathew', '2013-10-11 01:43:12 EDT', 'manju656'), ('review?(manju_mathew)', '2013-10-11 01:43:12 EDT', 'manju656'), ('1', '2013-10-11 08:57:53 EDT', 'samrat.dhillon'), ('All', '2013-10-11 10:36:48 EDT', 'manju656'), ('samrat.dhillon', '2013-10-11 10:36:48 EDT', 'manju656'), ('All', '2013-10-11 10:36:48 EDT', 'manju656'), ('1', '2013-10-11 14:31:17 EDT', 'samrat.dhillon'), ('RESOLVED', '2013-10-14 01:37:26 EDT', 'manju656'), ('FIXED', '2013-10-14 01:37:26 EDT', 'manju656'), ('review+', '2013-10-14 01:37:26 EDT', 'manju656'), ('4.4 M3', '2013-10-24 00:14:01 EDT', 'manju656'), ('noopur_gupta', '2014-01-15 09:14:48 EST', 'noopur_gupta')]</t>
  </si>
  <si>
    <t>2020-03-22 06:51:13 EDT</t>
  </si>
  <si>
    <t>2012-11-02 13:23 EDT</t>
  </si>
  <si>
    <t>2012-12-14 06:36:14 EST</t>
  </si>
  <si>
    <t>[('CREATED', '2012-11-02 13:23 EDT'), ('manju_mathew', '2012-12-14 06:36:14 EST', 'manju656'), ('ASSIGNED', '2012-12-14 06:36:14 EST', 'manju656'), ('samrat.dhillon', '2013-11-14 19:07:36 EST', 'samrat.dhillon'), ('daniel_megert', '2013-11-18 12:50:06 EST', 'daniel_megert'), ('review?(manju_mathew)', '2013-11-18 12:50:06 EST', 'daniel_megert'), ('CLOSED', '2020-03-22 06:51:13 EDT', 'genie'), ('WONTFIX', '2020-03-22 06:51:13 EDT', 'genie'), ('stalebug', '2020-03-22 06:51:13 EDT', 'genie')]</t>
  </si>
  <si>
    <t>2012-11-04 23:48 EST</t>
  </si>
  <si>
    <t>2012-12-17 01:49:22 EST</t>
  </si>
  <si>
    <t>2021-01-02 04:02:18 EST</t>
  </si>
  <si>
    <t>[('CREATED', '2012-11-04 23:48 EST'), ('ASSIGNED', '2012-12-17 01:49:22 EST', 'manju656'), ('manju_mathew', '2012-12-17 01:49:22 EST', 'manju656'), ('stalebug', '2019-01-11 12:27:02 EST', 'genie'), ('All', '2019-01-12 12:12:54 EST', 'daniel_megert'), ('All', '2019-01-12 12:12:54 EST', 'daniel_megert'), ('daniel_megert', '2019-01-12 12:12:54 EST', 'daniel_megert'), (nan, '2019-01-12 12:12:54 EST', 'daniel_megert'), ('[use supertype] Invoking the refactoring on a class that extends a generic class yields to compile error', '2019-01-12 12:12:54 EST', 'daniel_megert'), ('stalebug', '2021-01-02 04:02:18 EST', 'genie')]</t>
  </si>
  <si>
    <t>CLOSED  DUPLICATE  of bug 171950</t>
  </si>
  <si>
    <t>2013-01-28 05:23:47 EST</t>
  </si>
  <si>
    <t>2012-11-05 16:14 EST</t>
  </si>
  <si>
    <t>2012-12-12 05:13:10 EST</t>
  </si>
  <si>
    <t>[('CREATED', '2012-11-05 16:14 EST'), ('manju_mathew', '2012-12-12 05:13:10 EST', 'manju656'), ('ASSIGNED', '2012-12-12 08:06:54 EST', 'daniel_megert'), ('daniel_megert', '2012-12-12 08:06:54 EST', 'daniel_megert'), ('CLOSED', '2013-01-28 05:23:47 EST', 'manju656'), ('DUPLICATE', '2013-01-28 05:23:47 EST', 'manju656')]</t>
  </si>
  <si>
    <t>2020-01-25 04:38:33 EST</t>
  </si>
  <si>
    <t>2012-11-06 16:37 EST</t>
  </si>
  <si>
    <t>2012-12-17 03:08:15 EST</t>
  </si>
  <si>
    <t>[('CREATED', '2012-11-06 16:37 EST'), ('ASSIGNED', '2012-12-17 03:08:15 EST', 'manju656'), ('manju_mathew', '2012-12-17 03:08:15 EST', 'manju656'), ('WONTFIX', '2020-01-25 04:38:33 EST', 'genie'), ('stalebug', '2020-01-25 04:38:33 EST', 'genie'), ('CLOSED', '2020-01-25 04:38:33 EST', 'genie')]</t>
  </si>
  <si>
    <t>2012-11-06 19:00 EST</t>
  </si>
  <si>
    <t>2012-11-09 10:57:34 EST</t>
  </si>
  <si>
    <t>2020-06-21 00:55:58 EDT</t>
  </si>
  <si>
    <t>[('CREATED', '2012-11-06 19:00 EST'), ('ASSIGNED', '2012-11-09 10:57:34 EST', 'markus.kell.r'), ('markus_keller', '2012-11-09 10:57:34 EST', 'markus.kell.r'), ('All', '2012-11-09 10:57:34 EST', 'markus.kell.r'), ('All', '2012-11-09 10:57:34 EST', 'markus.kell.r'), ('stalebug', '2020-06-21 00:55:58 EDT', 'genie')]</t>
  </si>
  <si>
    <t>2012-11-09 10:23:57 EST</t>
  </si>
  <si>
    <t>2012-11-07 23:12 EST</t>
  </si>
  <si>
    <t>[('CREATED', '2012-11-07 23:12 EST'), ('RESOLVED', '2012-11-09 10:23:57 EST', 'markus.kell.r'), ('markus_keller', '2012-11-09 10:23:57 EST', 'markus.kell.r'), ('FIXED', '2012-11-09 10:23:57 EST', 'markus.kell.r'), ('markus_keller', '2012-11-09 10:23:57 EST', 'markus.kell.r'), ('4.3 M4', '2012-11-09 10:23:57 EST', 'markus.kell.r')]</t>
  </si>
  <si>
    <t>2012-11-09 09:22:05 EST</t>
  </si>
  <si>
    <t>2012-11-08 17:14 EST</t>
  </si>
  <si>
    <t>[('CREATED', '2012-11-08 17:14 EST'), ('RESOLVED', '2012-11-09 09:22:05 EST', 'markus.kell.r'), ('markus_keller', '2012-11-09 09:22:05 EST', 'markus.kell.r'), ('FIXED', '2012-11-09 09:22:05 EST', 'markus.kell.r'), ('markus_keller', '2012-11-09 09:22:05 EST', 'markus.kell.r'), ('4.3 M4', '2012-11-09 09:22:05 EST', 'markus.kell.r')]</t>
  </si>
  <si>
    <t>2013-10-16 23:51:24 EDT</t>
  </si>
  <si>
    <t>2012-11-10 09:06 EST</t>
  </si>
  <si>
    <t>2012-12-17 03:20:25 EST</t>
  </si>
  <si>
    <t>2013-10-23 10:39:52 EDT</t>
  </si>
  <si>
    <t>[('CREATED', '2012-11-10 09:06 EST'), ('ASSIGNED', '2012-12-17 03:20:25 EST', 'manju656'), ('manju_mathew', '2012-12-17 03:20:25 EST', 'manju656'), ('samrat.dhillon', '2013-10-10 12:22:04 EDT', 'samrat.dhillon'), ('daniel_megert', '2013-10-11 05:09:30 EDT', 'daniel_megert'), ('review?(manju_mathew)', '2013-10-11 05:09:30 EDT', 'daniel_megert'), ('samrat.dhillon', '2013-10-16 07:02:39 EDT', 'manju656'), ('1', '2013-10-16 09:43:17 EDT', 'samrat.dhillon'), ('RESOLVED', '2013-10-16 23:51:24 EDT', 'manju656'), ('FIXED', '2013-10-16 23:51:24 EDT', 'manju656'), ('review+', '2013-10-16 23:51:24 EDT', 'manju656'), ('markus_keller', '2013-10-23 10:39:37 EDT', 'markus.kell.r'), ('2.0 M1', '2013-10-23 10:39:37 EDT', 'markus.kell.r'), ('4.4 M3', '2013-10-23 10:39:52 EDT', 'markus.kell.r')]</t>
  </si>
  <si>
    <t>2012-11-10 09:22 EST</t>
  </si>
  <si>
    <t>2012-12-14 06:41:01 EST</t>
  </si>
  <si>
    <t>2020-01-07 15:18:47 EST</t>
  </si>
  <si>
    <t>[('CREATED', '2012-11-10 09:22 EST'), ('ASSIGNED', '2012-12-14 06:41:01 EST', 'manju656'), ('manju_mathew', '2012-12-14 06:41:01 EST', 'manju656'), ('stalebug', '2020-01-06 13:23:50 EST', 'genie'), ('kenneth', '2020-01-07 14:46:46 EST', 'kenneth'), ('kenneth', '2020-01-07 14:46:46 EST', 'kenneth'), ('jdt-ui-inbox', '2020-01-07 15:18:47 EST', 'kenneth')]</t>
  </si>
  <si>
    <t>2012-11-10 09:29 EST</t>
  </si>
  <si>
    <t>2012-11-10 09:39:28 EST</t>
  </si>
  <si>
    <t>2019-07-06 12:01:00 EDT</t>
  </si>
  <si>
    <t>[('CREATED', '2012-11-10 09:29 EST'), ('[encapsulate field] Encapsulating constant assigned to smaller type yields to compilation error', '2012-11-10 09:39:28 EST', 'milos.gligoric'), ('manju_mathew', '2012-12-12 04:44:26 EST', 'manju656'), ('ASSIGNED', '2012-12-12 04:50:14 EST', 'daniel_megert'), ('daniel_megert', '2012-12-12 04:50:14 EST', 'daniel_megert'), ('stalebug', '2019-07-06 12:01:00 EDT', 'genie')]</t>
  </si>
  <si>
    <t>2020-03-13 10:24:08 EDT</t>
  </si>
  <si>
    <t>2012-11-10 11:57 EST</t>
  </si>
  <si>
    <t>2012-12-14 06:44:31 EST</t>
  </si>
  <si>
    <t>[('CREATED', '2012-11-10 11:57 EST'), ('ASSIGNED', '2012-12-14 06:44:31 EST', 'manju656'), ('manju_mathew', '2012-12-14 06:44:31 EST', 'manju656'), ('WONTFIX', '2020-03-13 10:24:08 EDT', 'genie'), ('CLOSED', '2020-03-13 10:24:08 EDT', 'genie'), ('stalebug', '2020-03-13 10:24:08 EDT', 'genie')]</t>
  </si>
  <si>
    <t>2012-12-14 11:54:30 EST</t>
  </si>
  <si>
    <t>2012-11-10 12:03 EST</t>
  </si>
  <si>
    <t>2012-12-14 06:07:02 EST</t>
  </si>
  <si>
    <t>[('CREATED', '2012-11-10 12:03 EST'), ('manju_mathew', '2012-12-14 06:07:02 EST', 'manju656'), ('RESOLVED', '2012-12-14 11:54:30 EST', 'daniel_megert'), ('daniel_megert', '2012-12-14 11:54:30 EST', 'daniel_megert'), ('FIXED', '2012-12-14 11:54:30 EST', 'daniel_megert')]</t>
  </si>
  <si>
    <t>2012-11-10 12:09 EST</t>
  </si>
  <si>
    <t>2012-12-14 06:46:43 EST</t>
  </si>
  <si>
    <t>2019-12-01 11:41:06 EST</t>
  </si>
  <si>
    <t>[('CREATED', '2012-11-10 12:09 EST'), ('ASSIGNED', '2012-12-14 06:46:43 EST', 'manju656'), ('manju_mathew', '2012-12-14 06:46:43 EST', 'manju656'), ('stalebug', '2019-12-01 11:41:06 EST', 'genie')]</t>
  </si>
  <si>
    <t>2013-02-21 08:38:01 EST</t>
  </si>
  <si>
    <t>2012-11-18 03:03 EST</t>
  </si>
  <si>
    <t>2012-12-14 02:30:23 EST</t>
  </si>
  <si>
    <t>[('CREATED', '2012-11-18 03:03 EST'), ('manju_mathew', '2012-12-14 02:30:23 EST', 'manju656'), ('ASSIGNED', '2012-12-14 02:30:23 EST', 'manju656'), ('noopur_gupta', '2013-02-21 00:56:12 EST', 'noopur_gupta'), ('noopur_gupta', '2013-02-21 00:56:12 EST', 'noopur_gupta'), ('review?(daniel_megert)', '2013-02-21 01:15:59 EST', 'noopur_gupta'), ('daniel_megert', '2013-02-21 01:16:39 EST', 'noopur_gupta'), ('RESOLVED', '2013-02-21 08:38:01 EST', 'daniel_megert'), ('FIXED', '2013-02-21 08:38:01 EST', 'daniel_megert'), ('4.3 M6', '2013-02-21 08:38:01 EST', 'daniel_megert'), ('review+', '2013-02-21 08:38:01 EST', 'daniel_megert')]</t>
  </si>
  <si>
    <t>2020-02-10 11:45:25 EST</t>
  </si>
  <si>
    <t>2012-11-18 03:12 EST</t>
  </si>
  <si>
    <t>2012-12-12 03:10:30 EST</t>
  </si>
  <si>
    <t>[('CREATED', '2012-11-18 03:12 EST'), ('manju_mathew', '2012-12-12 03:10:30 EST', 'manju656'), ('ASSIGNED', '2012-12-12 03:33:14 EST', 'daniel_megert'), ('daniel_megert', '2012-12-12 03:33:14 EST', 'daniel_megert'), ('nikolaymetchev', '2014-01-22 11:56:34 EST', 'nikolaymetchev'), ('noopur_gupta', '2014-01-23 05:09:30 EST', 'daniel_megert'), ('review?(noopur_gupta)', '2014-01-23 05:09:30 EST', 'daniel_megert'), ('1', '2014-04-02 10:22:10 EDT', 'noopur_gupta'), ('review-', '2014-04-02 10:22:29 EDT', 'noopur_gupta'), ('WONTFIX', '2020-02-10 11:45:25 EST', 'genie'), ('stalebug', '2020-02-10 11:45:25 EST', 'genie'), ('CLOSED', '2020-02-10 11:45:25 EST', 'genie')]</t>
  </si>
  <si>
    <t>2013-08-12 02:26:34 EDT</t>
  </si>
  <si>
    <t>2012-11-18 22:05 EST</t>
  </si>
  <si>
    <t>2012-12-17 03:34:43 EST</t>
  </si>
  <si>
    <t>[('CREATED', '2012-11-18 22:05 EST'), ('ASSIGNED', '2012-12-17 03:34:43 EST', 'manju656'), ('manju_mathew', '2012-12-17 03:34:43 EST', 'manju656'), ('nikolaymetchev', '2013-08-02 05:55:07 EDT', 'nikolaymetchev'), ('daniel_megert, noopur_gupta', '2013-08-02 06:49:45 EDT', 'daniel_megert'), ('review?(noopur_gupta)', '2013-08-02 06:49:45 EDT', 'daniel_megert'), ('1', '2013-08-06 08:14:11 EDT', 'noopur_gupta'), ('1', '2013-08-07 10:04:49 EDT', 'nikolaymetchev'), ('RESOLVED', '2013-08-12 02:26:34 EDT', 'noopur_gupta'), ('All', '2013-08-12 02:26:34 EDT', 'noopur_gupta'), ('FIXED', '2013-08-12 02:26:34 EDT', 'noopur_gupta'), ('nikolaymetchev', '2013-08-12 02:26:34 EDT', 'noopur_gupta'), ('4.4 M2', '2013-08-12 02:26:34 EDT', 'noopur_gupta'), ('review+', '2013-08-12 02:26:34 EDT', 'noopur_gupta'), ('All', '2013-08-12 02:26:34 EDT', 'noopur_gupta')]</t>
  </si>
  <si>
    <t>2013-10-08 03:14:02 EDT</t>
  </si>
  <si>
    <t>2012-11-18 22:12 EST</t>
  </si>
  <si>
    <t>2012-12-17 23:26:41 EST</t>
  </si>
  <si>
    <t>2013-10-24 00:15:30 EDT</t>
  </si>
  <si>
    <t>[('CREATED', '2012-11-18 22:12 EST'), ('ASSIGNED', '2012-12-17 23:26:41 EST', 'manju656'), ('manju_mathew', '2012-12-17 23:26:41 EST', 'manju656'), ('samrat.dhillon', '2013-10-08 03:14:02 EDT', 'manju656'), ('RESOLVED', '2013-10-08 03:14:02 EDT', 'manju656'), ('FIXED', '2013-10-08 03:14:02 EDT', 'manju656'), ('All', '2013-10-24 00:15:30 EDT', 'manju656'), ('4.4 M3', '2013-10-24 00:15:30 EDT', 'manju656'), ('All', '2013-10-24 00:15:30 EDT', 'manju656')]</t>
  </si>
  <si>
    <t>2012-11-18 22:19 EST</t>
  </si>
  <si>
    <t>2012-12-14 05:18:35 EST</t>
  </si>
  <si>
    <t>2018-10-02 01:26:35 EDT</t>
  </si>
  <si>
    <t>[('CREATED', '2012-11-18 22:19 EST'), ('ASSIGNED', '2012-12-14 05:18:35 EST', 'manju656'), ('manju_mathew', '2012-12-14 05:18:35 EST', 'manju656'), ('nikolaymetchev', '2013-10-09 11:23:08 EDT', 'nikolaymetchev'), ('stalebug', '2018-10-02 01:26:35 EDT', 'genie')]</t>
  </si>
  <si>
    <t>CLOSED  DUPLICATE  of bug 396524</t>
  </si>
  <si>
    <t>2014-05-18 19:43:29 EDT</t>
  </si>
  <si>
    <t>2012-11-18 23:41 EST</t>
  </si>
  <si>
    <t>2012-12-14 02:13:11 EST</t>
  </si>
  <si>
    <t>[('CREATED', '2012-11-18 23:41 EST'), ('ASSIGNED', '2012-12-14 02:13:11 EST', 'manju656'), ('manju_mathew', '2012-12-14 02:13:11 EST', 'manju656'), ('[refactoring] Extract interface and Pull Up introduce duplicate @Override annotation', '2014-03-27 21:42:44 EDT', 'manju656'), ('nikolaymetchev', '2014-05-16 05:58:08 EDT', 'nikolaymetchev'), ('CLOSED', '2014-05-18 19:43:29 EDT', 'manju656'), ('DUPLICATE', '2014-05-18 19:43:29 EDT', 'manju656')]</t>
  </si>
  <si>
    <t>CLOSED  DUPLICATE  of bug 82149</t>
  </si>
  <si>
    <t>2012-11-26 04:45:09 EST</t>
  </si>
  <si>
    <t>2012-11-19 11:08 EST</t>
  </si>
  <si>
    <t>2012-11-19 11:09:23 EST</t>
  </si>
  <si>
    <t>[('CREATED', '2012-11-19 11:08 EST'), ('[introduce parameter] Introduce parameter on method invocation (Expression Statement) yields compilation error', '2012-11-19 11:09:23 EST', 'milos.gligoric'), ('DUPLICATE', '2012-11-26 04:45:09 EST', 'markus.kell.r'), ('CLOSED', '2012-11-26 04:45:09 EST', 'markus.kell.r'), ('markus_keller', '2012-11-26 04:45:09 EST', 'markus.kell.r')]</t>
  </si>
  <si>
    <t>2015-03-30 11:14:16 EDT</t>
  </si>
  <si>
    <t>2012-11-20 19:15 EST</t>
  </si>
  <si>
    <t>2012-12-05 03:41:29 EST</t>
  </si>
  <si>
    <t>[('CREATED', '2012-11-20 19:15 EST'), ('manju_mathew', '2012-12-05 03:41:29 EST', 'manju656'), ('ASSIGNED', '2012-12-05 04:33:29 EST', 'daniel_megert'), ('daniel_megert', '2012-12-05 04:33:29 EST', 'daniel_megert'), ('nikolaymetchev', '2013-10-04 11:12:05 EDT', 'nikolaymetchev'), ('noopur_gupta', '2014-12-08 01:49:41 EST', 'noopur_gupta'), ('All', '2014-12-08 01:49:41 EST', 'noopur_gupta'), ('All', '2014-12-08 01:49:41 EST', 'noopur_gupta'), ('1', '2014-12-22 12:04:41 EST', 'nikolaymetchev'), ('review?(noopur_gupta)', '2015-01-06 04:08:33 EST', 'noopur_gupta'), ('RESOLVED', '2015-03-30 11:14:16 EDT', 'noopur_gupta'), ('https://bugs.eclipse.org/bugs/show_bug.cgi?id=463477', '2015-03-30 11:14:16 EDT', 'noopur_gupta'), ('FIXED', '2015-03-30 11:14:16 EDT', 'noopur_gupta'), ('nikolaymetchev', '2015-03-30 11:14:16 EDT', 'noopur_gupta'), ('4.5 M7', '2015-03-30 11:14:16 EDT', 'noopur_gupta'), ('review+', '2015-03-30 11:14:16 EDT', 'noopur_gupta')]</t>
  </si>
  <si>
    <t>288925 (view as bug list)</t>
  </si>
  <si>
    <t>2012-11-20 19:28 EST</t>
  </si>
  <si>
    <t>2019-09-12 17:36:43 EDT</t>
  </si>
  <si>
    <t>[('CREATED', '2012-11-20 19:28 EST'), ('js102', '2012-11-21 21:10:46 EST', 'deepakazad'), ('ASSIGNED', '2012-12-17 23:42:58 EST', 'manju656'), ('manju_mathew', '2012-12-17 23:42:58 EST', 'manju656'), ('stalebug', '2019-09-12 17:36:43 EDT', 'genie')]</t>
  </si>
  <si>
    <t>2012-11-20 19:39 EST</t>
  </si>
  <si>
    <t>2012-12-17 23:30:13 EST</t>
  </si>
  <si>
    <t>2019-11-08 20:11:02 EST</t>
  </si>
  <si>
    <t>[('CREATED', '2012-11-20 19:39 EST'), ('ASSIGNED', '2012-12-17 23:30:13 EST', 'manju656'), ('manju_mathew', '2012-12-17 23:30:13 EST', 'manju656'), ('samrat.dhillon', '2013-11-25 20:51:11 EST', 'samrat.dhillon'), ('stalebug', '2019-11-08 20:11:02 EST', 'genie')]</t>
  </si>
  <si>
    <t>2012-11-20 20:01 EST</t>
  </si>
  <si>
    <t>2012-12-17 23:37:13 EST</t>
  </si>
  <si>
    <t>2019-05-07 05:52:06 EDT</t>
  </si>
  <si>
    <t>[('CREATED', '2012-11-20 20:01 EST'), ('ASSIGNED', '2012-12-17 23:37:13 EST', 'manju656'), ('manju_mathew', '2012-12-17 23:37:13 EST', 'manju656'), ('stalebug', '2019-05-06 14:19:11 EDT', 'genie'), ('daniel_megert', '2019-05-07 05:52:06 EDT', 'daniel_megert'), (nan, '2019-05-07 05:52:06 EDT', 'daniel_megert')]</t>
  </si>
  <si>
    <t>2019-08-27 16:20:45 EDT</t>
  </si>
  <si>
    <t>2019-08-21 11:27:41 EDT</t>
  </si>
  <si>
    <t>2019-08-26 02:48:18 EDT</t>
  </si>
  <si>
    <t>2012-11-20 20:45 EST</t>
  </si>
  <si>
    <t>2012-12-14 01:15:19 EST</t>
  </si>
  <si>
    <t>[('CREATED', '2012-11-20 20:45 EST'), ('manju_mathew', '2012-12-14 01:15:19 EST', 'manju656'), ('ASSIGNED', '2012-12-17 01:08:25 EST', 'manju656'), ('stalebug', '2019-05-23 11:14:30 EDT', 'genie'), (nan, '2019-05-30 05:57:12 EDT', 'daniel_megert'), ('daniel_megert', '2019-05-30 05:57:12 EDT', 'daniel_megert'), ("[pull up] Pull up on 'c'' introduces type mismatch", '2019-05-30 05:57:12 EDT', 'daniel_megert'), ('https://git.eclipse.org/r/146887', '2019-07-31 17:00:00 EDT', 'genie'), ('kenneth', '2019-08-08 14:46:23 EDT', 'rgrunber'), ('rgrunber', '2019-08-08 14:46:23 EDT', 'rgrunber'), ('4.13 M3', '2019-08-08 14:46:23 EDT', 'rgrunber'), ('rgrunber', '2019-08-08 14:46:23 EDT', 'rgrunber'), ('https://git.eclipse.org/c/jdt/eclipse.jdt.ui.git/commit/?id=8b84a4c48349c1da3841a4b478b8b7d64df89d57', '2019-08-12 10:09:34 EDT', 'genie'), ('RESOLVED', '2019-08-12 10:10:09 EDT', 'rgrunber'), ('FIXED', '2019-08-12 10:10:09 EDT', 'rgrunber'), ('VERIFIED', '2019-08-21 11:27:41 EDT', 'rgrunber'), ('noopur_gupta, stephan.herrmann', '2019-08-25 14:12:26 EDT', 'stephan.herrmann'), ('https://git.eclipse.org/r/148309', '2019-08-25 18:19:30 EDT', 'genie'), ('4.13 RC1', '2019-08-26 02:48:18 EDT', 'noopur_gupta'), ('REOPENED', '2019-08-26 02:48:18 EDT', 'noopur_gupta'), ('---', '2019-08-26 02:48:18 EDT', 'noopur_gupta'), ('pmc_approved?(daniel_megert), review?(rgrunber)', '2019-08-27 11:35:20 EDT', 'noopur_gupta'), ('review+', '2019-08-27 11:46:06 EDT', 'noopur_gupta'), ('https://git.eclipse.org/c/jdt/eclipse.jdt.ui.git/commit/?id=4e7be8c78f198f1e1115c56916533300ab9b81e6', '2019-08-27 16:20:19 EDT', 'genie'), ('RESOLVED', '2019-08-27 16:20:45 EDT', 'rgrunber'), ('FIXED', '2019-08-27 16:20:45 EDT', 'rgrunber'), ('review+', '2019-08-27 16:20:45 EDT', 'rgrunber')]</t>
  </si>
  <si>
    <t>2020-07-31 10:43:15 EDT</t>
  </si>
  <si>
    <t>2020-08-19 14:11:55 EDT</t>
  </si>
  <si>
    <t>2012-11-20 21:07 EST</t>
  </si>
  <si>
    <t>2012-12-17 23:56:37 EST</t>
  </si>
  <si>
    <t>[('CREATED', '2012-11-20 21:07 EST'), ('ASSIGNED', '2012-12-17 23:56:37 EST', 'manju656'), ('manju_mathew', '2012-12-17 23:56:37 EST', 'manju656'), ('stalebug', '2020-06-05 15:25:20 EDT', 'genie'), ('https://git.eclipse.org/r/c/jdt/eclipse.jdt.ui/+/166360', '2020-07-15 15:18:02 EDT', 'genie'), ('4.17 M3', '2020-07-15 17:55:54 EDT', 'kenneth'), ('kenneth', '2020-07-15 17:55:54 EDT', 'kenneth'), ('kenneth', '2020-07-15 17:55:54 EDT', 'kenneth'), (nan, '2020-07-15 17:55:54 EDT', 'kenneth'), ('rgrunber', '2020-07-21 12:03:13 EDT', 'rgrunber'), ('rgrunber', '2020-07-21 12:03:13 EDT', 'rgrunber'), ('Lars.Vogel', '2020-07-21 14:40:32 EDT', 'Lars.Vogel'), ('https://git.eclipse.org/c/jdt/eclipse.jdt.ui.git/commit/?id=c67a9266871bc70afd7c923180da5e67797a91f2', '2020-07-23 10:19:34 EDT', 'genie'), ('RESOLVED', '2020-07-31 10:43:15 EDT', 'rgrunber'), ('FIXED', '2020-07-31 10:43:15 EDT', 'rgrunber'), ('VERIFIED', '2020-08-19 14:11:55 EDT', 'rgrunber')]</t>
  </si>
  <si>
    <t>2012-11-23 09:24:40 EST</t>
  </si>
  <si>
    <t>2012-11-22 20:16 EST</t>
  </si>
  <si>
    <t>2012-11-23 05:28:23 EST</t>
  </si>
  <si>
    <t>[('CREATED', '2012-11-22 20:16 EST'), ('ASSIGNED', '2012-11-23 05:28:23 EST', 'daniel_megert'), ('daniel_megert', '2012-11-23 05:28:23 EST', 'daniel_megert'), ('All', '2012-11-23 05:28:23 EST', 'daniel_megert'), ('All', '2012-11-23 05:28:23 EST', 'daniel_megert'), ('RESOLVED', '2012-11-23 09:24:40 EST', 'markus.kell.r'), ('markus_keller', '2012-11-23 09:24:40 EST', 'markus.kell.r'), ('FIXED', '2012-11-23 09:24:40 EST', 'markus.kell.r'), ('markus_keller', '2012-11-23 09:24:40 EST', 'markus.kell.r'), ('4.3 M4', '2012-11-23 09:24:40 EST', 'markus.kell.r'), ('[infer type arguments] AssertionFailedException when there is only an array field', '2012-11-23 09:24:40 EST', 'markus.kell.r')]</t>
  </si>
  <si>
    <t>2013-11-21 08:42:04 EST</t>
  </si>
  <si>
    <t>2013-11-08 07:14:43 EST</t>
  </si>
  <si>
    <t>2012-11-25 01:32 EST</t>
  </si>
  <si>
    <t>2013-01-16 01:36:37 EST</t>
  </si>
  <si>
    <t>[('CREATED', '2012-11-25 01:32 EST'), ('ASSIGNED', '2013-01-16 01:36:37 EST', 'manju656'), ('manju_mathew', '2013-01-16 01:36:37 EST', 'manju656'), ('All', '2013-01-17 10:39:19 EST', 'markus.kell.r'), ('minor', '2013-01-17 10:39:19 EST', 'markus.kell.r'), ('markus_keller', '2013-01-17 10:39:19 EST', 'markus.kell.r'), ('All', '2013-01-17 10:39:19 EST', 'markus.kell.r'), ('samrat.dhillon', '2013-10-23 10:52:19 EDT', 'samrat.dhillon'), ('review?(manju_mathew)', '2013-11-05 00:17:23 EST', 'manju656'), ('RESOLVED', '2013-11-08 02:38:45 EST', 'manju656'), ('FIXED', '2013-11-08 02:38:45 EST', 'manju656'), ('samrat.dhillon', '2013-11-08 02:38:45 EST', 'manju656'), ('4.4 M4', '2013-11-08 02:38:45 EST', 'manju656'), ('review+', '2013-11-08 02:38:45 EST', 'manju656'), ('REOPENED', '2013-11-08 07:14:43 EST', 'markus.kell.r'), ('---', '2013-11-08 07:14:43 EST', 'markus.kell.r'), ('RESOLVED', '2013-11-21 08:42:04 EST', 'markus.kell.r'), ('FIXED', '2013-11-21 08:42:04 EST', 'markus.kell.r')]</t>
  </si>
  <si>
    <t>2012-11-25 09:40 EST</t>
  </si>
  <si>
    <t>2013-01-23 23:51:40 EST</t>
  </si>
  <si>
    <t>2019-04-25 08:48:12 EDT</t>
  </si>
  <si>
    <t>[('CREATED', '2012-11-25 09:40 EST'), ('ASSIGNED', '2013-01-23 23:51:40 EST', 'manju656'), ('manju_mathew', '2013-01-23 23:51:40 EST', 'manju656'), ('stalebug', '2019-04-24 16:44:33 EDT', 'genie'), (nan, '2019-04-25 08:48:12 EDT', 'daniel_megert'), ('daniel_megert', '2019-04-25 08:48:12 EDT', 'daniel_megert')]</t>
  </si>
  <si>
    <t>2020-01-23 15:43:17 EST</t>
  </si>
  <si>
    <t>2012-11-25 09:51 EST</t>
  </si>
  <si>
    <t>2013-01-16 02:23:59 EST</t>
  </si>
  <si>
    <t>[('CREATED', '2012-11-25 09:51 EST'), ('ASSIGNED', '2013-01-16 02:23:59 EST', 'manju656'), ('manju_mathew', '2013-01-16 02:23:59 EST', 'manju656'), ('samrat.dhillon', '2013-10-21 21:59:41 EDT', 'samrat.dhillon'), ('review?(manju_mathew)', '2013-11-05 00:18:05 EST', 'manju656'), ('WONTFIX', '2020-01-23 15:43:17 EST', 'genie'), ('stalebug', '2020-01-23 15:43:17 EST', 'genie'), ('CLOSED', '2020-01-23 15:43:17 EST', 'genie')]</t>
  </si>
  <si>
    <t>2012-11-25 21:35 EST</t>
  </si>
  <si>
    <t>2013-01-24 06:48:42 EST</t>
  </si>
  <si>
    <t>2020-08-11 11:41:18 EDT</t>
  </si>
  <si>
    <t>[('CREATED', '2012-11-25 21:35 EST'), ('ASSIGNED', '2013-01-24 06:48:42 EST', 'manju656'), ('manju_mathew', '2013-01-24 06:48:42 EST', 'manju656'), ('stalebug', '2020-08-11 11:41:18 EDT', 'genie')]</t>
  </si>
  <si>
    <t>2012-11-25 22:03 EST</t>
  </si>
  <si>
    <t>2013-01-24 06:05:16 EST</t>
  </si>
  <si>
    <t>2019-05-09 09:57:19 EDT</t>
  </si>
  <si>
    <t>[('CREATED', '2012-11-25 22:03 EST'), ('manju_mathew', '2013-01-24 06:05:16 EST', 'manju656'), ('ASSIGNED', '2013-01-24 06:05:16 EST', 'manju656'), ('stalebug', '2019-05-08 15:27:10 EDT', 'genie'), ('daniel_megert', '2019-05-09 09:57:19 EDT', 'daniel_megert'), (nan, '2019-05-09 09:57:19 EDT', 'daniel_megert')]</t>
  </si>
  <si>
    <t>2012-11-25 23:14 EST</t>
  </si>
  <si>
    <t>2013-01-25 03:31:18 EST</t>
  </si>
  <si>
    <t>2020-01-03 18:59:39 EST</t>
  </si>
  <si>
    <t>[('CREATED', '2012-11-25 23:14 EST'), ('ASSIGNED', '2013-01-25 03:31:18 EST', 'manju656'), ('manju_mathew', '2013-01-25 03:31:18 EST', 'manju656'), ('nikolaymetchev', '2013-08-22 08:17:59 EDT', 'nikolaymetchev'), ('daniel_megert, noopur_gupta', '2013-08-22 08:22:57 EDT', 'daniel_megert'), ('All', '2013-08-22 08:22:57 EDT', 'daniel_megert'), ('nikolaymetchev', '2013-08-22 08:22:57 EDT', 'daniel_megert'), ('review?(noopur_gupta)', '2013-08-22 08:22:57 EDT', 'daniel_megert'), ('All', '2013-08-22 08:22:57 EDT', 'daniel_megert'), ('1', '2013-09-05 07:28:45 EDT', 'nikolaymetchev'), ('stalebug', '2020-01-03 18:59:39 EST', 'genie')]</t>
  </si>
  <si>
    <t>2020-01-19 14:42:44 EST</t>
  </si>
  <si>
    <t>2012-11-25 23:31 EST</t>
  </si>
  <si>
    <t>2013-01-16 02:28:50 EST</t>
  </si>
  <si>
    <t>[('CREATED', '2012-11-25 23:31 EST'), ('ASSIGNED', '2013-01-16 02:28:50 EST', 'manju656'), ('manju_mathew', '2013-01-16 02:28:50 EST', 'manju656'), ('stalebug', '2020-01-19 14:42:44 EST', 'genie'), ('CLOSED', '2020-01-19 14:42:44 EST', 'genie'), ('WONTFIX', '2020-01-19 14:42:44 EST', 'genie')]</t>
  </si>
  <si>
    <t>2012-11-25 23:46 EST</t>
  </si>
  <si>
    <t>2012-12-13 02:32:13 EST</t>
  </si>
  <si>
    <t>2020-01-07 16:59:15 EST</t>
  </si>
  <si>
    <t>[('CREATED', '2012-11-25 23:46 EST'), ('ASSIGNED', '2012-12-13 02:32:13 EST', 'manju656'), ('manju_mathew', '2012-12-13 02:32:13 EST', 'manju656'), ('stalebug', '2020-01-07 16:59:15 EST', 'genie')]</t>
  </si>
  <si>
    <t>2012-12-17 00:34:40 EST</t>
  </si>
  <si>
    <t>2012-11-27 19:10 EST</t>
  </si>
  <si>
    <t>[('CREATED', '2012-11-27 19:10 EST'), ('RESOLVED', '2012-12-17 00:34:40 EST', 'manju656'), ('manju_mathew', '2012-12-17 00:34:40 EST', 'manju656'), ('WORKSFORME', '2012-12-17 00:34:40 EST', 'manju656')]</t>
  </si>
  <si>
    <t>2014-12-08 01:22:13 EST</t>
  </si>
  <si>
    <t>2012-11-27 19:38 EST</t>
  </si>
  <si>
    <t>2013-01-24 06:41:59 EST</t>
  </si>
  <si>
    <t>[('CREATED', '2012-11-27 19:38 EST'), ('ASSIGNED', '2013-01-24 06:41:59 EST', 'manju656'), ('manju_mathew', '2013-01-24 06:41:59 EST', 'manju656'), ('nikolaymetchev', '2013-10-04 07:12:20 EDT', 'nikolaymetchev'), ('nikolaymetchev', '2014-12-08 01:22:13 EST', 'noopur_gupta'), ('FIXED', '2014-12-08 01:22:13 EST', 'noopur_gupta'), ('4.5 M4', '2014-12-08 01:22:13 EST', 'noopur_gupta'), ('All', '2014-12-08 01:22:13 EST', 'noopur_gupta'), ('review+', '2014-12-08 01:22:13 EST', 'noopur_gupta'), ('RESOLVED', '2014-12-08 01:22:13 EST', 'noopur_gupta'), ('All', '2014-12-08 01:22:13 EST', 'noopur_gupta'), ('markus_keller, noopur_gupta', '2014-12-08 01:22:13 EST', 'noopur_gupta')]</t>
  </si>
  <si>
    <t>283962 (view as bug list)</t>
  </si>
  <si>
    <t>2012-11-27 19:49 EST</t>
  </si>
  <si>
    <t>2012-12-12 06:44:52 EST</t>
  </si>
  <si>
    <t>2019-05-30 10:19:20 EDT</t>
  </si>
  <si>
    <t>[('CREATED', '2012-11-27 19:49 EST'), ('manju_mathew', '2012-12-12 06:44:52 EST', 'manju656'), ('ASSIGNED', '2012-12-12 08:04:00 EST', 'daniel_megert'), ('daniel_megert', '2012-12-12 08:04:00 EST', 'daniel_megert'), ('andbrug', '2012-12-12 08:19:38 EST', 'daniel_megert'), ('stalebug', '2019-05-20 19:37:32 EDT', 'genie'), (nan, '2019-05-30 10:19:20 EDT', 'daniel_megert')]</t>
  </si>
  <si>
    <t>2013-11-28 03:55:17 EST</t>
  </si>
  <si>
    <t>2013-10-23 10:29:10 EDT</t>
  </si>
  <si>
    <t>2012-11-27 19:58 EST</t>
  </si>
  <si>
    <t>2013-01-24 06:19:52 EST</t>
  </si>
  <si>
    <t>[('CREATED', '2012-11-27 19:58 EST'), ('ASSIGNED', '2013-01-24 06:19:52 EST', 'manju656'), ('manju_mathew', '2013-01-24 06:19:52 EST', 'manju656'), ('nikolaymetchev', '2013-10-04 05:09:44 EDT', 'nikolaymetchev'), ('review?(noopur_gupta)', '2013-10-04 05:11:37 EDT', 'daniel_megert'), ('daniel_megert, noopur_gupta', '2013-10-04 05:11:37 EDT', 'daniel_megert'), ('1', '2013-10-07 08:52:47 EDT', 'noopur_gupta'), ('1', '2013-10-07 12:04:14 EDT', 'nikolaymetchev'), ('markus_keller', '2013-10-08 08:05:13 EDT', 'noopur_gupta'), ('All', '2013-10-08 08:05:13 EDT', 'noopur_gupta'), ('nikolaymetchev', '2013-10-08 08:05:13 EDT', 'noopur_gupta'), ('All', '2013-10-08 08:05:13 EDT', 'noopur_gupta'), ('1', '2013-10-08 08:07:46 EDT', 'noopur_gupta'), ('1', '2013-10-15 05:26:07 EDT', 'noopur_gupta'), ('mauromol', '2013-10-15 06:50:38 EDT', 'mauromol'), ('RESOLVED', '2013-10-17 07:17:59 EDT', 'noopur_gupta'), ('FIXED', '2013-10-17 07:17:59 EDT', 'noopur_gupta'), ('4.4 M3', '2013-10-17 07:17:59 EDT', 'noopur_gupta'), ('review+', '2013-10-17 07:17:59 EDT', 'noopur_gupta'), ('REOPENED', '2013-10-23 10:29:10 EDT', 'markus.kell.r'), ('---', '2013-10-23 10:29:10 EDT', 'markus.kell.r'), ('1', '2013-10-24 10:44:13 EDT', 'nikolaymetchev'), ('4.4 M4', '2013-10-28 09:12:53 EDT', 'markus.kell.r'), ('review?(noopur_gupta)', '2013-10-28 09:12:53 EDT', 'markus.kell.r'), ('RESOLVED', '2013-11-28 03:55:17 EST', 'noopur_gupta'), ('FIXED', '2013-11-28 03:55:17 EST', 'noopur_gupta'), ('review+', '2013-11-28 03:55:17 EST', 'noopur_gupta')]</t>
  </si>
  <si>
    <t>2013-10-17 00:36:35 EDT</t>
  </si>
  <si>
    <t>2012-11-27 20:34 EST</t>
  </si>
  <si>
    <t>2012-12-24 04:46:13 EST</t>
  </si>
  <si>
    <t>[('CREATED', '2012-11-27 20:34 EST'), ('ASSIGNED', '2012-12-24 04:46:13 EST', 'manju656'), ('manju_mathew', '2012-12-24 04:46:13 EST', 'manju656'), ('samrat.dhillon', '2013-10-16 19:56:02 EDT', 'samrat.dhillon'), ('RESOLVED', '2013-10-17 00:36:35 EDT', 'manju656'), ('WORKSFORME', '2013-10-17 00:36:35 EDT', 'manju656')]</t>
  </si>
  <si>
    <t>2020-05-17 00:11:25 EDT</t>
  </si>
  <si>
    <t>2012-11-27 20:58 EST</t>
  </si>
  <si>
    <t>2012-12-24 04:30:08 EST</t>
  </si>
  <si>
    <t>[('CREATED', '2012-11-27 20:58 EST'), ('ASSIGNED', '2012-12-24 04:30:08 EST', 'manju656'), ('manju_mathew', '2012-12-24 04:30:08 EST', 'manju656'), ('stalebug', '2020-05-17 00:11:25 EDT', 'genie'), ('CLOSED', '2020-05-17 00:11:25 EDT', 'genie'), ('WONTFIX', '2020-05-17 00:11:25 EDT', 'genie')]</t>
  </si>
  <si>
    <t>2012-11-27 21:33 EST</t>
  </si>
  <si>
    <t>2012-12-14 05:23:51 EST</t>
  </si>
  <si>
    <t>2019-07-18 17:51:30 EDT</t>
  </si>
  <si>
    <t>[('CREATED', '2012-11-27 21:33 EST'), ('ASSIGNED', '2012-12-14 05:23:51 EST', 'manju656'), ('manju_mathew', '2012-12-14 05:23:51 EST', 'manju656'), ('stalebug', '2019-07-18 17:51:30 EDT', 'genie')]</t>
  </si>
  <si>
    <t>2020-01-29 00:02:19 EST</t>
  </si>
  <si>
    <t>2012-11-27 21:46 EST</t>
  </si>
  <si>
    <t>2012-12-12 04:27:02 EST</t>
  </si>
  <si>
    <t>[('CREATED', '2012-11-27 21:46 EST'), ('manju_mathew', '2012-12-12 04:27:02 EST', 'manju656'), ('ASSIGNED', '2012-12-12 04:30:06 EST', 'daniel_megert'), ('daniel_megert', '2012-12-12 04:30:06 EST', 'daniel_megert'), ('samrat.dhillon', '2014-01-07 19:23:13 EST', 'samrat.dhillon'), ('WONTFIX', '2020-01-29 00:02:19 EST', 'genie'), ('CLOSED', '2020-01-29 00:02:19 EST', 'genie'), ('stalebug', '2020-01-29 00:02:19 EST', 'genie')]</t>
  </si>
  <si>
    <t>2020-04-15 11:39:40 EDT</t>
  </si>
  <si>
    <t>2012-11-27 21:57 EST</t>
  </si>
  <si>
    <t>2012-12-24 03:05:44 EST</t>
  </si>
  <si>
    <t>[('CREATED', '2012-11-27 21:57 EST'), ('ASSIGNED', '2012-12-24 03:05:44 EST', 'manju656'), ('manju_mathew', '2012-12-24 03:05:44 EST', 'manju656'), ('WONTFIX', '2020-04-15 11:39:40 EDT', 'genie'), ('stalebug', '2020-04-15 11:39:40 EDT', 'genie'), ('CLOSED', '2020-04-15 11:39:40 EDT', 'genie')]</t>
  </si>
  <si>
    <t>2013-10-08 03:13:27 EDT</t>
  </si>
  <si>
    <t>2012-12-02 13:12 EST</t>
  </si>
  <si>
    <t>2012-12-14 05:18:47 EST</t>
  </si>
  <si>
    <t>2013-10-24 00:17:16 EDT</t>
  </si>
  <si>
    <t>[('CREATED', '2012-12-02 13:12 EST'), ('ASSIGNED', '2012-12-14 05:18:47 EST', 'manju656'), ('manju_mathew', '2012-12-14 05:18:47 EST', 'manju656'), ('samrat.dhillon', '2013-09-29 14:03:47 EDT', 'samrat.dhillon'), ('daniel_megert', '2013-10-02 05:11:06 EDT', 'daniel_megert'), ('review?(manju_mathew)', '2013-10-02 05:11:06 EDT', 'daniel_megert'), ('samrat.dhillon', '2013-10-03 10:50:43 EDT', 'manju656'), ('1', '2013-10-05 12:50:40 EDT', 'samrat.dhillon'), ('1', '2013-10-05 12:50:40 EDT', 'samrat.dhillon'), ('RESOLVED', '2013-10-08 03:13:27 EDT', 'manju656'), ('FIXED', '2013-10-08 03:13:27 EDT', 'manju656'), ('review+', '2013-10-08 03:13:27 EDT', 'manju656'), ('All', '2013-10-24 00:17:16 EDT', 'manju656'), ('4.4 M3', '2013-10-24 00:17:16 EDT', 'manju656'), ('All', '2013-10-24 00:17:16 EDT', 'manju656')]</t>
  </si>
  <si>
    <t>2013-10-08 03:13:51 EDT</t>
  </si>
  <si>
    <t>2012-12-02 15:57 EST</t>
  </si>
  <si>
    <t>2012-12-14 05:09:20 EST</t>
  </si>
  <si>
    <t>2013-10-24 00:16:17 EDT</t>
  </si>
  <si>
    <t>[('CREATED', '2012-12-02 15:57 EST'), ('manju_mathew', '2012-12-14 05:09:20 EST', 'manju656'), ('ASSIGNED', '2012-12-14 05:09:20 EST', 'manju656'), ('RESOLVED', '2013-10-08 03:13:51 EDT', 'manju656'), ('FIXED', '2013-10-08 03:13:51 EDT', 'manju656'), ('samrat.dhillon', '2013-10-08 03:13:51 EDT', 'manju656'), ('All', '2013-10-24 00:16:17 EDT', 'manju656'), ('4.4 M3', '2013-10-24 00:16:17 EDT', 'manju656'), ('All', '2013-10-24 00:16:17 EDT', 'manju656')]</t>
  </si>
  <si>
    <t>2012-12-02 17:03 EST</t>
  </si>
  <si>
    <t>2012-12-24 03:00:13 EST</t>
  </si>
  <si>
    <t>2019-03-22 12:28:37 EDT</t>
  </si>
  <si>
    <t>[('CREATED', '2012-12-02 17:03 EST'), ('ASSIGNED', '2012-12-24 03:00:13 EST', 'manju656'), ('manju_mathew', '2012-12-24 03:00:13 EST', 'manju656'), ('stalebug', '2019-03-18 03:16:14 EDT', 'genie'), ('daniel_megert', '2019-03-22 12:28:37 EDT', 'daniel_megert'), (nan, '2019-03-22 12:28:37 EDT', 'daniel_megert')]</t>
  </si>
  <si>
    <t>2020-04-19 16:29:10 EDT</t>
  </si>
  <si>
    <t>2012-12-02 17:25 EST</t>
  </si>
  <si>
    <t>2012-12-24 02:54:58 EST</t>
  </si>
  <si>
    <t>[('CREATED', '2012-12-02 17:25 EST'), ('ASSIGNED', '2012-12-24 02:54:58 EST', 'manju656'), ('manju_mathew', '2012-12-24 02:54:58 EST', 'manju656'), ('CLOSED', '2020-04-19 16:29:10 EDT', 'genie'), ('WONTFIX', '2020-04-19 16:29:10 EDT', 'genie'), ('stalebug', '2020-04-19 16:29:10 EDT', 'genie')]</t>
  </si>
  <si>
    <t>2020-03-25 05:18:46 EDT</t>
  </si>
  <si>
    <t>2012-12-04 22:10 EST</t>
  </si>
  <si>
    <t>2012-12-24 02:47:06 EST</t>
  </si>
  <si>
    <t>[('CREATED', '2012-12-04 22:10 EST'), ('ASSIGNED', '2012-12-24 02:47:06 EST', 'manju656'), ('manju_mathew', '2012-12-24 02:47:06 EST', 'manju656'), ('samrat.dhillon', '2013-11-17 16:52:36 EST', 'samrat.dhillon'), ('review?(manju_mathew)', '2013-11-18 11:22:36 EST', 'daniel_megert'), ('daniel_megert', '2013-11-18 11:22:36 EST', 'daniel_megert'), ('WONTFIX', '2020-03-25 05:18:46 EDT', 'genie'), ('stalebug', '2020-03-25 05:18:46 EDT', 'genie'), ('CLOSED', '2020-03-25 05:18:46 EDT', 'genie')]</t>
  </si>
  <si>
    <t>2012-12-18 00:08:33 EST</t>
  </si>
  <si>
    <t>2012-12-05 16:49 EST</t>
  </si>
  <si>
    <t>[('CREATED', '2012-12-05 16:49 EST'), ('manju_mathew', '2012-12-18 00:08:33 EST', 'manju656'), ('DUPLICATE', '2012-12-18 00:08:33 EST', 'manju656'), ('CLOSED', '2012-12-18 00:08:33 EST', 'manju656')]</t>
  </si>
  <si>
    <t>2020-04-25 17:02:42 EDT</t>
  </si>
  <si>
    <t>2012-12-05 17:03 EST</t>
  </si>
  <si>
    <t>2012-12-14 02:00:09 EST</t>
  </si>
  <si>
    <t>[('CREATED', '2012-12-05 17:03 EST'), ('ASSIGNED', '2012-12-14 02:00:09 EST', 'manju656'), ('manju_mathew', '2012-12-14 02:00:09 EST', 'manju656'), ('WONTFIX', '2020-04-25 17:02:42 EDT', 'genie'), ('CLOSED', '2020-04-25 17:02:42 EDT', 'genie'), ('stalebug', '2020-04-25 17:02:42 EDT', 'genie')]</t>
  </si>
  <si>
    <t>2012-12-05 17:13 EST</t>
  </si>
  <si>
    <t>2012-12-18 00:15:55 EST</t>
  </si>
  <si>
    <t>2018-11-03 17:46:05 EDT</t>
  </si>
  <si>
    <t>[('CREATED', '2012-12-05 17:13 EST'), ('ASSIGNED', '2012-12-18 00:15:55 EST', 'manju656'), ('manju_mathew', '2012-12-18 00:15:55 EST', 'manju656'), ('stalebug', '2018-11-03 17:46:05 EDT', 'genie')]</t>
  </si>
  <si>
    <t>2020-03-09 14:29:42 EDT</t>
  </si>
  <si>
    <t>2012-12-06 16:21 EST</t>
  </si>
  <si>
    <t>2012-12-10 11:02:38 EST</t>
  </si>
  <si>
    <t>[('CREATED', '2012-12-06 16:21 EST'), ('manju_mathew', '2012-12-10 11:02:38 EST', 'manju656'), ('ASSIGNED', '2012-12-10 11:03:24 EST', 'daniel_megert'), ('daniel_megert', '2012-12-10 11:03:24 EST', 'daniel_megert'), ('CLOSED', '2020-03-09 14:29:42 EDT', 'genie'), ('stalebug', '2020-03-09 14:29:42 EDT', 'genie'), ('WONTFIX', '2020-03-09 14:29:42 EDT', 'genie')]</t>
  </si>
  <si>
    <t>2012-12-06 16:31 EST</t>
  </si>
  <si>
    <t>2012-12-18 00:32:03 EST</t>
  </si>
  <si>
    <t>2019-09-09 18:24:44 EDT</t>
  </si>
  <si>
    <t>[('CREATED', '2012-12-06 16:31 EST'), ('ASSIGNED', '2012-12-18 00:32:03 EST', 'manju656'), ('manju_mathew', '2012-12-18 00:32:03 EST', 'manju656'), ('stalebug', '2019-09-09 18:24:44 EDT', 'genie')]</t>
  </si>
  <si>
    <t>2013-11-06 01:22:57 EST</t>
  </si>
  <si>
    <t>2012-12-06 16:38 EST</t>
  </si>
  <si>
    <t>2012-12-18 00:35:06 EST</t>
  </si>
  <si>
    <t>[('CREATED', '2012-12-06 16:38 EST'), ('ASSIGNED', '2012-12-18 00:35:06 EST', 'manju656'), ('manju_mathew', '2012-12-18 00:35:06 EST', 'manju656'), ('samrat.dhillon', '2013-10-14 20:22:36 EDT', 'samrat.dhillon'), ('daniel_megert', '2013-10-15 04:00:02 EDT', 'daniel_megert'), ('review?(manju_mathew)', '2013-10-15 04:00:02 EDT', 'daniel_megert'), ('RESOLVED', '2013-11-06 01:22:57 EST', 'manju656'), ('All', '2013-11-06 01:22:57 EST', 'manju656'), ('FIXED', '2013-11-06 01:22:57 EST', 'manju656'), ('samrat.dhillon', '2013-11-06 01:22:57 EST', 'manju656'), ('4.4 M4', '2013-11-06 01:22:57 EST', 'manju656'), ('review+', '2013-11-06 01:22:57 EST', 'manju656'), ('All', '2013-11-06 01:22:57 EST', 'manju656')]</t>
  </si>
  <si>
    <t>2012-12-06 16:48 EST</t>
  </si>
  <si>
    <t>2012-12-09 02:03:36 EST</t>
  </si>
  <si>
    <t>2019-11-16 14:07:29 EST</t>
  </si>
  <si>
    <t>[('CREATED', '2012-12-06 16:48 EST'), ('P4', '2012-12-09 02:03:36 EST', 'deepakazad'), ('ASSIGNED', '2012-12-09 02:03:36 EST', 'deepakazad'), ('deepakazad, markus_keller', '2012-12-09 02:03:36 EST', 'deepakazad'), ('daniel_megert', '2012-12-10 04:41:11 EST', 'daniel_megert'), ('stalebug', '2019-11-16 14:07:29 EST', 'genie')]</t>
  </si>
  <si>
    <t>2019-10-31 06:20:22 EDT</t>
  </si>
  <si>
    <t>2012-12-06 16:56 EST</t>
  </si>
  <si>
    <t>2012-12-18 00:38:21 EST</t>
  </si>
  <si>
    <t>[('CREATED', '2012-12-06 16:56 EST'), ('ASSIGNED', '2012-12-18 00:38:21 EST', 'manju656'), ('manju_mathew', '2012-12-18 00:38:21 EST', 'manju656'), ('mat.gessel+eclipse', '2019-10-29 18:13:52 EDT', 'mat.gessel+eclipse'), ('RESOLVED', '2019-10-31 06:20:22 EDT', 'noopur_gupta'), ('WORKSFORME', '2019-10-31 06:20:22 EDT', 'noopur_gupta'), ('noopur_gupta', '2019-10-31 06:20:22 EDT', 'noopur_gupta')]</t>
  </si>
  <si>
    <t>2013-11-05 04:53:17 EST</t>
  </si>
  <si>
    <t>2012-12-06 17:05 EST</t>
  </si>
  <si>
    <t>2012-12-09 01:36:40 EST</t>
  </si>
  <si>
    <t>[('CREATED', '2012-12-06 17:05 EST'), ('needinfo', '2012-12-09 01:36:40 EST', 'deepakazad'), ('deepakazad', '2012-12-09 01:36:40 EST', 'deepakazad'), ('manju_mathew', '2013-02-28 23:44:30 EST', 'manju656'), ('ASSIGNED', '2013-02-28 23:44:30 EST', 'manju656'), ('samrat.dhillon', '2013-10-13 21:10:25 EDT', 'samrat.dhillon'), (nan, '2013-10-14 08:30:56 EDT', 'daniel_megert'), ('daniel_megert', '2013-10-14 08:30:56 EDT', 'daniel_megert'), ('review?(manju_mathew)', '2013-10-14 08:30:56 EDT', 'daniel_megert'), ('RESOLVED', '2013-11-05 04:53:17 EST', 'manju656'), ('FIXED', '2013-11-05 04:53:17 EST', 'manju656'), ('samrat.dhillon', '2013-11-05 04:53:17 EST', 'manju656'), ('4.4 M4', '2013-11-05 04:53:17 EST', 'manju656'), ('review+', '2013-11-05 04:53:17 EST', 'manju656')]</t>
  </si>
  <si>
    <t>2020-03-03 17:19:30 EST</t>
  </si>
  <si>
    <t>2012-12-06 17:13 EST</t>
  </si>
  <si>
    <t>2012-12-18 00:43:10 EST</t>
  </si>
  <si>
    <t>[('CREATED', '2012-12-06 17:13 EST'), ('manju_mathew', '2012-12-18 00:43:10 EST', 'manju656'), ('ASSIGNED', '2012-12-18 00:43:10 EST', 'manju656'), ('stalebug', '2020-03-03 17:19:30 EST', 'genie'), ('WONTFIX', '2020-03-03 17:19:30 EST', 'genie'), ('CLOSED', '2020-03-03 17:19:30 EST', 'genie')]</t>
  </si>
  <si>
    <t>2020-02-25 03:54:46 EST</t>
  </si>
  <si>
    <t>2012-12-06 17:25 EST</t>
  </si>
  <si>
    <t>2012-12-18 00:46:23 EST</t>
  </si>
  <si>
    <t>[('CREATED', '2012-12-06 17:25 EST'), ('ASSIGNED', '2012-12-18 00:46:23 EST', 'manju656'), ('manju_mathew', '2012-12-18 00:46:23 EST', 'manju656'), ('stalebug', '2020-02-25 03:54:46 EST', 'genie'), ('WONTFIX', '2020-02-25 03:54:46 EST', 'genie'), ('CLOSED', '2020-02-25 03:54:46 EST', 'genie')]</t>
  </si>
  <si>
    <t>394551 491195 (view as bug list)</t>
  </si>
  <si>
    <t>2016-04-25 08:46:08 EDT</t>
  </si>
  <si>
    <t>2012-12-13 12:22 EST</t>
  </si>
  <si>
    <t>2013-02-11 18:21:37 EST</t>
  </si>
  <si>
    <t>[('CREATED', '2012-12-13 12:22 EST'), ('Jesse.Weinstein', '2013-02-11 18:21:37 EST', 'Jesse.Weinstein'), ('needinfo', '2013-02-12 02:31:53 EST', 'daniel_megert'), ('daniel_megert', '2013-02-12 02:31:53 EST', 'daniel_megert'), ('All', '2013-02-12 06:38:16 EST', 'daniel_megert'), ('[pull up] Pull Up into interface misses imports and adds unexpected @override', '2013-02-12 06:38:16 EST', 'daniel_megert'), ('All', '2013-02-12 06:38:16 EST', 'daniel_megert'), ('ASSIGNED', '2013-02-12 06:38:16 EST', 'daniel_megert'), ('[pull up] Pull Up into interface misses imports and adds unexpected @Override', '2013-02-12 06:38:27 EST', 'daniel_megert'), ('martin.jared', '2014-02-24 11:18:54 EST', 'martin.jared'), ('manju_mathew', '2014-02-24 18:22:10 EST', 'manju656'), ('manju_mathew', '2014-03-27 02:59:25 EDT', 'manju656'), (nan, '2014-03-27 03:02:35 EDT', 'manju656'), ('noopur_gupta', '2014-03-27 03:02:35 EDT', 'manju656'), ('review?(noopur_gupta)', '2014-03-27 03:02:35 EDT', 'manju656'), ('1', '2014-03-28 03:20:22 EDT', 'manju656'), ('1', '2014-04-15 03:44:43 EDT', 'manju656'), ('review+', '2014-04-21 05:07:26 EDT', 'noopur_gupta'), (nan, '2014-04-21 05:17:11 EDT', 'noopur_gupta'), ('markus_keller', '2014-05-02 02:49:22 EDT', 'noopur_gupta'), ('milos.gligoric', '2014-05-18 19:43:30 EDT', 'manju656'), ('4.5', '2014-05-28 09:41:41 EDT', 'markus.kell.r'), ('jdt-ui-inbox', '2015-05-12 12:52:39 EDT', 'markus.kell.r'), ('4.6', '2015-05-12 12:52:39 EDT', 'markus.kell.r'), ('billc.cn', '2015-09-15 12:21:44 EDT', 'billc.cn'), ('register.eclipse', '2016-04-18 07:32:03 EDT', 'noopur_gupta'), ('[refactoring] Pull Up and Extract Interface refactorings add unexpected @Override', '2016-04-18 07:38:29 EDT', 'noopur_gupta'), ('https://git.eclipse.org/r/70907', '2016-04-18 16:37:30 EDT', 'genie'), ('register.eclipse', '2016-04-21 04:07:30 EDT', 'noopur_gupta'), ('4.6 M7', '2016-04-25 05:06:15 EDT', 'noopur_gupta'), ('https://git.eclipse.org/c/jdt/eclipse.jdt.ui.git/commit/?id=802be9e760c8fe1dfae679949ddf363fa94fa93c', '2016-04-25 08:44:27 EDT', 'genie'), ('RESOLVED', '2016-04-25 08:46:08 EDT', 'noopur_gupta'), ('FIXED', '2016-04-25 08:46:08 EDT', 'noopur_gupta')]</t>
  </si>
  <si>
    <t>2012-12-14 11:30 EST</t>
  </si>
  <si>
    <t>2012-12-24 00:52:50 EST</t>
  </si>
  <si>
    <t>2020-12-11 07:06:50 EST</t>
  </si>
  <si>
    <t>[('CREATED', '2012-12-14 11:30 EST'), ('ASSIGNED', '2012-12-24 00:52:50 EST', 'manju656'), ('manju_mathew', '2012-12-24 00:52:50 EST', 'manju656'), ('markus_keller', '2014-01-30 10:51:12 EST', 'markus.kell.r'), ('[move static members] Move method does not update return type if a type with the same name is already imported', '2014-01-30 10:51:12 EST', 'markus.kell.r'), ('stalebug', '2018-12-21 06:21:58 EST', 'genie'), (nan, '2018-12-21 08:34:47 EST', 'daniel_megert'), ('daniel_megert', '2018-12-21 08:34:47 EST', 'daniel_megert'), ('stalebug', '2020-12-11 07:06:50 EST', 'genie')]</t>
  </si>
  <si>
    <t>2013-01-31 08:41:31 EST</t>
  </si>
  <si>
    <t>2012-12-18 05:59 EST</t>
  </si>
  <si>
    <t>2012-12-18 05:59:54 EST</t>
  </si>
  <si>
    <t>2013-01-31 08:41:49 EST</t>
  </si>
  <si>
    <t>[('CREATED', '2012-12-18 05:59 EST'), ('daniel_megert', '2012-12-18 05:59:54 EST', 'daniel_megert'), ('manju_mathew', '2012-12-18 05:59:54 EST', 'daniel_megert'), ('4.3 M5', '2013-01-04 06:50:23 EST', 'daniel_megert'), ('4.3 M6', '2013-01-29 05:00:33 EST', 'daniel_megert'), ('ASSIGNED', '2013-01-30 01:18:24 EST', 'manju656'), ('review?(daniel_megert)', '2013-01-30 21:17:25 EST', 'manju656'), ('RESOLVED', '2013-01-31 08:41:31 EST', 'daniel_megert'), ('FIXED', '2013-01-31 08:41:31 EST', 'daniel_megert'), ('review+', '2013-01-31 08:41:31 EST', 'daniel_megert'), ('review+', '2013-01-31 08:41:49 EST', 'daniel_megert')]</t>
  </si>
  <si>
    <t>2020-02-20 14:05:47 EST</t>
  </si>
  <si>
    <t>2012-12-25 23:58 EST</t>
  </si>
  <si>
    <t>2013-01-24 01:04:37 EST</t>
  </si>
  <si>
    <t>[('CREATED', '2012-12-25 23:58 EST'), ('manju_mathew', '2013-01-24 01:04:37 EST', 'manju656'), ('ASSIGNED', '2013-01-28 05:43:51 EST', 'manju656'), ('[use supertype] Refactoring adds unwanted package qualification.', '2013-01-28 05:43:51 EST', 'manju656'), ('All', '2013-01-28 05:43:51 EST', 'manju656'), ('P5', '2013-01-28 06:19:02 EST', 'markus.kell.r'), ('markus_keller', '2013-01-28 06:19:02 EST', 'markus.kell.r'), ('[use supertype] Refactoring adds unwanted package qualification for nested type', '2013-01-28 06:19:02 EST', 'markus.kell.r'), ('minor', '2013-01-28 06:19:02 EST', 'markus.kell.r'), ('Jesse.Weinstein', '2013-02-11 19:42:10 EST', 'Jesse.Weinstein'), ('stalebug', '2020-02-20 14:05:47 EST', 'genie'), ('WONTFIX', '2020-02-20 14:05:47 EST', 'genie'), ('CLOSED', '2020-02-20 14:05:47 EST', 'genie')]</t>
  </si>
  <si>
    <t>2012-12-26 00:11 EST</t>
  </si>
  <si>
    <t>2013-01-24 01:13:48 EST</t>
  </si>
  <si>
    <t>2018-12-28 11:45:02 EST</t>
  </si>
  <si>
    <t>[('CREATED', '2012-12-26 00:11 EST'), ('ASSIGNED', '2013-01-24 01:13:48 EST', 'manju656'), ('manju_mathew', '2013-01-24 01:13:48 EST', 'manju656'), ('samrat.dhillon', '2013-12-31 10:38:47 EST', 'samrat.dhillon'), ('samrat.dhillon', '2014-01-02 20:03:37 EST', 'manju656'), ('review?(manju_mathew)', '2014-01-02 20:03:37 EST', 'manju656'), ('stalebug', '2018-12-28 11:45:02 EST', 'genie')]</t>
  </si>
  <si>
    <t>2013-01-28 18:28:33 EST</t>
  </si>
  <si>
    <t>2013-01-30 08:25:02 EST</t>
  </si>
  <si>
    <t>2013-01-04 12:34 EST</t>
  </si>
  <si>
    <t>2013-01-04 12:34:33 EST</t>
  </si>
  <si>
    <t>[('CREATED', '2013-01-04 12:34 EST'), ('manju_mathew', '2013-01-04 12:34:33 EST', 'markus.kell.r'), ('daniel_megert, markus_keller', '2013-01-04 12:34:33 EST', 'markus.kell.r'), ('4.3 M5', '2013-01-05 04:27:30 EST', 'daniel_megert'), ('ASSIGNED', '2013-01-18 11:08:43 EST', 'manju656'), ('review?(markus_keller)', '2013-01-22 04:29:22 EST', 'manju656'), ('review-', '2013-01-25 12:46:43 EST', 'markus.kell.r'), ('1', '2013-01-28 12:30:12 EST', 'manju656'), ('review?(markus_keller)', '2013-01-28 12:30:28 EST', 'manju656'), ('review-', '2013-01-28 15:26:27 EST', 'markus.kell.r'), ('RESOLVED', '2013-01-28 18:28:33 EST', 'markus.kell.r'), ('FIXED', '2013-01-28 18:28:33 EST', 'markus.kell.r'), (nan, '2013-01-28 18:28:33 EST', 'markus.kell.r'), ('VERIFIED', '2013-01-30 08:25:02 EST', 'daniel_megert')]</t>
  </si>
  <si>
    <t>2013-02-05 11:20:42 EST</t>
  </si>
  <si>
    <t>2013-03-12 11:42:41 EDT</t>
  </si>
  <si>
    <t>2013-01-04 12:57 EST</t>
  </si>
  <si>
    <t>2013-01-04 12:57:16 EST</t>
  </si>
  <si>
    <t>[('CREATED', '2013-01-04 12:57 EST'), ('daniel_megert, markus_keller', '2013-01-04 12:57:16 EST', 'markus.kell.r'), ('manju_mathew', '2013-01-04 12:57:16 EST', 'markus.kell.r'), ('ASSIGNED', '2013-02-04 08:33:59 EST', 'manju656'), ('review?(daniel_megert)', '2013-02-04 08:33:59 EST', 'manju656'), ('1', '2013-02-05 09:40:12 EST', 'manju656'), ('4.3 M6', '2013-02-05 11:20:25 EST', 'daniel_megert'), ('review+', '2013-02-05 11:20:25 EST', 'daniel_megert'), ('RESOLVED', '2013-02-05 11:20:42 EST', 'daniel_megert'), ('FIXED', '2013-02-05 11:20:42 EST', 'daniel_megert'), ('iplog+', '2013-02-05 11:21:16 EST', 'daniel_megert'), ('VERIFIED', '2013-03-12 11:42:41 EDT', 'daniel_megert')]</t>
  </si>
  <si>
    <t>391360</t>
  </si>
  <si>
    <t>2013-01-09 07:50 EST</t>
  </si>
  <si>
    <t>2013-01-09 12:30:30 EST</t>
  </si>
  <si>
    <t>2013-01-11 11:10:00 EST</t>
  </si>
  <si>
    <t>[('CREATED', '2013-01-09 07:50 EST'), ('brian.vosburgh', '2013-01-09 12:30:30 EST', 'brian.vosburgh'), ('markus_keller', '2013-01-09 13:45:12 EST', 'markus.kell.r'), ('konstantin.komissarchik', '2013-01-09 19:05:46 EST', 'konstantin'), ('neil.hauge', '2013-01-10 10:58:15 EST', 'neil.hauge'), ('P5', '2013-01-11 11:10:00 EST', 'markus.kell.r'), ('ASSIGNED', '2013-01-11 11:10:00 EST', 'markus.kell.r'), ('All', '2013-01-11 11:10:00 EST', 'markus.kell.r'), ('All', '2013-01-11 11:10:00 EST', 'markus.kell.r')]</t>
  </si>
  <si>
    <t>383540 (view as bug list)</t>
  </si>
  <si>
    <t>331649</t>
  </si>
  <si>
    <t>2013-02-13 07:50:25 EST</t>
  </si>
  <si>
    <t>2013-01-24 12:15 EST</t>
  </si>
  <si>
    <t>2013-01-29 06:08:28 EST</t>
  </si>
  <si>
    <t>[('CREATED', '2013-01-24 12:15 EST'), ('daniel_megert', '2013-01-29 06:08:28 EST', 'daniel_megert'), ('All', '2013-01-29 06:08:28 EST', 'daniel_megert'), ('stephan.herrmann', '2013-01-29 06:08:28 EST', 'daniel_megert'), ('4.3 M6', '2013-01-29 06:08:28 EST', 'daniel_megert'), ('review?(daniel_megert)', '2013-01-29 06:08:28 EST', 'daniel_megert'), ('All', '2013-01-29 06:08:28 EST', 'daniel_megert'), ('enhancement', '2013-01-29 06:08:28 EST', 'daniel_megert'), ('RESOLVED', '2013-02-13 07:50:25 EST', 'daniel_megert'), ('FIXED', '2013-02-13 07:50:25 EST', 'daniel_megert'), ('review+', '2013-02-13 07:50:25 EST', 'daniel_megert')]</t>
  </si>
  <si>
    <t>2013-01-25 06:02:37 EST</t>
  </si>
  <si>
    <t>2013-01-25 05:57 EST</t>
  </si>
  <si>
    <t>2013-01-25 05:58:28 EST</t>
  </si>
  <si>
    <t>[('CREATED', '2013-01-25 05:57 EST'), ('major', '2013-01-25 05:58:28 EST', 'mjmeijer'), ('RESOLVED', '2013-01-25 06:02:37 EST', 'daniel_megert'), ('daniel_megert', '2013-01-25 06:02:37 EST', 'daniel_megert'), ('NOT_ECLIPSE', '2013-01-25 06:02:37 EST', 'daniel_megert')]</t>
  </si>
  <si>
    <t>2013-01-28 05:07:49 EST</t>
  </si>
  <si>
    <t>2013-01-25 08:46 EST</t>
  </si>
  <si>
    <t>2013-01-25 08:47:16 EST</t>
  </si>
  <si>
    <t>[('CREATED', '2013-01-25 08:46 EST'), ('lchen.nju', '2013-01-25 08:47:16 EST', 'lchen.nju'), ('pwebster', '2013-01-25 09:32:53 EST', 'pwebster'), ('UI', '2013-01-25 09:32:53 EST', 'pwebster'), ('jdt-ui-inbox', '2013-01-25 09:32:53 EST', 'pwebster'), ('JDT', '2013-01-25 09:32:53 EST', 'pwebster'), ('daniel_megert', '2013-01-25 11:49:53 EST', 'daniel_megert'), ('daniel_megert', '2013-01-25 11:49:53 EST', 'daniel_megert'), ('4.3 M5', '2013-01-25 11:49:53 EST', 'daniel_megert'), ('ASSIGNED', '2013-01-25 11:49:53 EST', 'daniel_megert'), ('[push down] search Referencing problem in PushDownRefactoringProcessor', '2013-01-25 11:50:11 EST', 'daniel_megert'), ('RESOLVED', '2013-01-28 05:07:49 EST', 'daniel_megert'), ('FIXED', '2013-01-28 05:07:49 EST', 'daniel_megert')]</t>
  </si>
  <si>
    <t>2013-01-28 08:30:36 EST</t>
  </si>
  <si>
    <t>2016-09-23 08:12:15 EDT</t>
  </si>
  <si>
    <t>2013-01-26 17:33 EST</t>
  </si>
  <si>
    <t>2013-01-27 08:38:14 EST</t>
  </si>
  <si>
    <t>gsoares</t>
  </si>
  <si>
    <t>[('CREATED', '2013-01-26 17:33 EST'), ('stephan.herrmann', '2013-01-27 08:38:14 EST', 'stephan.herrmann'), ('UI', '2013-01-27 08:38:14 EST', 'stephan.herrmann'), ('jdt-ui-inbox', '2013-01-27 08:38:14 EST', 'stephan.herrmann'), ('RESOLVED', '2013-01-28 08:30:36 EST', 'markus.kell.r'), ('markus_keller', '2013-01-28 08:30:36 EST', 'markus.kell.r'), ('INVALID', '2013-01-28 08:30:36 EST', 'markus.kell.r'), ('REOPENED', '2016-09-23 08:12:15 EDT', 'gsoares'), ('---', '2016-09-23 08:12:15 EDT', 'gsoares')]</t>
  </si>
  <si>
    <t>2013-01-28 08:40:29 EST</t>
  </si>
  <si>
    <t>2016-09-23 08:20:49 EDT</t>
  </si>
  <si>
    <t>2013-01-26 17:59 EST</t>
  </si>
  <si>
    <t>2013-01-27 08:42:33 EST</t>
  </si>
  <si>
    <t>[('CREATED', '2013-01-26 17:59 EST'), ('stephan.herrmann', '2013-01-27 08:42:33 EST', 'stephan.herrmann'), ('UI', '2013-01-27 08:42:33 EST', 'stephan.herrmann'), ('jdt-ui-inbox', '2013-01-27 08:42:33 EST', 'stephan.herrmann'), ('CLOSED', '2013-01-28 08:40:29 EST', 'markus.kell.r'), ('markus_keller', '2013-01-28 08:40:29 EST', 'markus.kell.r'), ('DUPLICATE', '2013-01-28 08:40:29 EST', 'markus.kell.r'), ('---', '2016-09-23 08:20:49 EDT', 'gsoares'), ('REOPENED', '2016-09-23 08:20:49 EDT', 'gsoares')]</t>
  </si>
  <si>
    <t>467296 (view as bug list)</t>
  </si>
  <si>
    <t>2013-01-29 23:58 EST</t>
  </si>
  <si>
    <t>2013-01-30 14:38:19 EST</t>
  </si>
  <si>
    <t>2019-08-01 07:21:24 EDT</t>
  </si>
  <si>
    <t>[('CREATED', '2013-01-29 23:58 EST'), ('platform-ui-triaged', '2013-01-30 14:38:19 EST', 'pwebster'), ('daniel_megert', '2015-05-14 05:33:28 EDT', 'daniel_megert'), ('UI', '2015-05-14 05:33:28 EDT', 'daniel_megert'), ('JDT', '2015-05-14 05:33:28 EDT', 'daniel_megert'), ('[ltk] org.eclipse.core.runtime.CoreException: Cannot create or restore "MyWebPage.html" because it already exists.', '2015-05-14 05:33:28 EDT', 'daniel_megert'), ('error-reports-inbox', '2015-05-14 05:33:50 EDT', 'daniel_megert'), ('stalebug', '2019-08-01 07:21:24 EDT', 'genie')]</t>
  </si>
  <si>
    <t>2013-02-19 12:12:34 EST</t>
  </si>
  <si>
    <t>2013-02-05 17:07 EST</t>
  </si>
  <si>
    <t>2013-02-05 17:13:18 EST</t>
  </si>
  <si>
    <t>[('CREATED', '2013-02-05 17:07 EST'), ('deepakazad', '2013-02-05 17:13:18 EST', 'deepakazad'), ('UI', '2013-02-05 17:13:18 EST', 'deepakazad'), ('jdt-ui-inbox', '2013-02-05 17:13:18 EST', 'deepakazad'), ('RESOLVED', '2013-02-19 12:12:34 EST', 'daniel_megert'), ('daniel_megert', '2013-02-19 12:12:34 EST', 'daniel_megert'), ('WORKSFORME', '2013-02-19 12:12:34 EST', 'daniel_megert'), ('[extract method] extract method refactoring changes semantics when same code occurs in method with same name in anonymous class', '2013-02-19 12:12:34 EST', 'daniel_megert')]</t>
  </si>
  <si>
    <t>2013-04-24 10:55:21 EDT</t>
  </si>
  <si>
    <t>2013-02-13 05:49 EST</t>
  </si>
  <si>
    <t>2013-02-13 10:17:13 EST</t>
  </si>
  <si>
    <t>[('CREATED', '2013-02-13 05:49 EST'), ('UI', '2013-02-13 10:17:13 EST', 'stephan.herrmann'), ('jdt-ui-inbox', '2013-02-13 10:17:13 EST', 'stephan.herrmann'), ('stephan.herrmann', '2013-02-13 10:17:13 EST', 'stephan.herrmann'), ('daniel_megert', '2013-02-13 10:23:47 EST', 'daniel_megert'), ('stephan.herrmann', '2013-02-13 10:23:47 EST', 'daniel_megert'), ('[quick fix] The fix change parameter type to @Nonnull generated a null change', '2013-02-13 10:24:09 EST', 'daniel_megert'), ('jarthana', '2013-02-13 10:38:31 EST', 'jarthana'), ('ASSIGNED', '2013-04-06 10:39:39 EDT', 'stephan.herrmann'), ('markus_keller', '2013-04-06 10:39:39 EDT', 'stephan.herrmann'), ('RESOLVED', '2013-04-24 10:55:21 EDT', 'daniel_megert'), ('FIXED', '2013-04-24 10:55:21 EDT', 'daniel_megert'), ('4.3 M7', '2013-04-24 10:55:21 EDT', 'daniel_megert')]</t>
  </si>
  <si>
    <t>2020-01-23 14:11:47 EST</t>
  </si>
  <si>
    <t>2013-02-15 15:55 EST</t>
  </si>
  <si>
    <t>2013-02-18 04:30:43 EST</t>
  </si>
  <si>
    <t>[('CREATED', '2013-02-15 15:55 EST'), ('ASSIGNED', '2013-02-18 04:30:43 EST', 'daniel_megert'), ('daniel_megert', '2013-02-18 04:30:43 EST', 'daniel_megert'), ('[pull up] CCE during pull-up of String constant', '2013-02-18 04:30:43 EST', 'daniel_megert'), ('stalebug', '2020-01-23 14:11:47 EST', 'genie'), ('CLOSED', '2020-01-23 14:11:47 EST', 'genie'), ('WONTFIX', '2020-01-23 14:11:47 EST', 'genie')]</t>
  </si>
  <si>
    <t>2020-02-16 15:01:10 EST</t>
  </si>
  <si>
    <t>2013-02-18 00:02 EST</t>
  </si>
  <si>
    <t>2013-02-18 00:07:05 EST</t>
  </si>
  <si>
    <t>[('CREATED', '2013-02-18 00:02 EST'), ('reprogrammer', '2013-02-18 00:07:05 EST', 'reprogrammer'), ('[move static members] Move refactoring ignores selection and only uses start offset', '2013-02-19 12:35:36 EST', 'daniel_megert'), ('All', '2013-02-19 12:35:36 EST', 'daniel_megert'), ('ASSIGNED', '2013-02-19 12:35:36 EST', 'daniel_megert'), ('daniel_megert', '2013-02-19 12:35:36 EST', 'daniel_megert'), ('All', '2013-02-19 12:35:36 EST', 'daniel_megert'), ('WONTFIX', '2020-02-16 15:01:10 EST', 'genie'), ('stalebug', '2020-02-16 15:01:10 EST', 'genie'), ('CLOSED', '2020-02-16 15:01:10 EST', 'genie')]</t>
  </si>
  <si>
    <t>2013-02-19 15:18 EST</t>
  </si>
  <si>
    <t>2013-02-19 15:18:42 EST</t>
  </si>
  <si>
    <t>2013-02-20 04:03:18 EST</t>
  </si>
  <si>
    <t>[('CREATED', '2013-02-19 15:18 EST'), ('reprogrammer', '2013-02-19 15:18:42 EST', 'reprogrammer'), ('ASSIGNED', '2013-02-20 04:03:18 EST', 'daniel_megert'), ('daniel_megert', '2013-02-20 04:03:18 EST', 'daniel_megert'), ('enhancement', '2013-02-20 04:03:18 EST', 'daniel_megert')]</t>
  </si>
  <si>
    <t>2013-02-19 23:59 EST</t>
  </si>
  <si>
    <t>2013-02-19 23:59:39 EST</t>
  </si>
  <si>
    <t>2013-02-20 06:03:12 EST</t>
  </si>
  <si>
    <t>[('CREATED', '2013-02-19 23:59 EST'), ('reprogrammer', '2013-02-19 23:59:39 EST', 'reprogrammer'), ('enhancement', '2013-02-20 06:03:12 EST', 'daniel_megert'), ('ASSIGNED', '2013-02-20 06:03:12 EST', 'daniel_megert'), ('daniel_megert', '2013-02-20 06:03:12 EST', 'daniel_megert'), ('[refactoring] [rename] [extract local] If possible, report name conflicts before starting preview', '2013-02-20 06:03:12 EST', 'daniel_megert')]</t>
  </si>
  <si>
    <t>2013-03-21 11:41:24 EDT</t>
  </si>
  <si>
    <t>2013-03-03 20:06 EST</t>
  </si>
  <si>
    <t>2013-03-03 20:10:06 EST</t>
  </si>
  <si>
    <t>[('CREATED', '2013-03-03 20:06 EST'), ('srikanth_sankaran', '2013-03-03 20:10:06 EST', 'srikanth_sankaran'), ('UI', '2013-03-03 20:10:06 EST', 'srikanth_sankaran'), ('jdt-ui-inbox', '2013-03-03 20:10:06 EST', 'srikanth_sankaran'), ('[extract constant] Extracting constant from type-level annotation fails to qualify the constant', '2013-03-21 11:41:24 EDT', 'daniel_megert'), ('RESOLVED', '2013-03-21 11:41:24 EDT', 'daniel_megert'), ('daniel_megert', '2013-03-21 11:41:24 EDT', 'daniel_megert'), ('WORKSFORME', '2013-03-21 11:41:24 EDT', 'daniel_megert')]</t>
  </si>
  <si>
    <t>2013-03-06 04:58 EST</t>
  </si>
  <si>
    <t>2013-03-21 09:59:42 EDT</t>
  </si>
  <si>
    <t>2019-04-03 04:49:59 EDT</t>
  </si>
  <si>
    <t>[('CREATED', '2013-03-06 04:58 EST'), ('ASSIGNED', '2013-03-21 09:59:42 EDT', 'daniel_megert'), ('daniel_megert', '2013-03-21 09:59:42 EDT', 'daniel_megert'), ('[rename] refactor action inactive on last character of variable in Javadoc', '2013-03-21 09:59:42 EDT', 'daniel_megert'), ('stalebug', '2019-04-02 15:41:47 EDT', 'genie'), ('normal', '2019-04-03 04:49:59 EDT', 'daniel_megert'), (nan, '2019-04-03 04:49:59 EDT', 'daniel_megert')]</t>
  </si>
  <si>
    <t>CLOSED  DUPLICATE  of bug 349276</t>
  </si>
  <si>
    <t>2013-03-07 13:14:03 EST</t>
  </si>
  <si>
    <t>2013-03-06 21:15 EST</t>
  </si>
  <si>
    <t>2013-03-06 21:15:35 EST</t>
  </si>
  <si>
    <t>[('CREATED', '2013-03-06 21:15 EST'), ('Inline local variable creates multiple instances of the class', '2013-03-06 21:15:35 EST', 'oleg.tsvinev'), ('srikanth_sankaran', '2013-03-06 23:56:55 EST', 'srikanth_sankaran'), ('UI', '2013-03-06 23:56:55 EST', 'srikanth_sankaran'), ('jdt-ui-inbox', '2013-03-06 23:56:55 EST', 'srikanth_sankaran'), ('stephan.herrmann', '2013-03-07 07:26:20 EST', 'stephan.herrmann'), ('CLOSED', '2013-03-07 13:14:03 EST', 'markus.kell.r'), ('markus_keller', '2013-03-07 13:14:03 EST', 'markus.kell.r'), ('DUPLICATE', '2013-03-07 13:14:03 EST', 'markus.kell.r')]</t>
  </si>
  <si>
    <t>CLOSED  DUPLICATE  of bug 366048</t>
  </si>
  <si>
    <t>2013-03-20 13:16:38 EDT</t>
  </si>
  <si>
    <t>2013-03-20 08:48 EDT</t>
  </si>
  <si>
    <t>2013-03-20 10:57:50 EDT</t>
  </si>
  <si>
    <t>[('CREATED', '2013-03-20 08:48 EDT'), ('JDT', '2013-03-20 10:57:50 EDT', 'pwebster'), ('pwebster', '2013-03-20 10:57:50 EDT', 'pwebster'), ('UI', '2013-03-20 10:57:50 EDT', 'pwebster'), ('jdt-ui-inbox', '2013-03-20 10:57:50 EDT', 'pwebster'), ('CLOSED', '2013-03-20 13:16:38 EDT', 'daniel_megert'), ('daniel_megert', '2013-03-20 13:16:38 EDT', 'daniel_megert'), ('DUPLICATE', '2013-03-20 13:16:38 EDT', 'daniel_megert')]</t>
  </si>
  <si>
    <t>405843 429813</t>
  </si>
  <si>
    <t>404662</t>
  </si>
  <si>
    <t>2015-04-28 07:16:51 EDT</t>
  </si>
  <si>
    <t>2013-03-20 12:51 EDT</t>
  </si>
  <si>
    <t>2013-03-20 12:52:17 EDT</t>
  </si>
  <si>
    <t>[('CREATED', '2013-03-20 12:51 EDT'), ('ASSIGNED', '2013-03-20 12:52:17 EDT', 'markus.kell.r'), ('markus_keller', '2013-03-20 12:52:17 EDT', 'markus.kell.r'), ('manju_mathew', '2013-03-20 12:52:17 EDT', 'markus.kell.r'), ('BETA J8', '2013-03-20 12:52:17 EDT', 'markus.kell.r'), ('daniel_megert', '2013-03-21 04:33:00 EDT', 'daniel_megert'), ('manju_mathew', '2013-03-22 10:49:34 EDT', 'markus.kell.r'), ('jdt-ui-inbox', '2013-03-22 10:49:34 EDT', 'markus.kell.r'), ('P5', '2013-03-22 10:49:34 EDT', 'markus.kell.r'), ('404662', '2013-04-02 08:41:26 EDT', 'markus.kell.r'), ('405843', '2013-04-17 08:45:19 EDT', 'markus.kell.r'), ('manju_mathew', '2014-02-18 19:58:15 EST', 'manju656'), ('jdt-ui-inbox', '2014-02-18 20:06:20 EST', 'manju656'), ('stephan.herrmann', '2014-02-21 09:02:12 EST', 'stephan.herrmann'), ('---', '2014-05-15 10:01:21 EDT', 'markus.kell.r'), ('fix candidate', '2014-05-15 13:25:43 EDT', 'markus.kell.r'), ('1', '2015-03-15 19:38:44 EDT', 'stephan.herrmann'), ('review?(markus_keller)', '2015-03-16 09:56:32 EDT', 'markus.kell.r'), ('noopur_gupta', '2015-03-27 09:28:43 EDT', 'noopur_gupta'), ('https://bugs.eclipse.org/bugs/show_bug.cgi?id=463330', '2015-03-27 18:49:47 EDT', 'stephan.herrmann'), ('1', '2015-04-05 13:22:35 EDT', 'stephan.herrmann'), ('1', '2015-04-12 21:51:19 EDT', 'stephan.herrmann'), ('stephan.herrmann', '2015-04-12 21:51:19 EDT', 'stephan.herrmann'), ('4.5 M7', '2015-04-12 21:53:28 EDT', 'stephan.herrmann'), ('https://git.eclipse.org/r/45833', '2015-04-14 18:45:48 EDT', 'genie'), ('1', '2015-04-19 14:16:04 EDT', 'stephan.herrmann'), (nan, '2015-04-19 14:17:44 EDT', 'stephan.herrmann'), ('429813', '2015-04-19 14:17:44 EDT', 'stephan.herrmann'), ('1', '2015-04-22 17:56:52 EDT', 'stephan.herrmann'), ('review+', '2015-04-26 19:48:51 EDT', 'markus.kell.r'), ('https://git.eclipse.org/r/45833', '2015-04-28 05:13:48 EDT', 'genie'), ('https://git.eclipse.org/c/jdt/eclipse.jdt.ui.git/commit/?id=594ed91e555d1955d9ad67626570809adfd08aaf', '2015-04-28 07:13:48 EDT', 'genie'), ('RESOLVED', '2015-04-28 07:16:51 EDT', 'stephan.herrmann'), ('FIXED', '2015-04-28 07:16:51 EDT', 'stephan.herrmann'), (nan, '2015-04-28 07:16:51 EDT', 'stephan.herrmann')]</t>
  </si>
  <si>
    <t>2013-10-27 20:50:31 EDT</t>
  </si>
  <si>
    <t>2013-03-20 13:26 EDT</t>
  </si>
  <si>
    <t>2013-03-20 13:26:21 EDT</t>
  </si>
  <si>
    <t>[('CREATED', '2013-03-20 13:26 EDT'), ('ASSIGNED', '2013-03-20 13:26:21 EDT', 'markus.kell.r'), ('markus_keller', '2013-03-20 13:26:21 EDT', 'markus.kell.r'), ('noopur_gupta', '2013-03-20 13:26:21 EDT', 'markus.kell.r'), ('BETA J8', '2013-03-20 13:26:21 EDT', 'markus.kell.r'), ('daniel_megert', '2013-03-21 04:33:09 EDT', 'daniel_megert'), ('review?(markus_keller)', '2013-03-25 04:27:42 EDT', 'noopur_gupta'), ('RESOLVED', '2013-10-27 20:50:31 EDT', 'markus.kell.r'), ('FIXED', '2013-10-27 20:50:31 EDT', 'markus.kell.r'), ('review+', '2013-10-27 20:50:31 EDT', 'markus.kell.r')]</t>
  </si>
  <si>
    <t>CLOSED  DUPLICATE  of bug 405270</t>
  </si>
  <si>
    <t>2013-09-06 00:09:32 EDT</t>
  </si>
  <si>
    <t>2013-03-22 10:41 EDT</t>
  </si>
  <si>
    <t>2013-03-22 10:41:28 EDT</t>
  </si>
  <si>
    <t>[('CREATED', '2013-03-22 10:41 EDT'), ('ASSIGNED', '2013-03-22 10:41:28 EDT', 'markus.kell.r'), ('daniel_megert, markus_keller', '2013-03-22 10:41:28 EDT', 'markus.kell.r'), ('manju_mathew', '2013-03-22 10:41:28 EDT', 'markus.kell.r'), ('BETA J8', '2013-03-22 10:41:28 EDT', 'markus.kell.r'), ('DUPLICATE', '2013-09-06 00:09:32 EDT', 'manju656'), ('CLOSED', '2013-09-06 00:09:32 EDT', 'manju656')]</t>
  </si>
  <si>
    <t>2013-12-19 06:59:25 EST</t>
  </si>
  <si>
    <t>2013-03-28 05:54:25 EDT</t>
  </si>
  <si>
    <t>2013-12-13 05:06:54 EST</t>
  </si>
  <si>
    <t>2013-03-27 12:55 EDT</t>
  </si>
  <si>
    <t>[('CREATED', '2013-03-27 12:55 EDT'), ('CLOSED', '2013-03-28 05:54:25 EDT', 'daniel_megert'), ('daniel_megert', '2013-03-28 05:54:25 EDT', 'daniel_megert'), ('DUPLICATE', '2013-03-28 05:54:25 EDT', 'daniel_megert'), ('[move method] Annotation error in applying move-refactoring to inherited methods', '2013-03-28 06:04:20 EDT', 'daniel_megert'), ('nikolaymetchev', '2013-12-12 12:03:39 EST', 'nikolaymetchev'), ('REOPENED', '2013-12-13 05:06:54 EST', 'noopur_gupta'), ('noopur_gupta', '2013-12-13 05:06:54 EST', 'noopur_gupta'), ('---', '2013-12-13 05:06:54 EST', 'noopur_gupta'), ('ASSIGNED', '2013-12-13 05:08:07 EST', 'noopur_gupta'), ('All', '2013-12-13 05:08:07 EST', 'noopur_gupta'), ('review?(noopur_gupta)', '2013-12-13 05:08:07 EST', 'noopur_gupta'), ('All', '2013-12-13 05:08:07 EST', 'noopur_gupta'), ('markus_keller', '2013-12-19 01:37:09 EST', 'noopur_gupta'), ('nikolaymetchev', '2013-12-19 01:37:09 EST', 'noopur_gupta'), ('4.4 M5', '2013-12-19 01:37:09 EST', 'noopur_gupta'), ('1', '2013-12-19 06:34:02 EST', 'nikolaymetchev'), ('RESOLVED', '2013-12-19 06:59:25 EST', 'noopur_gupta'), ('FIXED', '2013-12-19 06:59:25 EST', 'noopur_gupta'), ('review+', '2013-12-19 06:59:25 EST', 'noopur_gupta')]</t>
  </si>
  <si>
    <t>2013-12-19 01:15:14 EST</t>
  </si>
  <si>
    <t>2013-03-27 13:16 EDT</t>
  </si>
  <si>
    <t>2013-03-28 05:42:00 EDT</t>
  </si>
  <si>
    <t>2013-12-19 10:37:30 EST</t>
  </si>
  <si>
    <t>[('CREATED', '2013-03-27 13:16 EDT'), ('All', '2013-03-28 05:42:00 EDT', 'daniel_megert'), ('ASSIGNED', '2013-03-28 05:42:00 EDT', 'daniel_megert'), ('daniel_megert', '2013-03-28 05:42:00 EDT', 'daniel_megert'), ('All', '2013-03-28 05:42:00 EDT', 'daniel_megert'), ('[move method] Wrong error message about duplicated method names in applying move-refactoring', '2013-03-28 05:42:00 EDT', 'daniel_megert'), ('[move method] Wrong detection of duplicate methods (can result in compile errors)', '2013-03-28 05:54:10 EDT', 'daniel_megert'), ('manju_mathew', '2013-11-07 01:20:15 EST', 'manju656'), ('nikolaymetchev', '2013-12-12 10:16:58 EST', 'nikolaymetchev'), ('noopur_gupta', '2013-12-13 04:34:38 EST', 'noopur_gupta'), ('review?(noopur_gupta)', '2013-12-13 04:34:38 EST', 'noopur_gupta'), ('markus_keller', '2013-12-13 05:13:51 EST', 'noopur_gupta'), ('nikolaymetchev', '2013-12-13 05:13:51 EST', 'noopur_gupta'), ('4.4 M5', '2013-12-13 05:13:51 EST', 'noopur_gupta'), ('RESOLVED', '2013-12-19 01:15:14 EST', 'noopur_gupta'), ('FIXED', '2013-12-19 01:15:14 EST', 'noopur_gupta'), ('review+', '2013-12-19 01:15:14 EST', 'noopur_gupta'), ('markus_keller', '2013-12-19 10:37:30 EST', 'markus.kell.r'), ('review-', '2013-12-19 10:37:30 EST', 'markus.kell.r')]</t>
  </si>
  <si>
    <t>2013-09-06 00:04:27 EDT</t>
  </si>
  <si>
    <t>2013-04-02 04:11 EDT</t>
  </si>
  <si>
    <t>2013-04-02 09:29:04 EDT</t>
  </si>
  <si>
    <t>2014-01-29 01:33:57 EST</t>
  </si>
  <si>
    <t>[('CREATED', '2013-04-02 04:11 EDT'), ('ASSIGNED', '2013-04-02 09:29:04 EDT', 'markus.kell.r'), ('markus_keller', '2013-04-02 09:29:04 EDT', 'markus.kell.r'), ('manju_mathew', '2013-04-02 09:29:04 EDT', 'markus.kell.r'), ('BETA J8', '2013-04-02 09:29:04 EDT', 'markus.kell.r'), ('[1.8][move method] Moving method with receiver parameter results in compiler error', '2013-04-02 09:29:04 EDT', 'markus.kell.r'), ('normal', '2013-04-02 09:32:37 EDT', 'markus.kell.r'), ('review?(markus_keller)', '2013-04-04 08:19:11 EDT', 'manju656'), ('1', '2013-04-05 07:19:43 EDT', 'manju656'), ('1', '2013-04-09 04:12:28 EDT', 'manju656'), ('CLOSED', '2013-09-06 00:04:27 EDT', 'manju656'), ('DUPLICATE', '2013-09-06 00:04:27 EDT', 'manju656'), (nan, '2014-01-29 01:33:57 EST', 'manju656')]</t>
  </si>
  <si>
    <t>2013-09-06 00:05:39 EDT</t>
  </si>
  <si>
    <t>2013-04-02 05:07 EDT</t>
  </si>
  <si>
    <t>2013-04-02 09:32:24 EDT</t>
  </si>
  <si>
    <t>[('CREATED', '2013-04-02 05:07 EDT'), ('ASSIGNED', '2013-04-02 09:32:24 EDT', 'markus.kell.r'), ('markus_keller', '2013-04-02 09:32:24 EDT', 'markus.kell.r'), ('manju_mathew', '2013-04-02 09:32:24 EDT', 'markus.kell.r'), ('BETA J8', '2013-04-02 09:32:24 EDT', 'markus.kell.r'), ('[1.8][move member type] Move Type to New File: receiver parameter not updated', '2013-04-02 09:32:24 EDT', 'markus.kell.r'), ('normal', '2013-04-02 09:32:24 EDT', 'markus.kell.r'), ('review?(markus_keller)', '2013-04-09 04:17:59 EDT', 'manju656'), ('CLOSED', '2013-09-06 00:05:39 EDT', 'manju656'), ('DUPLICATE', '2013-09-06 00:05:39 EDT', 'manju656')]</t>
  </si>
  <si>
    <t>CLOSED  DUPLICATE  of bug 150558</t>
  </si>
  <si>
    <t>2013-04-04 04:27:28 EDT</t>
  </si>
  <si>
    <t>2013-04-03 17:53 EDT</t>
  </si>
  <si>
    <t>[('CREATED', '2013-04-03 17:53 EDT'), ('CLOSED', '2013-04-04 04:27:28 EDT', 'daniel_megert'), ('daniel_megert', '2013-04-04 04:27:28 EDT', 'daniel_megert'), ('DUPLICATE', '2013-04-04 04:27:28 EDT', 'daniel_megert'), ('[move method] Move-refactoring looses comments', '2013-04-04 04:27:28 EDT', 'daniel_megert')]</t>
  </si>
  <si>
    <t>CLOSED  DUPLICATE  of bug 194998</t>
  </si>
  <si>
    <t>2013-04-08 09:43:12 EDT</t>
  </si>
  <si>
    <t>2013-04-05 21:45 EDT</t>
  </si>
  <si>
    <t>2013-04-06 08:40:46 EDT</t>
  </si>
  <si>
    <t>[('CREATED', '2013-04-05 21:45 EDT'), ('stephan.herrmann', '2013-04-06 08:40:46 EDT', 'stephan.herrmann'), ('UI', '2013-04-06 08:40:46 EDT', 'stephan.herrmann'), ('jdt-ui-inbox', '2013-04-06 08:40:46 EDT', 'stephan.herrmann'), ('CLOSED', '2013-04-08 09:43:12 EDT', 'daniel_megert'), ('daniel_megert', '2013-04-08 09:43:12 EDT', 'daniel_megert'), ('DUPLICATE', '2013-04-08 09:43:12 EDT', 'daniel_megert'), ('[encapsulate field] Refactor encapsulate: Bad assumption using method name should use method signature instead', '2013-04-08 09:43:12 EDT', 'daniel_megert')]</t>
  </si>
  <si>
    <t>404147 404700 404702 404705 (view as bug list)</t>
  </si>
  <si>
    <t>395612</t>
  </si>
  <si>
    <t>2013-04-09 08:24 EDT</t>
  </si>
  <si>
    <t>2013-04-09 08:25:24 EDT</t>
  </si>
  <si>
    <t>2013-09-06 01:35:53 EDT</t>
  </si>
  <si>
    <t>[('CREATED', '2013-04-09 08:24 EDT'), ('manju_mathew', '2013-04-09 08:25:24 EDT', 'manju656'), ('BETA J8', '2013-04-09 08:25:24 EDT', 'manju656'), ('daniel_megert', '2013-04-09 08:26:41 EDT', 'daniel_megert'), ('[1.8] [refactoring] Handling of receiver parameter during UI refactoring', '2013-04-09 08:26:49 EDT', 'daniel_megert'), ('[1.8][refactoring] Handling of receiver parameter during UI refactoring', '2013-04-09 08:26:55 EDT', 'daniel_megert'), ('ASSIGNED', '2013-04-12 01:51:00 EDT', 'manju656'), ('markus_keller', '2013-04-12 01:51:00 EDT', 'manju656'), ('395612', '2013-04-12 01:51:00 EDT', 'manju656'), ('review?', '2013-04-12 01:51:00 EDT', 'manju656'), ('review?(markus_keller)', '2013-04-12 04:07:09 EDT', 'manju656'), ('1', '2013-09-06 01:35:53 EDT', 'manju656'), ('1', '2013-09-06 01:35:53 EDT', 'manju656')]</t>
  </si>
  <si>
    <t>2013-04-09 16:06 EDT</t>
  </si>
  <si>
    <t>2013-04-10 06:42:38 EDT</t>
  </si>
  <si>
    <t>2019-10-22 06:43:04 EDT</t>
  </si>
  <si>
    <t>[('CREATED', '2013-04-09 16:06 EDT'), ('ASSIGNED', '2013-04-10 06:42:38 EDT', 'daniel_megert'), ('daniel_megert', '2013-04-10 06:42:38 EDT', 'daniel_megert'), ('[encapsulate field] Encapsulate field fails for field references via array and for loop variable', '2013-04-10 06:42:38 EDT', 'daniel_megert'), ('samrat.dhillon', '2013-11-12 21:17:31 EST', 'samrat.dhillon'), ('manju_mathew', '2013-11-13 04:12:22 EST', 'daniel_megert'), ('review?(manju_mathew)', '2013-11-13 04:12:22 EST', 'daniel_megert'), ('stalebug', '2019-10-22 06:43:04 EDT', 'genie')]</t>
  </si>
  <si>
    <t>2020-02-17 17:16:09 EST</t>
  </si>
  <si>
    <t>2013-04-11 22:05 EDT</t>
  </si>
  <si>
    <t>2013-04-15 01:55:59 EDT</t>
  </si>
  <si>
    <t>[('CREATED', '2013-04-11 22:05 EDT'), ('jarthana', '2013-04-15 01:55:59 EDT', 'jarthana'), ('UI', '2013-04-15 01:55:59 EDT', 'jarthana'), ('jdt-ui-inbox', '2013-04-15 01:55:59 EDT', 'jarthana'), ('ASSIGNED', '2013-04-15 06:58:37 EDT', 'daniel_megert'), ('daniel_megert', '2013-04-15 06:58:37 EDT', 'daniel_megert'), ('All', '2013-04-15 06:58:37 EDT', 'daniel_megert'), ('[5.0][rename] Renaming Top Level Class with Generic Parameters Fails', '2013-04-15 06:58:37 EDT', 'daniel_megert'), ('All', '2013-04-15 06:58:37 EDT', 'daniel_megert'), ('stalebug', '2020-02-17 17:16:09 EST', 'genie'), ('CLOSED', '2020-02-17 17:16:09 EST', 'genie'), ('WONTFIX', '2020-02-17 17:16:09 EST', 'genie')]</t>
  </si>
  <si>
    <t>2014-04-03 10:55:40 EDT</t>
  </si>
  <si>
    <t>2013-04-23 01:54 EDT</t>
  </si>
  <si>
    <t>2013-04-23 02:14:00 EDT</t>
  </si>
  <si>
    <t>2014-04-03 12:33:18 EDT</t>
  </si>
  <si>
    <t>[('CREATED', '2013-04-23 01:54 EDT'), ('daniel_megert', '2013-04-23 02:14:00 EDT', 'daniel_megert'), ('ASSIGNED', '2013-06-12 07:29:42 EDT', 'manju656'), ('markus_keller', '2013-06-12 07:29:42 EDT', 'manju656'), ('manju_mathew', '2013-06-12 07:29:42 EDT', 'manju656'), ('BETA J8', '2013-06-14 07:11:40 EDT', 'markus.kell.r'), ('noopur_gupta', '2013-06-19 04:26:04 EDT', 'manju656'), ('review?(markus_keller)', '2013-06-19 04:26:04 EDT', 'manju656'), (nan, '2013-06-19 06:50:39 EDT', 'manju656'), ('1', '2013-07-29 08:06:36 EDT', 'manju656'), ('review?(markus_keller)', '2013-07-29 08:07:12 EDT', 'manju656'), ('review?(noopur_gupta)', '2013-07-30 09:51:49 EDT', 'markus.kell.r'), ('0', '2013-08-01 05:42:35 EDT', 'manju656'), ('application/octet-stream', '2013-08-01 05:42:35 EDT', 'manju656'), ('review+', '2013-08-20 09:18:37 EDT', 'noopur_gupta'), ('RESOLVED', '2014-04-03 10:55:40 EDT', 'markus.kell.r'), ('FIXED', '2014-04-03 10:55:40 EDT', 'markus.kell.r'), ('4.4 M7', '2014-04-03 10:55:40 EDT', 'markus.kell.r'), ('review+', '2014-04-03 10:55:40 EDT', 'markus.kell.r'), ('pbenedict', '2014-04-03 12:33:18 EDT', 'pbenedict')]</t>
  </si>
  <si>
    <t>CLOSED  DUPLICATE  of bug 409520</t>
  </si>
  <si>
    <t>2013-06-12 06:44:53 EDT</t>
  </si>
  <si>
    <t>2013-04-23 02:14 EDT</t>
  </si>
  <si>
    <t>[('CREATED', '2013-04-23 02:14 EDT'), ('CLOSED', '2013-06-12 06:44:53 EDT', 'manju656'), ('DUPLICATE', '2013-06-12 06:44:53 EDT', 'manju656')]</t>
  </si>
  <si>
    <t>2013-10-07 05:29:49 EDT</t>
  </si>
  <si>
    <t>2013-04-23 12:31 EDT</t>
  </si>
  <si>
    <t>2013-04-24 05:40:05 EDT</t>
  </si>
  <si>
    <t>2013-10-08 13:16:54 EDT</t>
  </si>
  <si>
    <t>[('CREATED', '2013-04-23 12:31 EDT'), ('ASSIGNED', '2013-04-24 05:40:05 EDT', 'daniel_megert'), ('daniel_megert', '2013-04-24 05:40:05 EDT', 'daniel_megert'), ('All', '2013-04-24 05:40:05 EDT', 'daniel_megert'), ('3.3', '2013-04-24 05:40:05 EDT', 'daniel_megert'), ('[extract local] Extract to local variable not replacing multiple occurrences in same statement (MalformedTreeException: No target edit )', '2013-04-24 05:40:05 EDT', 'daniel_megert'), ('All', '2013-04-24 05:40:05 EDT', 'daniel_megert'), ('fix candidate', '2013-04-24 05:40:22 EDT', 'daniel_megert'), ('nikolaymetchev', '2013-10-03 09:00:36 EDT', 'nikolaymetchev'), ('noopur_gupta', '2013-10-03 11:31:24 EDT', 'daniel_megert'), ('review?(noopur_gupta)', '2013-10-03 11:31:24 EDT', 'daniel_megert'), ('1', '2013-10-04 07:28:04 EDT', 'noopur_gupta'), ('RESOLVED', '2013-10-07 05:29:49 EDT', 'noopur_gupta'), ('markus_keller', '2013-10-07 05:29:49 EDT', 'noopur_gupta'), ('FIXED', '2013-10-07 05:29:49 EDT', 'noopur_gupta'), ('nikolaymetchev', '2013-10-07 05:29:49 EDT', 'noopur_gupta'), ('4.4 M3', '2013-10-07 05:29:49 EDT', 'noopur_gupta'), ('review+', '2013-10-07 05:29:49 EDT', 'noopur_gupta'), (nan, '2013-10-08 13:16:54 EDT', 'markus.kell.r')]</t>
  </si>
  <si>
    <t>2013-04-26 17:36 EDT</t>
  </si>
  <si>
    <t>2013-04-29 09:15:20 EDT</t>
  </si>
  <si>
    <t>2018-12-03 18:45:01 EST</t>
  </si>
  <si>
    <t>[('CREATED', '2013-04-26 17:36 EDT'), ('ASSIGNED', '2013-04-29 09:15:20 EDT', 'daniel_megert'), ('daniel_megert', '2013-04-29 09:15:20 EDT', 'daniel_megert'), ("[extract local][extract constant] extract refactoring can't isolate negative-proceeded value", '2013-04-29 09:15:20 EDT', 'daniel_megert'), ('stalebug', '2018-12-03 18:45:01 EST', 'genie')]</t>
  </si>
  <si>
    <t>411608 425759 (view as bug list)</t>
  </si>
  <si>
    <t>413592</t>
  </si>
  <si>
    <t>2014-02-20 11:59:33 EST</t>
  </si>
  <si>
    <t>2014-02-23 19:35:14 EST</t>
  </si>
  <si>
    <t>2013-04-29 07:44 EDT</t>
  </si>
  <si>
    <t>2013-05-14 05:18:24 EDT</t>
  </si>
  <si>
    <t>[('CREATED', '2013-04-29 07:44 EDT'), ('405305', '2013-05-14 05:18:24 EDT', 'noopur_gupta'), ('daniel_megert', '2013-06-05 09:49:23 EDT', 'daniel_megert'), ('[1.8][extract method] Extract Method refactoring in interfaces not handled', '2013-06-05 09:49:23 EDT', 'daniel_megert'), ('manju_mathew', '2013-06-25 13:28:22 EDT', 'noopur_gupta'), ('noopur_gupta', '2013-07-11 06:38:05 EDT', 'noopur_gupta'), ('ASSIGNED', '2013-07-11 06:38:05 EDT', 'noopur_gupta'), ('markus_keller, noopur_gupta', '2013-07-11 06:38:05 EDT', 'noopur_gupta'), ('413592', '2013-07-24 02:04:57 EDT', 'noopur_gupta'), ('407985', '2013-08-22 06:19:18 EDT', 'noopur_gupta'), ('All', '2013-08-22 07:01:54 EDT', 'noopur_gupta'), ('BETA J8', '2013-08-22 07:01:54 EDT', 'noopur_gupta'), ('review?(markus_keller)', '2013-08-22 07:01:54 EDT', 'noopur_gupta'), ('All', '2013-08-22 07:01:54 EDT', 'noopur_gupta'), ('407985', '2013-09-10 09:35:07 EDT', 'noopur_gupta'), (nan, '2013-09-10 09:35:07 EDT', 'noopur_gupta'), ('1', '2013-10-01 08:25:10 EDT', 'noopur_gupta'), ('timo.kinnunen', '2014-01-15 09:08:40 EST', 'noopur_gupta'), ('RESOLVED', '2014-02-20 11:59:33 EST', 'markus.kell.r'), ('FIXED', '2014-02-20 11:59:33 EST', 'markus.kell.r'), ('review+', '2014-02-20 11:59:33 EST', 'markus.kell.r'), ('VERIFIED', '2014-02-23 19:35:14 EST', 'manju656')]</t>
  </si>
  <si>
    <t>403924 404489 406469</t>
  </si>
  <si>
    <t>2014-02-07 19:25:02 EST</t>
  </si>
  <si>
    <t>2013-05-02 05:53 EDT</t>
  </si>
  <si>
    <t>2013-05-02 05:53:57 EDT</t>
  </si>
  <si>
    <t>[('CREATED', '2013-05-02 05:53 EDT'), ('markus_keller', '2013-05-02 05:53:57 EDT', 'markus.kell.r'), ('manju_mathew', '2013-05-02 05:53:57 EDT', 'markus.kell.r'), ('BETA J8', '2013-05-02 05:53:57 EDT', 'markus.kell.r'), ('406469', '2013-05-02 06:00:50 EDT', 'markus.kell.r'), ('407364', '2013-05-07 04:07:21 EDT', 'manpalat'), (nan, '2013-05-07 07:32:39 EDT', 'markus.kell.r'), ('ASSIGNED', '2013-05-21 10:12:30 EDT', 'manju656'), ('403924', '2013-06-12 05:21:34 EDT', 'manju656'), ('noopur_gupta', '2013-06-27 00:57:01 EDT', 'manju656'), ('1', '2013-10-29 02:29:40 EDT', 'manju656'), ('review?(markus_keller)', '2013-10-29 02:30:29 EDT', 'manju656'), ('1', '2014-01-06 22:28:50 EST', 'manju656'), ('RESOLVED', '2014-02-07 19:25:02 EST', 'markus.kell.r'), ('FIXED', '2014-02-07 19:25:02 EST', 'markus.kell.r'), ('review+', '2014-02-07 19:25:02 EST', 'markus.kell.r')]</t>
  </si>
  <si>
    <t>2020-02-05 16:35:41 EST</t>
  </si>
  <si>
    <t>2013-05-04 15:26 EDT</t>
  </si>
  <si>
    <t>2013-05-04 16:00:44 EDT</t>
  </si>
  <si>
    <t>[('CREATED', '2013-05-04 15:26 EDT'), ('stephan.herrmann', '2013-05-04 16:00:44 EDT', 'stephan.herrmann'), ('UI', '2013-05-04 16:00:44 EDT', 'stephan.herrmann'), ('jdt-ui-inbox', '2013-05-04 16:00:44 EDT', 'stephan.herrmann'), ('daniel_megert', '2013-05-06 05:04:17 EDT', 'daniel_megert'), ('[ltk] java.lang.NullPointerException on undoing', '2013-05-06 05:04:17 EDT', 'daniel_megert'), ('needinfo', '2013-05-06 05:04:17 EDT', 'daniel_megert'), ('ASSIGNED', '2013-05-21 10:31:28 EDT', 'daniel_megert'), (nan, '2013-05-21 11:00:15 EDT', 'stephan.herrmann'), ('CLOSED', '2020-02-05 16:35:41 EST', 'genie'), ('WONTFIX', '2020-02-05 16:35:41 EST', 'genie'), ('stalebug', '2020-02-05 16:35:41 EST', 'genie')]</t>
  </si>
  <si>
    <t>2013-05-06 20:20 EDT</t>
  </si>
  <si>
    <t>2013-05-07 04:23:23 EDT</t>
  </si>
  <si>
    <t>2013-05-07 08:45:44 EDT</t>
  </si>
  <si>
    <t>[('CREATED', '2013-05-06 20:20 EDT'), ('jarthana, markus_keller', '2013-05-07 04:23:23 EDT', 'jarthana'), ('UI', '2013-05-07 04:23:23 EDT', 'jarthana'), ('jdt-ui-inbox', '2013-05-07 04:23:23 EDT', 'jarthana'), ('enhancement', '2013-05-07 08:45:44 EDT', 'markus.kell.r'), ('P5', '2013-05-07 08:45:44 EDT', 'markus.kell.r'), ('ASSIGNED', '2013-05-07 08:45:44 EDT', 'markus.kell.r'), ('[inline] Inline Method could avoid array creation if varargs argument is passed on', '2013-05-07 08:45:44 EDT', 'markus.kell.r')]</t>
  </si>
  <si>
    <t>2013-05-08 10:33:47 EDT</t>
  </si>
  <si>
    <t>2013-05-13 04:23:08 EDT</t>
  </si>
  <si>
    <t>2013-05-07 06:15 EDT</t>
  </si>
  <si>
    <t>2013-05-07 08:40:10 EDT</t>
  </si>
  <si>
    <t>[('CREATED', '2013-05-07 06:15 EDT'), ('All', '2013-05-07 08:40:10 EDT', 'daniel_megert'), ('normal', '2013-05-07 08:40:10 EDT', 'daniel_megert'), ('daniel_megert, markus_keller', '2013-05-07 08:40:10 EDT', 'daniel_megert'), ('All', '2013-05-07 08:40:10 EDT', 'daniel_megert'), ('daniel_megert', '2013-05-07 08:40:10 EDT', 'daniel_megert'), ('4.3 RC1', '2013-05-07 08:40:10 EDT', 'daniel_megert'), ('ASSIGNED', '2013-05-07 08:55:57 EDT', 'markus.kell.r'), ('review?(markus_keller)', '2013-05-08 05:23:33 EDT', 'daniel_megert'), ('RESOLVED', '2013-05-08 10:33:47 EDT', 'markus.kell.r'), ('FIXED', '2013-05-08 10:33:47 EDT', 'markus.kell.r'), ('review+', '2013-05-08 10:33:47 EDT', 'markus.kell.r'), ('VERIFIED', '2013-05-13 04:23:08 EDT', 'daniel_megert')]</t>
  </si>
  <si>
    <t>2014-04-22 10:45:06 EDT</t>
  </si>
  <si>
    <t>2013-05-10 12:03 EDT</t>
  </si>
  <si>
    <t>2013-05-13 02:53:06 EDT</t>
  </si>
  <si>
    <t>[('CREATED', '2013-05-10 12:03 EDT'), ('jarthana', '2013-05-13 02:53:06 EDT', 'jarthana'), ('UI', '2013-05-13 04:49:48 EDT', 'jarthana'), ('jdt-ui-inbox', '2013-05-13 04:49:48 EDT', 'jarthana'), ('All', '2013-05-14 03:01:58 EDT', 'daniel_megert'), ('daniel_megert', '2013-05-14 03:01:58 EDT', 'daniel_megert'), ('daniel_megert', '2013-05-14 03:01:58 EDT', 'daniel_megert'), ('Sort Members causes IAE: Comparison method violates its general contract!', '2013-05-14 03:01:58 EDT', 'daniel_megert'), ('4.4', '2013-05-14 03:01:58 EDT', 'daniel_megert'), ('All', '2013-05-14 03:01:58 EDT', 'daniel_megert'), ('ASSIGNED', '2013-05-14 03:01:58 EDT', 'daniel_megert'), ('3.4', '2013-05-14 03:01:58 EDT', 'daniel_megert'), ('markus_keller', '2013-05-14 08:41:51 EDT', 'markus.kell.r'), ('4.3 candidate', '2013-05-14 08:41:51 EDT', 'markus.kell.r'), ('4.4 M3', '2013-10-10 05:54:11 EDT', 'daniel_megert'), ('4.4 M4', '2013-10-28 11:15:55 EDT', 'daniel_megert'), (nan, '2013-10-28 11:15:55 EDT', 'daniel_megert'), ('4.4 M5', '2013-10-28 11:16:19 EDT', 'daniel_megert'), ('4.4 M4', '2013-10-28 11:16:26 EDT', 'daniel_megert'), ('4.4 M5', '2013-12-11 08:37:42 EST', 'daniel_megert'), ('4.4 M6', '2014-01-21 04:32:50 EST', 'markus.kell.r'), ('4.4', '2014-02-24 11:05:35 EST', 'daniel_megert'), ('noopur_gupta', '2014-02-24 11:05:35 EST', 'daniel_megert'), ('4.5', '2014-04-22 08:31:05 EDT', 'noopur_gupta'), ('RESOLVED', '2014-04-22 10:45:06 EDT', 'markus.kell.r'), ('noopur_gupta', '2014-04-22 10:45:06 EDT', 'markus.kell.r'), ('FIXED', '2014-04-22 10:45:06 EDT', 'markus.kell.r'), ('markus_keller', '2014-04-22 10:45:06 EDT', 'markus.kell.r'), ('4.4 M7', '2014-04-22 10:45:06 EDT', 'markus.kell.r')]</t>
  </si>
  <si>
    <t>406786 413592 416560 417017</t>
  </si>
  <si>
    <t>405305 408009</t>
  </si>
  <si>
    <t>2014-02-20 11:59:29 EST</t>
  </si>
  <si>
    <t>2014-02-23 18:20:02 EST</t>
  </si>
  <si>
    <t>2013-05-14 05:16 EDT</t>
  </si>
  <si>
    <t>[('CREATED', '2013-05-14 05:16 EDT'), ('405305', '2013-05-14 05:18:24 EDT', 'noopur_gupta'), ('[1.8][extract method] Extract Method refactoring from Lambda Excpressions', '2013-05-14 07:15:52 EDT', 'noopur_gupta'), ('BETA J8', '2013-07-29 03:53:08 EDT', 'noopur_gupta'), ('ASSIGNED', '2013-07-29 03:58:57 EDT', 'noopur_gupta'), ('406786', '2013-08-22 06:19:18 EDT', 'noopur_gupta'), ('daniel_megert, markus_keller, noopur_gupta', '2013-08-29 04:34:55 EDT', 'noopur_gupta'), ('All', '2013-08-29 04:34:55 EDT', 'noopur_gupta'), ('noopur_gupta', '2013-08-29 04:34:55 EDT', 'noopur_gupta'), ('[1.8][extract method] Extract Method refactoring from Lambda Expressions', '2013-08-29 04:34:55 EDT', 'noopur_gupta'), ('All', '2013-08-29 04:34:55 EDT', 'noopur_gupta'), (nan, '2013-09-10 09:35:07 EDT', 'noopur_gupta'), ('406786', '2013-09-10 09:35:07 EDT', 'noopur_gupta'), ('408009', '2013-09-10 10:15:59 EDT', 'noopur_gupta'), ('416560, 413592', '2013-09-11 04:48:05 EDT', 'noopur_gupta'), ('review?(markus_keller)', '2013-09-11 04:48:05 EDT', 'noopur_gupta'), ('417017', '2013-09-11 11:52:42 EDT', 'noopur_gupta'), ('michal.piotrkowski', '2014-02-05 06:40:49 EST', 'michal.piotrkowski'), ('RESOLVED', '2014-02-20 11:59:29 EST', 'markus.kell.r'), ('FIXED', '2014-02-20 11:59:29 EST', 'markus.kell.r'), ('review+', '2014-02-20 11:59:29 EST', 'markus.kell.r'), ('VERIFIED', '2014-02-23 18:20:02 EST', 'manju656'), ('manju_mathew', '2014-02-23 18:20:02 EST', 'manju656')]</t>
  </si>
  <si>
    <t>407985</t>
  </si>
  <si>
    <t>405305</t>
  </si>
  <si>
    <t>2014-02-20 12:20:59 EST</t>
  </si>
  <si>
    <t>2014-02-23 18:21:42 EST</t>
  </si>
  <si>
    <t>2013-05-14 08:48 EDT</t>
  </si>
  <si>
    <t>2013-05-14 08:49:40 EDT</t>
  </si>
  <si>
    <t>[('CREATED', '2013-05-14 08:48 EDT'), ('405305', '2013-05-14 08:49:40 EDT', 'noopur_gupta'), ('[1.8][extract method][extract local] Unable to extract lambda expression to method or local variable', '2013-05-15 08:00:41 EDT', 'noopur_gupta'), ('BETA J8', '2013-07-29 03:53:29 EDT', 'noopur_gupta'), ('ASSIGNED', '2013-07-29 03:58:48 EDT', 'noopur_gupta'), ('noopur_gupta', '2013-08-30 12:26:04 EDT', 'noopur_gupta'), ('[1.8][extract method] Unable to extract lambda expression to method', '2013-08-30 12:26:04 EDT', 'noopur_gupta'), ('All', '2013-08-30 12:26:04 EDT', 'noopur_gupta'), ('daniel_megert, markus_keller, noopur_gupta', '2013-08-30 12:26:04 EDT', 'noopur_gupta'), ('All', '2013-08-30 12:26:04 EDT', 'noopur_gupta'), ('407985', '2013-09-10 10:15:59 EDT', 'noopur_gupta'), ('RESOLVED', '2014-02-20 12:20:59 EST', 'noopur_gupta'), ('FIXED', '2014-02-20 12:20:59 EST', 'noopur_gupta'), ('VERIFIED', '2014-02-23 18:21:42 EST', 'manju656'), ('manju_mathew', '2014-02-23 18:21:42 EST', 'manju656')]</t>
  </si>
  <si>
    <t>2013-05-21 11:07:25 EDT</t>
  </si>
  <si>
    <t>2013-05-22 03:06:45 EDT</t>
  </si>
  <si>
    <t>2013-05-15 09:01 EDT</t>
  </si>
  <si>
    <t>2013-05-15 17:02:18 EDT</t>
  </si>
  <si>
    <t>[('CREATED', '2013-05-15 09:01 EDT'), ('[refactoring] CCE with Extract Class refactoring on a class with comment', '2013-05-15 17:02:18 EDT', 'daniel_megert'), ('All', '2013-05-15 17:02:18 EDT', 'daniel_megert'), ('ASSIGNED', '2013-05-15 17:02:18 EDT', 'daniel_megert'), ('daniel_megert', '2013-05-15 17:02:18 EDT', 'daniel_megert'), ('All', '2013-05-15 17:02:18 EDT', 'daniel_megert'), ('3.4', '2013-05-15 17:02:18 EDT', 'daniel_megert'), ('markus_keller', '2013-05-17 08:43:09 EDT', 'markus.kell.r'), ('4.3 RC2', '2013-05-17 08:44:54 EDT', 'markus.kell.r'), ('review?(daniel_megert)', '2013-05-17 08:44:54 EDT', 'markus.kell.r'), ('review+, review?(noopur_gupta)', '2013-05-21 07:21:10 EDT', 'daniel_megert'), ('review+', '2013-05-21 07:21:48 EDT', 'daniel_megert'), ('review+', '2013-05-21 07:45:24 EDT', 'noopur_gupta'), ('RESOLVED', '2013-05-21 11:07:25 EDT', 'markus.kell.r'), ('FIXED', '2013-05-21 11:07:25 EDT', 'markus.kell.r'), ('VERIFIED', '2013-05-22 03:06:45 EDT', 'daniel_megert')]</t>
  </si>
  <si>
    <t>2020-05-01 04:35:44 EDT</t>
  </si>
  <si>
    <t>2013-05-16 10:23 EDT</t>
  </si>
  <si>
    <t>2013-05-17 05:00:36 EDT</t>
  </si>
  <si>
    <t>[('CREATED', '2013-05-16 10:23 EDT'), ('All', '2013-05-17 05:00:36 EDT', 'daniel_megert'), ('ASSIGNED', '2013-05-17 05:00:36 EDT', 'daniel_megert'), ('daniel_megert', '2013-05-17 05:00:36 EDT', 'daniel_megert'), ('All', '2013-05-17 05:00:36 EDT', 'daniel_megert'), ('[dnd] Dropping method inside an enum causes exceptions', '2013-05-17 05:00:36 EDT', 'daniel_megert'), ('helpwanted', '2013-05-23 07:23:08 EDT', 'daniel_megert'), ('3.2', '2013-05-23 07:23:08 EDT', 'daniel_megert'), ('stalebug', '2020-05-01 04:35:44 EDT', 'genie'), ('CLOSED', '2020-05-01 04:35:44 EDT', 'genie'), ('WONTFIX', '2020-05-01 04:35:44 EDT', 'genie')]</t>
  </si>
  <si>
    <t>2013-12-05 14:21:13 EST</t>
  </si>
  <si>
    <t>2013-05-17 07:53 EDT</t>
  </si>
  <si>
    <t>2013-05-17 11:19:15 EDT</t>
  </si>
  <si>
    <t>[('CREATED', '2013-05-17 07:53 EDT'), ('ASSIGNED', '2013-05-17 11:19:15 EDT', 'markus.kell.r'), ('markus_keller', '2013-05-17 11:19:15 EDT', 'markus.kell.r'), ('All', '2013-05-17 11:20:07 EDT', 'markus.kell.r'), ('4.4', '2013-05-17 11:20:07 EDT', 'markus.kell.r'), ('All', '2013-05-17 11:20:07 EDT', 'markus.kell.r'), ('RESOLVED', '2013-12-05 14:21:13 EST', 'markus.kell.r'), ('FIXED', '2013-12-05 14:21:13 EST', 'markus.kell.r'), ('4.4 M4', '2013-12-05 14:21:13 EST', 'markus.kell.r')]</t>
  </si>
  <si>
    <t>CLOSED  DUPLICATE  of bug 268665</t>
  </si>
  <si>
    <t>2013-05-21 08:22:11 EDT</t>
  </si>
  <si>
    <t>2013-05-18 11:39 EDT</t>
  </si>
  <si>
    <t>2013-05-21 08:22:22 EDT</t>
  </si>
  <si>
    <t>[('CREATED', '2013-05-18 11:39 EDT'), ('CLOSED', '2013-05-21 08:22:11 EDT', 'daniel_megert'), ('daniel_megert', '2013-05-21 08:22:11 EDT', 'daniel_megert'), ('DUPLICATE', '2013-05-21 08:22:11 EDT', 'daniel_megert'), ('[change method signature][refactoring] remove method parameter reports unnecessary error against self-call', '2013-05-21 08:22:11 EDT', 'daniel_megert'), ('[change method signature] remove method parameter reports unnecessary error against self-call', '2013-05-21 08:22:22 EDT', 'daniel_megert')]</t>
  </si>
  <si>
    <t>2013-05-29 10:15:58 EDT</t>
  </si>
  <si>
    <t>2013-05-31 04:18:03 EDT</t>
  </si>
  <si>
    <t>2013-05-21 06:13 EDT</t>
  </si>
  <si>
    <t>2013-05-29 05:37:20 EDT</t>
  </si>
  <si>
    <t>[('CREATED', '2013-05-21 06:13 EDT'), ('daniel_megert', '2013-05-29 05:37:20 EDT', 'daniel_megert'), ('markus_keller', '2013-05-29 05:37:20 EDT', 'daniel_megert'), ('4.3 RC3', '2013-05-29 05:37:20 EDT', 'daniel_megert'), ('RESOLVED', '2013-05-29 10:15:58 EDT', 'markus.kell.r'), ('FIXED', '2013-05-29 10:15:58 EDT', 'markus.kell.r'), ('VERIFIED', '2013-05-31 04:18:03 EDT', 'daniel_megert')]</t>
  </si>
  <si>
    <t>437442 (view as bug list)</t>
  </si>
  <si>
    <t>422566 422766</t>
  </si>
  <si>
    <t>2014-04-27 18:44:41 EDT</t>
  </si>
  <si>
    <t>2013-05-24 08:01 EDT</t>
  </si>
  <si>
    <t>2013-05-24 08:01:45 EDT</t>
  </si>
  <si>
    <t>2014-06-15 08:08:22 EDT</t>
  </si>
  <si>
    <t>[('CREATED', '2013-05-24 08:01 EDT'), ('405305', '2013-05-24 08:01:45 EDT', 'noopur_gupta'), ('ASSIGNED', '2013-07-29 03:58:21 EDT', 'noopur_gupta'), ('BETA J8', '2013-07-29 03:58:21 EDT', 'noopur_gupta'), ('noopur_gupta', '2013-11-20 08:43:42 EST', 'noopur_gupta'), ('All', '2013-11-20 08:43:42 EST', 'noopur_gupta'), ('daniel_megert, markus_keller, noopur_gupta', '2013-11-20 08:43:42 EST', 'noopur_gupta'), ('All', '2013-11-20 08:43:42 EST', 'noopur_gupta'), ('422566', '2013-11-26 07:33:00 EST', 'noopur_gupta'), ('422766', '2013-11-28 09:34:28 EST', 'noopur_gupta'), ('423439', '2013-12-06 10:14:56 EST', 'markus.kell.r'), ('424745', '2013-12-30 07:07:21 EST', 'noopur_gupta'), ('[1.8][inline] Invalid inline constant and inline temp refactorings using lambda expressions', '2013-12-31 01:53:18 EST', 'noopur_gupta'), ('review?(markus_keller)', '2013-12-31 01:53:18 EST', 'noopur_gupta'), (nan, '2014-04-23 08:14:16 EDT', 'noopur_gupta'), ('RESOLVED', '2014-04-27 18:44:41 EDT', 'markus.kell.r'), ('424745', '2014-04-27 18:44:41 EDT', 'markus.kell.r'), ('FIXED', '2014-04-27 18:44:41 EDT', 'markus.kell.r'), ('4.4 M7', '2014-04-27 18:44:41 EDT', 'markus.kell.r'), ('review+', '2014-04-27 18:44:41 EDT', 'markus.kell.r'), ('souheil.sultan', '2014-06-15 08:08:22 EDT', 'noopur_gupta')]</t>
  </si>
  <si>
    <t>2013-05-28 04:05:40 EDT</t>
  </si>
  <si>
    <t>2013-05-28 04:23:34 EDT</t>
  </si>
  <si>
    <t>2013-05-27 08:50 EDT</t>
  </si>
  <si>
    <t>2013-05-27 10:46:15 EDT</t>
  </si>
  <si>
    <t>2013-05-28 04:38:37 EDT</t>
  </si>
  <si>
    <t>[('CREATED', '2013-05-27 08:50 EDT'), ('CLOSED', '2013-05-27 10:46:15 EDT', 'daniel_megert'), ('daniel_megert', '2013-05-27 10:46:15 EDT', 'daniel_megert'), ('DUPLICATE', '2013-05-27 10:46:15 EDT', 'daniel_megert'), ("[organize imports] Organize import doesn't find moved classes of static imports", '2013-05-27 10:46:15 EDT', 'daniel_megert'), ('---', '2013-05-28 03:42:06 EDT', 't-oberlies'), ('REOPENED', '2013-05-28 03:42:06 EDT', 't-oberlies'), ('CLOSED', '2013-05-28 04:05:40 EDT', 'daniel_megert'), ('DUPLICATE', '2013-05-28 04:05:40 EDT', 'daniel_megert'), ('REOPENED', '2013-05-28 04:23:34 EDT', 't-oberlies'), ('---', '2013-05-28 04:23:34 EDT', 't-oberlies'), ('enhancement', '2013-05-28 04:23:34 EDT', 't-oberlies'), ('helpwanted', '2013-05-28 04:38:37 EDT', 'daniel_megert'), ('P5', '2013-05-28 04:38:37 EDT', 'daniel_megert'), ('ASSIGNED', '2013-05-28 04:38:37 EDT', 'daniel_megert'), ('All', '2013-05-28 04:38:37 EDT', 'daniel_megert'), ('All', '2013-05-28 04:38:37 EDT', 'daniel_megert')]</t>
  </si>
  <si>
    <t>409586</t>
  </si>
  <si>
    <t>2014-02-18 23:38:13 EST</t>
  </si>
  <si>
    <t>2014-02-21 02:12:33 EST</t>
  </si>
  <si>
    <t>2013-05-31 10:16 EDT</t>
  </si>
  <si>
    <t>2013-05-31 10:28:17 EDT</t>
  </si>
  <si>
    <t>[('CREATED', '2013-05-31 10:16 EDT'), ('P2', '2013-05-31 10:28:17 EDT', 'markus.kell.r'), ('ASSIGNED', '2013-05-31 10:28:17 EDT', 'markus.kell.r'), ('markus_keller', '2013-05-31 10:28:17 EDT', 'markus.kell.r'), ('BETA J8', '2013-05-31 10:28:17 EDT', 'markus.kell.r'), ('[1.8][refactoring] UI refactorings affected by lack of TYPE_USE annotations in ITypeBindings', '2013-05-31 10:28:17 EDT', 'markus.kell.r'), ('noopur_gupta', '2013-05-31 10:40:49 EDT', 'noopur_gupta'), ('RESOLVED', '2014-02-18 23:38:13 EST', 'manju656'), ('FIXED', '2014-02-18 23:38:13 EST', 'manju656'), ('VERIFIED', '2014-02-21 02:12:33 EST', 'noopur_gupta')]</t>
  </si>
  <si>
    <t>2013-06-03 09:59:29 EDT</t>
  </si>
  <si>
    <t>2013-06-05 06:19:46 EDT</t>
  </si>
  <si>
    <t>2013-06-03 05:21 EDT</t>
  </si>
  <si>
    <t>2013-06-03 05:23:23 EDT</t>
  </si>
  <si>
    <t>[('CREATED', '2013-06-03 05:21 EDT'), ('test', '2013-06-03 05:23:23 EDT', 'daniel_megert'), ('4.3 RC4', '2013-06-03 09:59:29 EDT', 'markus.kell.r'), ('RESOLVED', '2013-06-03 09:59:29 EDT', 'markus.kell.r'), ('markus_keller', '2013-06-03 09:59:29 EDT', 'markus.kell.r'), ('FIXED', '2013-06-03 09:59:29 EDT', 'markus.kell.r'), ('markus_keller', '2013-06-03 09:59:29 EDT', 'markus.kell.r'), ('VERIFIED', '2013-06-05 06:19:46 EDT', 'markus.kell.r')]</t>
  </si>
  <si>
    <t>2013-06-03 10:04:41 EDT</t>
  </si>
  <si>
    <t>2013-06-05 06:19:42 EDT</t>
  </si>
  <si>
    <t>2013-06-03 05:23 EDT</t>
  </si>
  <si>
    <t>2013-06-03 05:23:28 EDT</t>
  </si>
  <si>
    <t>[('CREATED', '2013-06-03 05:23 EDT'), ('test', '2013-06-03 05:23:28 EDT', 'daniel_megert'), ('4.3 RC4', '2013-06-03 10:04:41 EDT', 'markus.kell.r'), ('RESOLVED', '2013-06-03 10:04:41 EDT', 'markus.kell.r'), ('markus_keller', '2013-06-03 10:04:41 EDT', 'markus.kell.r'), ('FIXED', '2013-06-03 10:04:41 EDT', 'markus.kell.r'), ('markus_keller', '2013-06-03 10:04:41 EDT', 'markus.kell.r'), ('VERIFIED', '2013-06-05 06:19:42 EDT', 'markus.kell.r')]</t>
  </si>
  <si>
    <t>2013-12-10 14:33:10 EST</t>
  </si>
  <si>
    <t>2013-06-03 10:20:23 EDT</t>
  </si>
  <si>
    <t>2013-12-10 08:52:56 EST</t>
  </si>
  <si>
    <t>2013-06-03 05:48 EDT</t>
  </si>
  <si>
    <t>2013-06-03 05:48:21 EDT</t>
  </si>
  <si>
    <t>[('CREATED', '2013-06-03 05:48 EDT'), ('Mac OS X', '2013-06-03 05:48:21 EDT', 'daniel_megert'), ('RESOLVED', '2013-06-03 10:20:23 EDT', 'markus.kell.r'), ('markus_keller', '2013-06-03 10:20:23 EDT', 'markus.kell.r'), ('WORKSFORME', '2013-06-03 10:20:23 EDT', 'markus.kell.r'), ('All', '2013-12-10 08:52:56 EST', 'daniel_megert'), ('---', '2013-12-10 08:52:56 EST', 'daniel_megert'), ('All', '2013-12-10 08:52:56 EST', 'daniel_megert'), ('REOPENED', '2013-12-10 08:52:56 EST', 'daniel_megert'), ('RESOLVED', '2013-12-10 14:33:10 EST', 'markus.kell.r'), ('deepakazad', '2013-12-10 14:33:10 EST', 'markus.kell.r'), ('FIXED', '2013-12-10 14:33:10 EST', 'markus.kell.r'), ('markus_keller', '2013-12-10 14:33:10 EST', 'markus.kell.r'), ('4.4 M4', '2013-12-10 14:33:10 EST', 'markus.kell.r')]</t>
  </si>
  <si>
    <t>2014-02-19 09:14:34 EST</t>
  </si>
  <si>
    <t>2014-02-24 21:53:37 EST</t>
  </si>
  <si>
    <t>2013-06-03 08:41 EDT</t>
  </si>
  <si>
    <t>2013-06-03 10:25:09 EDT</t>
  </si>
  <si>
    <t>[('CREATED', '2013-06-03 08:41 EDT'), ('markus_keller', '2013-06-03 10:25:09 EDT', 'markus.kell.r'), ('noopur_gupta', '2013-06-03 10:25:09 EDT', 'markus.kell.r'), ('BETA J8', '2013-06-03 10:25:09 EDT', 'markus.kell.r'), ('ASSIGNED', '2013-06-03 10:25:09 EDT', 'markus.kell.r'), ('review?(markus_keller)', '2013-06-05 05:27:15 EDT', 'noopur_gupta'), ('RESOLVED', '2014-02-19 09:14:34 EST', 'markus.kell.r'), ('FIXED', '2014-02-19 09:14:34 EST', 'markus.kell.r'), ('review+', '2014-02-19 09:14:34 EST', 'markus.kell.r'), ('VERIFIED', '2014-02-24 21:53:37 EST', 'manju656'), ('manju_mathew', '2014-02-24 21:53:37 EST', 'manju656')]</t>
  </si>
  <si>
    <t>2014-04-24 09:18:04 EDT</t>
  </si>
  <si>
    <t>2013-06-03 09:03 EDT</t>
  </si>
  <si>
    <t>2013-06-03 10:26:34 EDT</t>
  </si>
  <si>
    <t>[('CREATED', '2013-06-03 09:03 EDT'), ('ASSIGNED', '2013-06-03 10:26:34 EDT', 'markus.kell.r'), ('markus_keller', '2013-06-03 10:26:34 EDT', 'markus.kell.r'), ('BETA J8', '2013-06-03 10:26:34 EDT', 'markus.kell.r'), ('noopur_gupta', '2013-06-10 04:45:50 EDT', 'noopur_gupta'), ('noopur_gupta', '2013-06-10 04:45:50 EDT', 'noopur_gupta'), ('All', '2013-06-12 02:10:56 EDT', 'noopur_gupta'), ('review?(markus_keller)', '2013-06-12 02:10:56 EDT', 'noopur_gupta'), ('All', '2013-06-12 02:10:56 EDT', 'noopur_gupta'), ('1', '2013-06-20 07:13:21 EDT', 'noopur_gupta'), ('1', '2014-04-15 09:10:39 EDT', 'noopur_gupta'), ('manju_mathew', '2014-04-15 09:10:57 EDT', 'noopur_gupta'), ('review?(manju_mathew)', '2014-04-15 09:10:57 EDT', 'noopur_gupta'), ('1', '2014-04-18 07:50:23 EDT', 'noopur_gupta'), ('4.4 M7', '2014-04-22 06:32:26 EDT', 'noopur_gupta'), ('RESOLVED', '2014-04-24 09:18:04 EDT', 'markus.kell.r'), ('FIXED', '2014-04-24 09:18:04 EDT', 'markus.kell.r'), ('review+', '2014-04-24 09:18:04 EDT', 'markus.kell.r')]</t>
  </si>
  <si>
    <t>2014-02-20 15:26:59 EST</t>
  </si>
  <si>
    <t>2014-02-21 02:36:26 EST</t>
  </si>
  <si>
    <t>2013-06-05 02:43 EDT</t>
  </si>
  <si>
    <t>2013-06-05 09:51:01 EDT</t>
  </si>
  <si>
    <t>[('CREATED', '2013-06-05 02:43 EDT'), ('BETA J8', '2013-06-05 09:51:01 EDT', 'markus.kell.r'), ('All', '2013-06-05 09:51:01 EDT', 'markus.kell.r'), ('ASSIGNED', '2013-06-05 09:51:01 EDT', 'markus.kell.r'), ('markus_keller', '2013-06-05 09:51:01 EDT', 'markus.kell.r'), ('All', '2013-06-05 09:51:01 EDT', 'markus.kell.r'), ('noopur_gupta', '2013-06-06 04:52:47 EDT', 'noopur_gupta'), ('review?(markus_keller)', '2013-06-06 09:07:53 EDT', 'noopur_gupta'), ('1', '2013-06-20 12:41:11 EDT', 'noopur_gupta'), ('1', '2013-09-06 05:13:45 EDT', 'noopur_gupta'), ('review+', '2014-02-20 15:26:52 EST', 'markus.kell.r'), ('RESOLVED', '2014-02-20 15:26:59 EST', 'markus.kell.r'), ('FIXED', '2014-02-20 15:26:59 EST', 'markus.kell.r'), ('VERIFIED', '2014-02-21 02:36:26 EST', 'manju656'), ('manju_mathew', '2014-02-21 02:36:26 EST', 'manju656')]</t>
  </si>
  <si>
    <t>2014-05-14 19:11:48 EDT</t>
  </si>
  <si>
    <t>2014-05-19 05:56:39 EDT</t>
  </si>
  <si>
    <t>2013-06-06 07:21 EDT</t>
  </si>
  <si>
    <t>2013-06-06 08:20:46 EDT</t>
  </si>
  <si>
    <t>[('CREATED', '2013-06-06 07:21 EDT'), ('ASSIGNED', '2013-06-06 08:20:46 EDT', 'markus.kell.r'), ('markus_keller', '2013-06-06 08:20:46 EDT', 'markus.kell.r'), ('BETA J8', '2013-06-06 08:20:46 EDT', 'markus.kell.r'), ('manju_mathew', '2014-02-07 02:07:25 EST', 'manju656'), ('manju_mathew', '2014-02-07 02:07:25 EST', 'manju656'), ('review?(markus_keller)', '2014-02-10 21:55:20 EST', 'manju656'), ('1', '2014-04-15 01:37:20 EDT', 'manju656'), ('1', '2014-04-15 01:37:20 EDT', 'manju656'), ('noopur_gupta', '2014-04-15 01:38:05 EDT', 'manju656'), ('4.4', '2014-04-15 01:38:05 EDT', 'manju656'), ('review?(noopur_gupta)', '2014-04-15 01:38:05 EDT', 'manju656'), (nan, '2014-04-16 13:32:31 EDT', 'noopur_gupta'), ('1', '2014-04-30 21:14:20 EDT', 'manju656'), ('review?(noopur_gupta)', '2014-04-30 21:15:37 EDT', 'manju656'), ('review+', '2014-05-02 02:48:13 EDT', 'noopur_gupta'), ('4.4 RC1', '2014-05-04 20:26:04 EDT', 'manju656'), ('RESOLVED', '2014-05-14 19:11:48 EDT', 'markus.kell.r'), ('FIXED', '2014-05-14 19:11:48 EDT', 'markus.kell.r'), ('VERIFIED', '2014-05-19 05:56:39 EDT', 'noopur_gupta')]</t>
  </si>
  <si>
    <t>2013-12-05 14:27:11 EST</t>
  </si>
  <si>
    <t>2013-06-10 13:41 EDT</t>
  </si>
  <si>
    <t>2013-06-10 13:41:29 EDT</t>
  </si>
  <si>
    <t>[('CREATED', '2013-06-10 13:41 EDT'), ('ASSIGNED', '2013-06-10 13:41:29 EDT', 'markus.kell.r'), ('markus_keller', '2013-06-10 13:41:29 EDT', 'markus.kell.r'), ('markus_keller', '2013-06-10 13:41:29 EDT', 'markus.kell.r'), ('4.4', '2013-06-10 13:41:29 EDT', 'markus.kell.r'), ('FIXED', '2013-12-05 14:27:11 EST', 'markus.kell.r'), ('4.4 M4', '2013-12-05 14:27:11 EST', 'markus.kell.r'), ('RESOLVED', '2013-12-05 14:27:11 EST', 'markus.kell.r')]</t>
  </si>
  <si>
    <t>2013-08-21 06:06:25 EDT</t>
  </si>
  <si>
    <t>2013-06-24 14:42 EDT</t>
  </si>
  <si>
    <t>2013-06-25 00:38:46 EDT</t>
  </si>
  <si>
    <t>[('CREATED', '2013-06-24 14:42 EDT'), ('ASSIGNED', '2013-06-25 00:38:46 EDT', 'manju656'), ('manju_mathew', '2013-06-25 00:38:46 EDT', 'manju656'), ('4.4', '2013-06-25 00:38:46 EDT', 'manju656'), ('daniel_megert, markus_keller', '2013-06-25 05:23:39 EDT', 'manju656'), ('manju_mathew', '2013-06-25 05:23:39 EDT', 'manju656'), ('All', '2013-06-25 08:21:12 EDT', 'manju656'), ('review?(daniel_megert)', '2013-06-25 08:21:12 EDT', 'manju656'), ('All', '2013-06-25 08:21:12 EDT', 'manju656'), (nan, '2013-08-20 10:23:04 EDT', 'daniel_megert'), ('RESOLVED', '2013-08-21 06:06:25 EDT', 'manju656'), ('FIXED', '2013-08-21 06:06:25 EDT', 'manju656')]</t>
  </si>
  <si>
    <t>CLOSED  DUPLICATE  of bug 406786</t>
  </si>
  <si>
    <t>2013-06-25 13:28:22 EDT</t>
  </si>
  <si>
    <t>2013-06-25 10:39 EDT</t>
  </si>
  <si>
    <t>[('CREATED', '2013-06-25 10:39 EDT'), ('CLOSED', '2013-06-25 13:28:22 EDT', 'noopur_gupta'), ('noopur_gupta', '2013-06-25 13:28:22 EDT', 'noopur_gupta'), ('DUPLICATE', '2013-06-25 13:28:22 EDT', 'noopur_gupta')]</t>
  </si>
  <si>
    <t>2013-07-01 01:40:50 EDT</t>
  </si>
  <si>
    <t>2013-06-30 05:00 EDT</t>
  </si>
  <si>
    <t>2015-02-22 16:17:35 EST</t>
  </si>
  <si>
    <t>hankster-1</t>
  </si>
  <si>
    <t>[('CREATED', '2013-06-30 05:00 EDT'), ('RESOLVED', '2013-07-01 01:40:50 EDT', 'noopur_gupta'), ('noopur_gupta', '2013-07-01 01:40:50 EDT', 'noopur_gupta'), ('WORKSFORME', '2013-07-01 01:40:50 EDT', 'noopur_gupta'), ('markus_keller', '2013-07-01 10:58:19 EDT', 'markus.kell.r'), ('hankster-1', '2015-02-22 16:17:35 EST', 'hankster-1')]</t>
  </si>
  <si>
    <t>2013-07-08 09:37:55 EDT</t>
  </si>
  <si>
    <t>2013-07-03 07:18 EDT</t>
  </si>
  <si>
    <t>[('CREATED', '2013-07-03 07:18 EDT'), ('RESOLVED', '2013-07-08 09:37:55 EDT', 'daniel_megert'), ('daniel_megert', '2013-07-08 09:37:55 EDT', 'daniel_megert'), ('UI', '2013-07-08 09:37:55 EDT', 'daniel_megert'), ('WONTFIX', '2013-07-08 09:37:55 EDT', 'daniel_megert'), ('jdt-ui-inbox', '2013-07-08 09:37:55 EDT', 'daniel_megert'), ('[quick assist] use Map key as variable name', '2013-07-08 09:37:55 EDT', 'daniel_megert')]</t>
  </si>
  <si>
    <t>CLOSED  DUPLICATE  of bug 406904</t>
  </si>
  <si>
    <t>2013-07-10 05:50:59 EDT</t>
  </si>
  <si>
    <t>2013-07-09 16:27 EDT</t>
  </si>
  <si>
    <t>2013-07-09 16:27:47 EDT</t>
  </si>
  <si>
    <t>[('CREATED', '2013-07-09 16:27 EDT'), ('Kepler Refactor Rename Causes BadLocationException Mark Occurrences Stops Working', '2013-07-09 16:27:47 EDT', 'brian.brooks'), ('noopur_gupta', '2013-07-10 01:23:55 EDT', 'noopur_gupta'), ('DUPLICATE', '2013-07-10 05:50:59 EDT', 'daniel_megert'), ('needinfo', '2013-07-10 05:50:59 EDT', 'daniel_megert'), ('CLOSED', '2013-07-10 05:50:59 EDT', 'daniel_megert'), ('daniel_megert', '2013-07-10 05:50:59 EDT', 'daniel_megert')]</t>
  </si>
  <si>
    <t>2013-07-23 08:19:56 EDT</t>
  </si>
  <si>
    <t>2013-07-22 13:31 EDT</t>
  </si>
  <si>
    <t>2013-07-22 15:34:52 EDT</t>
  </si>
  <si>
    <t>[('CREATED', '2013-07-22 13:31 EDT'), ('stephan.herrmann', '2013-07-22 15:34:52 EDT', 'stephan.herrmann'), ('UI', '2013-07-22 15:34:52 EDT', 'stephan.herrmann'), ('jdt-ui-inbox', '2013-07-22 15:34:52 EDT', 'stephan.herrmann'), ('noopur_gupta', '2013-07-23 07:57:59 EDT', 'noopur_gupta'), ('CLOSED', '2013-07-23 08:19:56 EDT', 'markus.kell.r'), ('markus_keller', '2013-07-23 08:19:56 EDT', 'markus.kell.r'), ('DUPLICATE', '2013-07-23 08:19:56 EDT', 'markus.kell.r')]</t>
  </si>
  <si>
    <t>2013-07-30 04:17 EDT</t>
  </si>
  <si>
    <t>2013-07-30 04:18:18 EDT</t>
  </si>
  <si>
    <t>2019-09-03 12:35:34 EDT</t>
  </si>
  <si>
    <t>[('CREATED', '2013-07-30 04:17 EDT'), ('ASSIGNED', '2013-07-30 04:18:18 EDT', 'noopur_gupta'), ('nikolaymetchev', '2013-09-18 11:06:00 EDT', 'nikolaymetchev'), ('stalebug', '2019-09-03 12:35:34 EDT', 'genie')]</t>
  </si>
  <si>
    <t>2020-03-21 19:25:12 EDT</t>
  </si>
  <si>
    <t>2013-08-20 05:36 EDT</t>
  </si>
  <si>
    <t>2013-08-20 06:57:35 EDT</t>
  </si>
  <si>
    <t>[('CREATED', '2013-08-20 05:36 EDT'), ('daniel_megert', '2013-08-20 06:57:35 EDT', 'daniel_megert'), ('All', '2013-08-20 06:57:35 EDT', 'daniel_megert'), ('markus_keller', '2013-08-20 06:57:35 EDT', 'daniel_megert'), ('4.4', '2013-08-20 06:57:35 EDT', 'daniel_megert'), ('All', '2013-08-20 06:57:35 EDT', 'daniel_megert'), ('major', '2013-08-20 06:57:35 EDT', 'daniel_megert'), ('3.3', '2013-08-20 06:57:47 EDT', 'daniel_megert'), ('---', '2014-04-28 14:13:22 EDT', 'daniel_megert'), ('stalebug', '2020-03-21 19:25:12 EDT', 'genie'), ('CLOSED', '2020-03-21 19:25:12 EDT', 'genie'), ('WONTFIX', '2020-03-21 19:25:12 EDT', 'genie')]</t>
  </si>
  <si>
    <t>2013-09-02 07:00:39 EDT</t>
  </si>
  <si>
    <t>2013-08-28 05:23 EDT</t>
  </si>
  <si>
    <t>2013-08-28 10:24:08 EDT</t>
  </si>
  <si>
    <t>2013-09-04 10:22:25 EDT</t>
  </si>
  <si>
    <t>[('CREATED', '2013-08-28 05:23 EDT'), ('Olivier_Thomann', '2013-08-28 10:24:08 EDT', 'Olivier_Thomann'), ('Text', '2013-08-28 10:24:08 EDT', 'Olivier_Thomann'), ('platform-text-inbox', '2013-08-28 10:24:08 EDT', 'Olivier_Thomann'), ('Platform', '2013-08-28 10:24:08 EDT', 'Olivier_Thomann'), ('needinfo', '2013-08-28 10:44:11 EDT', 'daniel_megert'), ('daniel_megert', '2013-08-28 10:44:11 EDT', 'daniel_megert'), ('daniel_megert', '2013-08-28 10:44:11 EDT', 'daniel_megert'), (nan, '2013-09-02 06:59:23 EDT', 'daniel_megert'), ('ASSIGNED', '2013-09-02 06:59:23 EDT', 'daniel_megert'), ('4.4 M2', '2013-09-02 06:59:23 EDT', 'daniel_megert'), ('Clean Up Refactoring should report which file caused the exception (was: Eclipse code formatter crashes with exception in handling Cp1252 character encoding)', '2013-09-02 06:59:23 EDT', 'daniel_megert'), ('RESOLVED', '2013-09-02 07:00:39 EDT', 'daniel_megert'), ('FIXED', '2013-09-02 07:00:39 EDT', 'daniel_megert'), ('UI', '2013-09-04 10:22:25 EDT', 'daniel_megert'), ('All', '2013-09-04 10:22:25 EDT', 'daniel_megert'), ('jdt-ui-inbox', '2013-09-04 10:22:25 EDT', 'daniel_megert'), ('JDT', '2013-09-04 10:22:25 EDT', 'daniel_megert'), ('All', '2013-09-04 10:22:25 EDT', 'daniel_megert')]</t>
  </si>
  <si>
    <t>2014-04-15 11:25:40 EDT</t>
  </si>
  <si>
    <t>2013-08-29 21:33 EDT</t>
  </si>
  <si>
    <t>2013-08-30 03:23:58 EDT</t>
  </si>
  <si>
    <t>2016-09-03 03:09:52 EDT</t>
  </si>
  <si>
    <t>dsouza.natasha303</t>
  </si>
  <si>
    <t>[('CREATED', '2013-08-29 21:33 EDT'), ('ASSIGNED', '2013-08-30 03:23:58 EDT', 'manju656'), ('manju_mathew', '2013-08-30 03:23:58 EDT', 'manju656'), ('All', '2013-08-30 03:23:58 EDT', 'manju656'), ('All', '2013-08-30 03:23:58 EDT', 'manju656'), ('daniel_megert', '2013-08-30 04:43:09 EDT', 'manju656'), ('manju_mathew', '2013-08-30 04:43:09 EDT', 'manju656'), ('review?(daniel_megert)', '2013-08-30 04:56:50 EDT', 'manju656'), ('RESOLVED', '2014-04-15 11:25:40 EDT', 'daniel_megert'), ('FIXED', '2014-04-15 11:25:40 EDT', 'daniel_megert'), ('4.4 M7', '2014-04-15 11:25:40 EDT', 'daniel_megert'), ('review+', '2014-04-15 11:25:40 EDT', 'daniel_megert'), ('dsouza.natasha303', '2016-09-03 03:09:52 EDT', 'dsouza.natasha303')]</t>
  </si>
  <si>
    <t>2014-04-25 02:28:19 EDT</t>
  </si>
  <si>
    <t>2013-08-30 12:22 EDT</t>
  </si>
  <si>
    <t>2013-08-30 12:23:21 EDT</t>
  </si>
  <si>
    <t>[('CREATED', '2013-08-30 12:22 EDT'), ('BETA J8', '2013-08-30 12:23:21 EDT', 'noopur_gupta'), ('405305', '2013-08-30 12:26:48 EDT', 'noopur_gupta'), ('4.4 M7', '2014-04-25 02:28:19 EDT', 'noopur_gupta'), ('RESOLVED', '2014-04-25 02:28:19 EDT', 'noopur_gupta'), ('WORKSFORME', '2014-04-25 02:28:19 EDT', 'noopur_gupta')]</t>
  </si>
  <si>
    <t>416914 416935</t>
  </si>
  <si>
    <t>416904</t>
  </si>
  <si>
    <t>2015-03-12 17:49:58 EDT</t>
  </si>
  <si>
    <t>2013-11-19 06:55:50 EST</t>
  </si>
  <si>
    <t>2013-09-10 08:22 EDT</t>
  </si>
  <si>
    <t>2013-09-10 08:23:03 EDT</t>
  </si>
  <si>
    <t>2018-12-07 05:20:13 EST</t>
  </si>
  <si>
    <t>simeon.danailov.andreev</t>
  </si>
  <si>
    <t>[('CREATED', '2013-09-10 08:22 EDT'), ('416914', '2013-09-10 08:23:03 EDT', 'mistria'), (nan, '2013-09-10 08:29:28 EDT', 'daniel_megert'), ('mistria', '2013-09-10 09:40:26 EDT', 'daniel_megert'), ('416904', '2013-09-12 09:34:14 EDT', 'mistria'), ('wim.jongman', '2013-09-12 12:31:28 EDT', 'wim.jongman'), ('4.4 M3', '2013-09-13 08:00:54 EDT', 'daniel_megert'), ('review?(daniel_megert)', '2013-09-13 08:10:51 EDT', 'daniel_megert'), ('RESOLVED', '2013-10-03 09:20:12 EDT', 'daniel_megert'), ('FIXED', '2013-10-03 09:20:12 EDT', 'daniel_megert'), ('review+', '2013-10-03 09:21:11 EDT', 'daniel_megert'), ('416935', '2013-11-19 06:55:50 EST', 'mistria'), ('---', '2013-11-19 06:55:50 EST', 'mistria'), ('4.4 M4', '2013-11-19 06:55:50 EST', 'mistria'), ('REOPENED', '2013-11-19 06:55:50 EST', 'mistria'), ('markus_keller', '2013-12-06 09:29:35 EST', 'markus.kell.r'), ('4.4 M5', '2013-12-06 09:29:35 EST', 'markus.kell.r'), ('david_williams', '2013-12-10 06:56:43 EST', 'mistria'), ('---', '2014-01-16 08:11:53 EST', 'markus.kell.r'), ('stephan.herrmann', '2015-03-10 09:44:19 EDT', 'markus.kell.r'), ('akurtakov', '2015-03-10 14:51:43 EDT', 'akurtakov'), ('https://git.eclipse.org/r/43605', '2015-03-10 16:24:34 EDT', 'genie'), (nan, '2015-03-11 17:01:38 EDT', 'bugs.eclipse.org'), ('https://git.eclipse.org/c/jdt/eclipse.jdt.ui.git/commit/?id=58652b11cea1165ec97623ed1e6304ea2632fb90', '2015-03-11 21:08:38 EDT', 'genie'), ('https://git.eclipse.org/r/43717', '2015-03-12 06:33:19 EDT', 'genie'), ('https://git.eclipse.org/r/43722', '2015-03-12 07:50:54 EDT', 'genie'), ('https://git.eclipse.org/r/43737', '2015-03-12 12:23:33 EDT', 'genie'), ('https://git.eclipse.org/c/jdt/eclipse.jdt.ui.git/commit/?id=8497f0da70d7c0ce665c19a870d2f7650d56fbfd', '2015-03-12 13:38:44 EDT', 'genie'), ('https://git.eclipse.org/r/43751', '2015-03-12 16:12:46 EDT', 'genie'), ('https://git.eclipse.org/c/jdt/eclipse.jdt.ui.git/commit/?id=18f0454b970744aebee3cc3482aa33c5f9b5915b', '2015-03-12 17:45:23 EDT', 'genie'), ('RESOLVED', '2015-03-12 17:49:58 EDT', 'markus.kell.r'), ('FIXED', '2015-03-12 17:49:58 EDT', 'markus.kell.r'), ('markus_keller', '2015-03-12 17:49:58 EDT', 'markus.kell.r'), ('4.5 M6', '2015-03-12 17:49:58 EDT', 'markus.kell.r'), ('https://bugs.eclipse.org/bugs/show_bug.cgi?id=540222', '2018-12-07 05:20:13 EST', 'simeon.danailov.andreev')]</t>
  </si>
  <si>
    <t>CLOSED  DUPLICATE  of bug 345342</t>
  </si>
  <si>
    <t>2013-09-11 09:42:18 EDT</t>
  </si>
  <si>
    <t>2013-09-11 09:32 EDT</t>
  </si>
  <si>
    <t>[('CREATED', '2013-09-11 09:32 EDT'), ('CLOSED', '2013-09-11 09:42:18 EDT', 'noopur_gupta'), ('noopur_gupta', '2013-09-11 09:42:18 EDT', 'noopur_gupta'), ('DUPLICATE', '2013-09-11 09:42:18 EDT', 'noopur_gupta')]</t>
  </si>
  <si>
    <t>2013-09-16 02:28:10 EDT</t>
  </si>
  <si>
    <t>2013-09-14 03:12 EDT</t>
  </si>
  <si>
    <t>2013-09-14 06:44:51 EDT</t>
  </si>
  <si>
    <t>[('CREATED', '2013-09-14 03:12 EDT'), ('srikanth_sankaran', '2013-09-14 06:44:51 EDT', 'srikanth_sankaran'), ('UI', '2013-09-14 06:44:51 EDT', 'srikanth_sankaran'), ('jdt-ui-inbox', '2013-09-14 06:44:51 EDT', 'srikanth_sankaran'), ('CLOSED', '2013-09-16 02:28:10 EDT', 'noopur_gupta'), ('noopur_gupta', '2013-09-16 02:28:10 EDT', 'noopur_gupta'), ('All', '2013-09-16 02:28:10 EDT', 'noopur_gupta'), ('DUPLICATE', '2013-09-16 02:28:10 EDT', 'noopur_gupta'), ('[extract local] Unsound refactoring of conditional cast', '2013-09-16 02:28:10 EDT', 'noopur_gupta'), ('All', '2013-09-16 02:28:10 EDT', 'noopur_gupta')]</t>
  </si>
  <si>
    <t>2020-02-08 11:56:08 EST</t>
  </si>
  <si>
    <t>2013-09-24 13:20 EDT</t>
  </si>
  <si>
    <t>2013-09-25 06:27:22 EDT</t>
  </si>
  <si>
    <t>[('CREATED', '2013-09-24 13:20 EDT'), ('noopur_gupta', '2013-09-25 06:27:22 EDT', 'noopur_gupta'), ('1', '2013-09-30 13:27:57 EDT', 'the.ubik'), ('ASSIGNED', '2013-10-01 01:24:54 EDT', 'manju656'), ('manju_mathew', '2013-10-01 01:24:54 EDT', 'manju656'), ('text/x-java-source', '2013-10-01 04:34:07 EDT', 'daniel_megert'), ('daniel_megert', '2013-10-01 04:34:07 EDT', 'daniel_megert'), ('text/plain', '2013-10-01 04:36:08 EDT', 'daniel_megert'), ('CLOSED', '2020-02-08 11:56:08 EST', 'genie'), ('stalebug', '2020-02-08 11:56:08 EST', 'genie'), ('WONTFIX', '2020-02-08 11:56:08 EST', 'genie')]</t>
  </si>
  <si>
    <t>2013-10-03 08:48:07 EDT</t>
  </si>
  <si>
    <t>2013-09-30 17:19 EDT</t>
  </si>
  <si>
    <t>2013-10-01 04:39:37 EDT</t>
  </si>
  <si>
    <t>[('CREATED', '2013-09-30 17:19 EDT'), ('malgorzata.tomczyk', '2013-10-01 04:39:37 EDT', 'malgorzata.tomczyk'), ('UI', '2013-10-01 04:39:37 EDT', 'malgorzata.tomczyk'), ('jdt-ui-inbox', '2013-10-01 04:39:37 EDT', 'malgorzata.tomczyk'), ('JDT', '2013-10-01 04:39:37 EDT', 'malgorzata.tomczyk'), ('[ltk] junit.framework.ComparisonFailure: Unexpected failure', '2013-10-01 04:39:37 EDT', 'malgorzata.tomczyk'), ('daniel_megert, markus_keller', '2013-10-01 06:36:55 EDT', 'daniel_megert'), ('manju_mathew', '2013-10-01 06:36:55 EDT', 'daniel_megert'), (nan, '2013-10-01 10:29:38 EDT', 'malgorzata.tomczyk'), ('review?(markus_keller)', '2013-10-01 13:08:04 EDT', 'manju656'), (nan, '2013-10-01 13:22:13 EDT', 'markus.kell.r'), ('1', '2013-10-03 07:52:14 EDT', 'manju656'), ('review?(markus_keller)', '2013-10-03 07:52:47 EDT', 'manju656'), ('ASSIGNED', '2013-10-03 08:32:47 EDT', 'markus.kell.r'), ('4.4 M3', '2013-10-03 08:32:47 EDT', 'markus.kell.r'), ('review+', '2013-10-03 08:32:47 EDT', 'markus.kell.r'), ('RESOLVED', '2013-10-03 08:48:07 EDT', 'manju656'), ('FIXED', '2013-10-03 08:48:07 EDT', 'manju656')]</t>
  </si>
  <si>
    <t>71575 (view as bug list)</t>
  </si>
  <si>
    <t>2013-10-11 01:34:31 EDT</t>
  </si>
  <si>
    <t>2013-10-05 01:47:02 EDT</t>
  </si>
  <si>
    <t>2013-10-07 04:35:41 EDT</t>
  </si>
  <si>
    <t>2013-10-04 11:22 EDT</t>
  </si>
  <si>
    <t>[('CREATED', '2013-10-04 11:22 EDT'), ('manju_mathew', '2013-10-05 01:47:02 EDT', 'manju656'), ('WORKSFORME', '2013-10-05 01:47:02 EDT', 'manju656'), ('RESOLVED', '2013-10-05 01:47:02 EDT', 'manju656'), ('REOPENED', '2013-10-07 04:35:41 EDT', 'manju656'), ('---', '2013-10-07 04:35:41 EDT', 'manju656'), ('ASSIGNED', '2013-10-07 04:35:58 EDT', 'manju656'), ('[extract method] Does not recognize additional occurrences when semicolon is part of the selection', '2013-10-07 04:41:59 EDT', 'manju656'), ('samrat.dhillon', '2013-10-08 21:24:03 EDT', 'samrat.dhillon'), ('daniel_megert', '2013-10-09 04:09:19 EDT', 'daniel_megert'), ('review?(manju_mathew)', '2013-10-09 04:09:19 EDT', 'daniel_megert'), ('[extract method] Does not replace duplicate if it span the whole method body', '2013-10-11 00:42:03 EDT', 'manju656'), ('RESOLVED', '2013-10-11 01:34:31 EDT', 'manju656'), ('FIXED', '2013-10-11 01:34:31 EDT', 'manju656'), ('review-', '2013-10-11 01:34:31 EDT', 'manju656'), ('1', '2013-10-11 01:39:06 EDT', 'manju656'), ('4.4 M3', '2013-10-11 06:34:34 EDT', 'markus.kell.r'), ('[extract method] Does not replace duplicates that span the whole method body', '2013-10-11 06:34:34 EDT', 'markus.kell.r'), ('markus_keller', '2013-10-11 06:34:34 EDT', 'markus.kell.r'), ('manju_mathew', '2013-10-11 06:34:34 EDT', 'markus.kell.r'), ('channingwalton', '2013-10-11 07:33:14 EDT', 'manju656')]</t>
  </si>
  <si>
    <t>2013-10-15 04:40:34 EDT</t>
  </si>
  <si>
    <t>2013-10-15 03:37 EDT</t>
  </si>
  <si>
    <t>2013-10-15 04:14:45 EDT</t>
  </si>
  <si>
    <t>[('CREATED', '2013-10-15 03:37 EDT'), ('srikanth_sankaran', '2013-10-15 04:14:45 EDT', 'srikanth_sankaran'), ('UI', '2013-10-15 04:14:45 EDT', 'srikanth_sankaran'), ('jdt-ui-inbox', '2013-10-15 04:14:45 EDT', 'srikanth_sankaran'), ('CLOSED', '2013-10-15 04:40:34 EDT', 'manju656'), ('manju_mathew', '2013-10-15 04:40:34 EDT', 'manju656'), ('DUPLICATE', '2013-10-15 04:40:34 EDT', 'manju656'), ('[extract local] Refactoring "Extract local variable" ignores variable scope', '2013-10-15 04:40:34 EDT', 'manju656')]</t>
  </si>
  <si>
    <t>416354 420702</t>
  </si>
  <si>
    <t>2013-10-30 04:00:40 EDT</t>
  </si>
  <si>
    <t>2013-10-30 04:01:09 EDT</t>
  </si>
  <si>
    <t>2013-10-19 09:50 EDT</t>
  </si>
  <si>
    <t>2013-10-21 02:09:12 EDT</t>
  </si>
  <si>
    <t>2013-10-30 04:25:38 EDT</t>
  </si>
  <si>
    <t>[('CREATED', '2013-10-19 09:50 EDT'), ('manju_mathew', '2013-10-21 02:09:12 EDT', 'manju656'), ('[JUnit] JUnit View fails to refresh decorations', '2013-10-21 02:09:12 EDT', 'manju656'), ('daniel_megert', '2013-10-21 08:32:49 EDT', 'daniel_megert'), ('needinfo', '2013-10-21 08:32:49 EDT', 'daniel_megert'), ('daniel_megert', '2013-10-29 14:10:37 EDT', 'daniel_megert'), ('4.4 M3', '2013-10-29 14:10:37 EDT', 'daniel_megert'), (nan, '2013-10-30 04:00:40 EDT', 'daniel_megert'), ('RESOLVED', '2013-10-30 04:00:40 EDT', 'daniel_megert'), ('FIXED', '2013-10-30 04:00:40 EDT', 'daniel_megert'), ('VERIFIED', '2013-10-30 04:01:09 EDT', 'daniel_megert'), ('416354', '2013-10-30 04:01:09 EDT', 'daniel_megert'), ('420702', '2013-10-30 04:25:30 EDT', 'daniel_megert'), ('All', '2013-10-30 04:25:38 EDT', 'daniel_megert'), ('All', '2013-10-30 04:25:38 EDT', 'daniel_megert')]</t>
  </si>
  <si>
    <t>CLOSED  DUPLICATE  of bug 320986</t>
  </si>
  <si>
    <t>2013-11-08 03:32:24 EST</t>
  </si>
  <si>
    <t>2013-10-24 07:50 EDT</t>
  </si>
  <si>
    <t>2013-10-24 08:32:59 EDT</t>
  </si>
  <si>
    <t>2018-07-18 13:10:48 EDT</t>
  </si>
  <si>
    <t>davidmichaelkarr</t>
  </si>
  <si>
    <t>[('CREATED', '2013-10-24 07:50 EDT'), ('major', '2013-10-24 08:32:59 EDT', 'michal'), ('srikanth_sankaran', '2013-10-24 08:54:47 EDT', 'srikanth_sankaran'), ('UI', '2013-10-24 08:54:47 EDT', 'srikanth_sankaran'), ('jdt-ui-inbox', '2013-10-24 08:54:47 EDT', 'srikanth_sankaran'), ('needinfo', '2013-10-24 09:35:31 EDT', 'manju656'), ('manju_mathew', '2013-10-24 09:35:31 EDT', 'manju656'), ('[rename] Refactorings stopped working (Internal Error)', '2013-10-24 09:35:31 EDT', 'manju656'), ('CLOSED', '2013-11-08 03:32:24 EST', 'daniel_megert'), ('daniel_megert', '2013-11-08 03:32:24 EST', 'daniel_megert'), ('DUPLICATE', '2013-11-08 03:32:24 EST', 'daniel_megert'), ('davidmichaelkarr', '2018-07-18 13:10:48 EDT', 'davidmichaelkarr')]</t>
  </si>
  <si>
    <t>2013-10-28 10:52 EDT</t>
  </si>
  <si>
    <t>2013-10-28 10:54:47 EDT</t>
  </si>
  <si>
    <t>2020-08-13 13:59:27 EDT</t>
  </si>
  <si>
    <t>[('CREATED', '2013-10-28 10:52 EDT'), ('srikanth_sankaran', '2013-10-28 10:54:47 EDT', 'srikanth_sankaran'), ('UI', '2013-10-28 10:54:47 EDT', 'srikanth_sankaran'), ('jdt-ui-inbox', '2013-10-28 10:54:47 EDT', 'srikanth_sankaran'), ('manju_mathew', '2013-10-29 01:25:29 EDT', 'manju656'), ('All', '2013-10-29 01:25:29 EDT', 'manju656'), ('[rename] "Rename package" refactoring drops 2nd static import of method with same name but different signature', '2013-10-29 01:25:29 EDT', 'manju656'), ('All', '2013-10-29 01:25:29 EDT', 'manju656'), ('ASSIGNED', '2013-10-29 01:25:29 EDT', 'manju656'), ('samrat.dhillon', '2013-11-05 20:01:49 EST', 'samrat.dhillon'), ('review?(manju_mathew)', '2013-11-06 01:25:28 EST', 'manju656'), ('erlend.k', '2013-11-06 06:01:19 EST', 'erlend.k'), ('stalebug', '2020-08-13 11:52:32 EDT', 'genie'), ('jjohnstn', '2020-08-13 13:59:27 EDT', 'jjohnstn')]</t>
  </si>
  <si>
    <t>424654 (view as bug list)</t>
  </si>
  <si>
    <t>2013-10-30 10:15 EDT</t>
  </si>
  <si>
    <t>2013-10-30 10:45:25 EDT</t>
  </si>
  <si>
    <t>2019-11-27 06:39:08 EST</t>
  </si>
  <si>
    <t>[('CREATED', '2013-10-30 10:15 EDT'), ('stolz+bugzilla', '2013-10-30 10:45:25 EDT', 'stolz+bugzilla'), ('ASSIGNED', '2013-10-30 10:49:34 EDT', 'markus.kell.r'), ('markus_keller', '2013-10-30 10:49:34 EDT', 'markus.kell.r'), ('All', '2013-10-30 10:49:34 EDT', 'markus.kell.r'), ('All', '2013-10-30 10:49:34 EDT', 'markus.kell.r'), ('jongwook.kim', '2015-10-05 03:01:35 EDT', 'noopur_gupta'), ('stalebug', '2019-11-27 06:39:08 EST', 'genie')]</t>
  </si>
  <si>
    <t>2020-05-20 11:59:50 EDT</t>
  </si>
  <si>
    <t>2013-11-07 01:37 EST</t>
  </si>
  <si>
    <t>2013-11-07 04:19:45 EST</t>
  </si>
  <si>
    <t>[('CREATED', '2013-11-07 01:37 EST'), ('ASSIGNED', '2013-11-07 04:19:45 EST', 'daniel_megert'), ('daniel_megert', '2013-11-07 04:19:45 EST', 'daniel_megert'), ('All', '2013-11-07 04:19:45 EST', 'daniel_megert'), ('[introduce factory] Unexpected error message in preview page', '2013-11-07 04:19:45 EST', 'daniel_megert'), ('All', '2013-11-07 04:19:45 EST', 'daniel_megert'), ('WONTFIX', '2020-05-20 11:59:50 EDT', 'genie'), ('stalebug', '2020-05-20 11:59:50 EDT', 'genie'), ('CLOSED', '2020-05-20 11:59:50 EDT', 'genie')]</t>
  </si>
  <si>
    <t>2013-11-18 09:04 EST</t>
  </si>
  <si>
    <t>2013-11-19 06:18:27 EST</t>
  </si>
  <si>
    <t>2019-03-08 14:44:07 EST</t>
  </si>
  <si>
    <t>[('CREATED', '2013-11-18 09:04 EST'), ('ASSIGNED', '2013-11-19 06:18:27 EST', 'noopur_gupta'), ('noopur_gupta', '2013-11-19 06:18:27 EST', 'noopur_gupta'), ('[extract superclass] Extract Superclass refactoring should remove static member qualifiers', '2013-11-19 06:18:27 EST', 'noopur_gupta'), ('nikolaymetchev', '2014-04-01 08:46:03 EDT', 'nikolaymetchev'), ('stalebug', '2019-03-08 14:44:07 EST', 'genie')]</t>
  </si>
  <si>
    <t>2013-12-05 13:40:44 EST</t>
  </si>
  <si>
    <t>2013-11-22 01:53 EST</t>
  </si>
  <si>
    <t>2013-11-22 02:31:53 EST</t>
  </si>
  <si>
    <t>[('CREATED', '2013-11-22 01:53 EST'), ('daniel_megert, markus_keller, noopur_gupta', '2013-11-22 02:31:53 EST', 'noopur_gupta'), ('noopur_gupta', '2013-11-22 02:31:53 EST', 'noopur_gupta'), ('review?(markus_keller)', '2013-11-22 02:31:53 EST', 'noopur_gupta'), ('1', '2013-11-22 02:32:49 EST', 'noopur_gupta'), ('text/plain', '2013-11-22 02:32:49 EST', 'noopur_gupta'), ('RESOLVED', '2013-12-05 13:40:44 EST', 'markus.kell.r'), ('manju_mathew', '2013-12-05 13:40:44 EST', 'markus.kell.r'), ('FIXED', '2013-12-05 13:40:44 EST', 'markus.kell.r'), ('4.4 M4', '2013-12-05 13:40:44 EST', 'markus.kell.r'), ('review+', '2013-12-05 13:40:44 EST', 'markus.kell.r')]</t>
  </si>
  <si>
    <t>2013-11-25 11:42 EST</t>
  </si>
  <si>
    <t>2013-11-25 11:42:54 EST</t>
  </si>
  <si>
    <t>2013-11-26 02:40:27 EST</t>
  </si>
  <si>
    <t>[('CREATED', '2013-11-25 11:42 EST'), ('Eclipse', '2013-11-25 11:42:54 EST', 'Eclipse'), ('All', '2013-11-26 02:40:27 EST', 'daniel_megert'), ('enhancement', '2013-11-26 02:40:27 EST', 'daniel_megert'), ('P5', '2013-11-26 02:40:27 EST', 'daniel_megert'), ('ASSIGNED', '2013-11-26 02:40:27 EST', 'daniel_megert'), ('daniel_megert', '2013-11-26 02:40:27 EST', 'daniel_megert'), ('All', '2013-11-26 02:40:27 EST', 'daniel_megert'), ('[ltk] Implement Save As... as refactoring', '2013-11-26 02:40:27 EST', 'daniel_megert')]</t>
  </si>
  <si>
    <t>2013-11-28 11:08 EST</t>
  </si>
  <si>
    <t>2013-11-28 11:14:04 EST</t>
  </si>
  <si>
    <t>2019-12-26 15:37:37 EST</t>
  </si>
  <si>
    <t>[('CREATED', '2013-11-28 11:08 EST'), ('usability', '2013-11-28 11:14:04 EST', 'will.not.read.this'), ('will.not.read.this', '2013-11-28 11:14:04 EST', 'will.not.read.this'), ('b.herfurth', '2013-11-29 03:56:16 EST', 'b.herfurth'), ('ASSIGNED', '2013-12-02 02:04:58 EST', 'noopur_gupta'), ('noopur_gupta', '2013-12-02 02:04:58 EST', 'noopur_gupta'), ('All', '2013-12-02 02:04:58 EST', 'noopur_gupta'), ('4.3', '2013-12-02 02:04:58 EST', 'noopur_gupta'), ('[convert local] convert variable to field does not capitalize constant name', '2013-12-02 02:04:58 EST', 'noopur_gupta'), ('stalebug', '2019-12-26 15:37:37 EST', 'genie')]</t>
  </si>
  <si>
    <t>2014-01-08 06:16:35 EST</t>
  </si>
  <si>
    <t>2013-12-16 13:30 EST</t>
  </si>
  <si>
    <t>2013-12-17 04:00:09 EST</t>
  </si>
  <si>
    <t>[('CREATED', '2013-12-16 13:30 EST'), ('daniel_megert', '2013-12-17 04:00:09 EST', 'daniel_megert'), ('[quick assist] Inplace extract method is not available for key binding', '2013-12-17 04:00:09 EST', 'daniel_megert'), ('enhancement', '2013-12-17 04:00:09 EST', 'daniel_megert'), ('[quick assist] Add key binding for Extract method Quick Assist', '2013-12-17 04:01:40 EST', 'daniel_megert'), ('ASSIGNED', '2014-01-05 19:17:36 EST', 'manju656'), ('manju_mathew', '2014-01-05 19:17:36 EST', 'manju656'), ('e.lucash', '2014-01-07 10:24:53 EST', 'daniel_megert'), ('4.4 M5', '2014-01-07 10:24:53 EST', 'daniel_megert'), ('RESOLVED', '2014-01-08 06:16:35 EST', 'markus.kell.r'), ('markus_keller', '2014-01-08 06:16:35 EST', 'markus.kell.r'), ('FIXED', '2014-01-08 06:16:35 EST', 'markus.kell.r')]</t>
  </si>
  <si>
    <t>462484 (view as bug list)</t>
  </si>
  <si>
    <t>2018-08-09 16:44:05 EDT</t>
  </si>
  <si>
    <t>2018-08-21 02:58:22 EDT</t>
  </si>
  <si>
    <t>2013-12-17 04:57 EST</t>
  </si>
  <si>
    <t>2014-09-29 09:34:51 EDT</t>
  </si>
  <si>
    <t>2018-09-27 16:07:42 EDT</t>
  </si>
  <si>
    <t>[('CREATED', '2013-12-17 04:57 EST'), ('tuckerpmt', '2014-09-29 09:34:51 EDT', 'tuckerpmt'), ('mario.hochreiter', '2014-10-10 04:18:58 EDT', 'mario.hochreiter'), ('nicoschl', '2014-11-03 03:11:00 EST', 'nicoschl'), ('shankhba', '2014-11-10 00:25:10 EST', 'shankhba'), ('steffen.prendke', '2015-05-05 07:24:04 EDT', 'steffen.prendke'), ('lars.vogel', '2015-11-16 03:54:30 EST', 'Lars.Vogel'), ('UI', '2015-11-16 03:57:39 EST', 'Lars.Vogel'), ('jdt-ui-inbox', '2015-11-16 03:57:39 EST', 'Lars.Vogel'), ('4.6', '2015-11-16 03:57:39 EST', 'Lars.Vogel'), ('mvo', '2015-12-08 04:43:49 EST', 'mvo'), ('gautier.desaintmartinlacaze', '2016-01-11 18:44:24 EST', 'gautier.desaintmartinlacaze'), ('arend', '2016-02-12 06:17:45 EST', 'arend'), ('s_soloff', '2016-05-02 13:18:03 EDT', 'steven.soloff'), ('markus_keller', '2016-05-04 10:11:45 EDT', 'markus.kell.r'), ('4.7', '2016-05-04 10:11:45 EDT', 'markus.kell.r'), ('cvgaviao', '2016-05-26 19:04:14 EDT', 'cvgaviao'), ('bugday, helpwanted', '2016-05-27 07:23:11 EDT', 'markus.kell.r'), ('fvbetteraey', '2016-06-13 04:43:04 EDT', 'noopur_gupta'), ('mike', '2016-07-08 17:31:08 EDT', 'mike'), ('martin.karpisek', '2016-09-10 12:54:59 EDT', 'martin.karpisek'), ('threesixty', '2016-09-14 05:37:51 EDT', 'threesixty'), ('https://git.eclipse.org/r/81158', '2016-09-15 07:43:57 EDT', 'genie'), ('vtkhir', '2016-09-15 07:55:38 EDT', 'vtkhir'), ('fwunderlich', '2016-12-16 10:34:36 EST', 'fwunderlich'), ('register.eclipse', '2017-03-06 17:14:56 EST', 'register.eclipse'), ('noopur_gupta', '2017-03-07 02:06:19 EST', 'noopur_gupta'), ('wenjiezhang2013', '2017-04-01 18:59:01 EDT', 'wenjiezhang2013'), ('review-', '2017-04-07 05:19:11 EDT', 'noopur_gupta'), ('All', '2017-05-03 07:33:02 EDT', 'noopur_gupta'), ('4.8', '2017-05-03 07:33:02 EDT', 'noopur_gupta'), ('review-', '2017-05-03 07:33:02 EDT', 'noopur_gupta'), ('daniel_megert', '2017-05-03 11:47:15 EDT', 'daniel_megert'), ('threesixty', '2017-05-03 11:47:15 EDT', 'daniel_megert'), ('review?(noopur_gupta)', '2017-06-20 03:03:28 EDT', 'daniel_megert'), ('mistria', '2017-09-18 03:52:36 EDT', 'mistria'), ('noopur_gupta', '2017-09-18 03:52:36 EDT', 'mistria'), ('4.7 M5', '2017-09-18 04:56:38 EDT', 'mistria'), ('4.8 M5', '2017-09-18 04:56:53 EDT', 'mistria'), ('marc-andre.laperle', '2017-09-18 09:13:19 EDT', 'malaperle'), ('eclipse', '2017-10-11 15:36:07 EDT', 'eclipse'), ('andreas.sewe', '2017-11-24 04:38:59 EST', 'sewe'), ('noteworthy', '2017-12-11 03:16:36 EST', 'mistria'), ('4.8 M6', '2018-01-22 03:52:02 EST', 'noopur_gupta'), ('fbricon, rgrunber', '2018-01-22 04:45:29 EST', 'mistria'), (nan, '2018-02-07 09:56:58 EST', 'noopur_gupta'), ('marco', '2018-02-21 03:38:45 EST', 'marco'), ('sarika.sinha', '2018-03-01 03:37:59 EST', 'sarika.sinha'), ('4.8 M7', '2018-03-01 03:37:59 EST', 'sarika.sinha'), ('samy.john', '2018-03-01 09:22:42 EST', 'samy.john'), (nan, '2018-05-02 08:45:39 EDT', 'noopur_gupta'), ('4.9', '2018-05-02 08:45:39 EDT', 'noopur_gupta'), ('pyvesdev', '2018-07-31 13:57:00 EDT', 'pyvesdev'), ('pyvesdev', '2018-08-01 04:49:30 EDT', 'register.eclipse'), (nan, '2018-08-06 06:59:12 EDT', 'mike'), ('register.eclipse', '2018-08-06 07:14:08 EDT', 'register.eclipse'), ('https://git.eclipse.org/c/jdt/eclipse.jdt.ui.git/commit/?id=f543cd6d9e9f81013404c079cb4b18cc0601ad44', '2018-08-08 14:57:45 EDT', 'genie'), ('4.9 M3', '2018-08-08 23:41:53 EDT', 'sarika.sinha'), (nan, '2018-08-08 23:41:53 EDT', 'sarika.sinha'), ('https://git.eclipse.org/r/127262', '2018-08-09 14:41:50 EDT', 'genie'), ('https://git.eclipse.org/c/www.eclipse.org/eclipse/news.git/commit/?id=ad8d4511ea2c2e7df23dad14efa7cfb6f6df6f26', '2018-08-09 16:35:59 EDT', 'genie'), ('RESOLVED', '2018-08-09 16:44:05 EDT', 'register.eclipse'), ('FIXED', '2018-08-09 16:44:05 EDT', 'register.eclipse'), ('kalyan_prasad', '2018-08-21 02:58:22 EDT', 'kalyan_prasad'), ('VERIFIED', '2018-08-21 02:58:22 EDT', 'kalyan_prasad'), ('https://bugs.eclipse.org/bugs/show_bug.cgi?id=539589', '2018-09-27 16:07:42 EDT', 'register.eclipse')]</t>
  </si>
  <si>
    <t>516830 (view as bug list)</t>
  </si>
  <si>
    <t>2013-12-17 14:05 EST</t>
  </si>
  <si>
    <t>2013-12-17 14:05:13 EST</t>
  </si>
  <si>
    <t>2020-09-22 07:37:52 EDT</t>
  </si>
  <si>
    <t>[('CREATED', '2013-12-17 14:05 EST'), ('ASSIGNED', '2013-12-17 14:05:13 EST', 'markus.kell.r'), ('BETA J8', '2013-12-17 14:05:13 EST', 'markus.kell.r'), ('Lars.Vogel', '2017-05-18 04:31:07 EDT', 'noopur_gupta'), ('noopur_gupta', '2018-09-25 10:30:08 EDT', 'noopur_gupta'), ('---', '2018-09-25 10:30:08 EDT', 'noopur_gupta'), ('stalebug', '2020-09-22 06:43:57 EDT', 'genie'), ('fabrice.tiercelin', '2020-09-22 07:20:04 EDT', 'Lars.Vogel'), ('fabrice.tiercelin', '2020-09-22 07:37:52 EDT', 'fabrice.tiercelin')]</t>
  </si>
  <si>
    <t>2013-12-18 22:11:25 EST</t>
  </si>
  <si>
    <t>2013-12-18 22:45:34 EST</t>
  </si>
  <si>
    <t>2013-12-18 16:52 EST</t>
  </si>
  <si>
    <t>2013-12-18 16:58:04 EST</t>
  </si>
  <si>
    <t>2018-12-22 12:56:53 EST</t>
  </si>
  <si>
    <t>[('CREATED', '2013-12-18 16:52 EST'), ('jongwook.kim', '2013-12-18 16:58:04 EST', 'jongwook.kim'), ('CLOSED', '2013-12-18 22:11:25 EST', 'manju656'), ('manju_mathew', '2013-12-18 22:11:25 EST', 'manju656'), ('DUPLICATE', '2013-12-18 22:11:25 EST', 'manju656'), ('REOPENED', '2013-12-18 22:45:34 EST', 'jongwook.kim'), ('---', '2013-12-18 22:45:34 EST', 'jongwook.kim'), ('ASSIGNED', '2013-12-18 23:33:54 EST', 'manju656'), ('stalebug', '2018-12-22 12:56:53 EST', 'genie')]</t>
  </si>
  <si>
    <t>CLOSED  DUPLICATE  of bug 39453</t>
  </si>
  <si>
    <t>2013-12-20 00:25:48 EST</t>
  </si>
  <si>
    <t>2013-12-19 09:57 EST</t>
  </si>
  <si>
    <t>[('CREATED', '2013-12-19 09:57 EST'), ('manju_mathew', '2013-12-20 00:25:48 EST', 'manju656'), ('DUPLICATE', '2013-12-20 00:25:48 EST', 'manju656'), ('CLOSED', '2013-12-20 00:25:48 EST', 'manju656')]</t>
  </si>
  <si>
    <t>2014-04-24 05:41:19 EDT</t>
  </si>
  <si>
    <t>2013-12-22 08:04 EST</t>
  </si>
  <si>
    <t>2013-12-23 00:06:40 EST</t>
  </si>
  <si>
    <t>[('CREATED', '2013-12-22 08:04 EST'), ('ASSIGNED', '2013-12-23 00:06:40 EST', 'manju656'), ('manju_mathew', '2013-12-23 00:06:40 EST', 'manju656'), ('All', '2013-12-23 00:06:40 EST', 'manju656'), ('noopur_gupta', '2013-12-23 00:06:40 EST', 'manju656'), ('BETA J8', '2013-12-23 00:06:40 EST', 'manju656'), ('All', '2013-12-23 00:06:40 EST', 'manju656'), ('daniel_megert, markus_keller', '2013-12-23 03:59:15 EST', 'noopur_gupta'), ('review?(markus_keller)', '2013-12-23 03:59:15 EST', 'noopur_gupta'), ('1', '2014-04-23 10:19:10 EDT', 'noopur_gupta'), ('4.4 M7', '2014-04-23 10:20:15 EDT', 'noopur_gupta'), ('review?(manju_mathew)', '2014-04-23 10:20:15 EDT', 'noopur_gupta'), ('FIXED', '2014-04-24 05:41:19 EDT', 'markus.kell.r'), ('review+', '2014-04-24 05:41:19 EDT', 'markus.kell.r'), ('RESOLVED', '2014-04-24 05:41:19 EDT', 'markus.kell.r')]</t>
  </si>
  <si>
    <t>CLOSED  DUPLICATE  of bug 420726</t>
  </si>
  <si>
    <t>2015-10-05 03:01:35 EDT</t>
  </si>
  <si>
    <t>2013-12-25 21:33 EST</t>
  </si>
  <si>
    <t>2013-12-26 02:01:43 EST</t>
  </si>
  <si>
    <t>[('CREATED', '2013-12-25 21:33 EST'), ('ASSIGNED', '2013-12-26 02:01:43 EST', 'noopur_gupta'), ('noopur_gupta', '2013-12-26 02:01:43 EST', 'noopur_gupta'), ('All', '2013-12-26 02:01:43 EST', 'noopur_gupta'), ("[move method] 'null' is assigned to 'this' keyword", '2013-12-26 02:01:43 EST', 'noopur_gupta'), ('All', '2013-12-26 02:01:43 EST', 'noopur_gupta'), ('stolz+bugzilla', '2015-10-02 05:08:56 EDT', 'stolz+bugzilla'), ('CLOSED', '2015-10-05 03:01:35 EDT', 'noopur_gupta'), ('DUPLICATE', '2015-10-05 03:01:35 EDT', 'noopur_gupta')]</t>
  </si>
  <si>
    <t>408966</t>
  </si>
  <si>
    <t>2014-04-30 16:29:18 EDT</t>
  </si>
  <si>
    <t>2014-05-01 11:17:45 EDT</t>
  </si>
  <si>
    <t>2013-12-30 07:07 EST</t>
  </si>
  <si>
    <t>2013-12-30 07:08:10 EST</t>
  </si>
  <si>
    <t>[('CREATED', '2013-12-30 07:07 EST'), ('BETA J8', '2013-12-30 07:08:10 EST', 'noopur_gupta'), ('ASSIGNED', '2013-12-30 07:08:10 EST', 'noopur_gupta'), ('daniel_megert, markus_keller, noopur_gupta', '2014-01-06 08:37:45 EST', 'noopur_gupta'), ('noopur_gupta', '2014-01-06 08:37:45 EST', 'noopur_gupta'), ('review?(markus_keller)', '2014-01-06 08:37:45 EST', 'noopur_gupta'), ('manju_mathew', '2014-04-23 08:14:16 EDT', 'noopur_gupta'), (nan, '2014-04-23 08:14:16 EDT', 'noopur_gupta'), ('[1.8][inline] Error after inlining constant with static method reference as initializer', '2014-04-23 08:14:16 EDT', 'noopur_gupta'), ('review?(manju_mathew)', '2014-04-23 08:14:16 EDT', 'noopur_gupta'), ('1', '2014-04-23 08:15:26 EDT', 'noopur_gupta'), ('4.4 M7', '2014-04-23 10:23:57 EDT', 'noopur_gupta'), ('408966', '2014-04-27 18:44:41 EDT', 'markus.kell.r'), ('RESOLVED', '2014-04-30 16:29:18 EDT', 'markus.kell.r'), ('FIXED', '2014-04-30 16:29:18 EDT', 'markus.kell.r'), ('review+', '2014-04-30 16:29:18 EDT', 'markus.kell.r'), ('VERIFIED', '2014-05-01 11:17:45 EDT', 'markus.kell.r')]</t>
  </si>
  <si>
    <t>424296</t>
  </si>
  <si>
    <t>2020-02-03 17:11:49 EST</t>
  </si>
  <si>
    <t>2014-01-10 10:08 EST</t>
  </si>
  <si>
    <t>2014-01-10 10:12:38 EST</t>
  </si>
  <si>
    <t>[('CREATED', '2014-01-10 10:08 EST'), ('ASSIGNED', '2014-01-10 10:12:38 EST', 'noopur_gupta'), ('BETA J8', '2014-01-10 10:12:38 EST', 'noopur_gupta'), ('P4', '2014-03-19 10:20:58 EDT', 'markus.kell.r'), ('---', '2014-03-19 10:20:58 EDT', 'markus.kell.r'), ('CLOSED', '2020-02-03 17:11:49 EST', 'genie'), ('WONTFIX', '2020-02-03 17:11:49 EST', 'genie'), ('stalebug', '2020-02-03 17:11:49 EST', 'genie')]</t>
  </si>
  <si>
    <t>2016-03-18 08:56:56 EDT</t>
  </si>
  <si>
    <t>2014-01-10 10:09 EST</t>
  </si>
  <si>
    <t>2014-01-10 10:16:24 EST</t>
  </si>
  <si>
    <t>[('CREATED', '2014-01-10 10:09 EST'), ('ASSIGNED', '2014-01-10 10:16:24 EST', 'noopur_gupta'), ('BETA J8', '2014-01-10 10:16:24 EST', 'noopur_gupta'), ('manju_mathew', '2014-02-12 21:39:28 EST', 'manju656'), ('review?(markus_keller)', '2014-02-19 21:06:54 EST', 'manju656'), ('review?(noopur_gupta)', '2014-04-09 03:47:54 EDT', 'manju656'), ('4.4 M7', '2014-04-09 03:47:54 EDT', 'manju656'), (nan, '2014-04-10 14:06:59 EDT', 'noopur_gupta'), ('4.4', '2014-04-29 00:51:42 EDT', 'manju656'), ('4.5', '2014-04-29 20:54:15 EDT', 'manju656'), ('rkhatchadourian', '2015-03-27 09:30:50 EDT', 'raffi.khatchadourian'), ('jdt-ui-inbox', '2015-05-12 12:53:11 EDT', 'markus.kell.r'), ('4.6', '2015-05-12 12:53:11 EDT', 'markus.kell.r'), ('https://bugs.eclipse.org/bugs/show_bug.cgi?id=478136', '2015-09-24 09:54:56 EDT', 'noopur_gupta'), ('https://git.eclipse.org/r/61053', '2015-11-23 14:10:32 EST', 'genie'), ('noopur_gupta', '2015-11-23 14:12:40 EST', 'noopur_gupta'), ('4.6 M4', '2015-11-23 14:12:40 EST', 'noopur_gupta'), ('review?(markus_keller)', '2015-11-23 14:12:40 EST', 'noopur_gupta'), ('4.6 M5', '2015-12-07 14:35:18 EST', 'markus.kell.r'), ('4.6 M6', '2016-01-26 15:03:38 EST', 'markus.kell.r'), ('4.6 M7', '2016-03-15 16:33:42 EDT', 'noopur_gupta'), (nan, '2016-03-15 16:33:42 EDT', 'noopur_gupta'), ('https://git.eclipse.org/c/jdt/eclipse.jdt.ui.git/commit/?id=ea1bd3f1025126a4ba9af1a3c500d4aa7e4525cf', '2016-03-18 08:55:38 EDT', 'genie'), ('RESOLVED', '2016-03-18 08:56:56 EDT', 'noopur_gupta'), ('FIXED', '2016-03-18 08:56:56 EDT', 'noopur_gupta')]</t>
  </si>
  <si>
    <t>CLOSED  DUPLICATE  of bug 198666</t>
  </si>
  <si>
    <t>2014-01-10 11:20 EST</t>
  </si>
  <si>
    <t>[('CREATED', '2014-01-10 11:20 EST'), ('CLOSED', '2014-01-13 19:12:40 EST', 'manju656'), ('manju_mathew', '2014-01-13 19:12:40 EST', 'manju656'), ('DUPLICATE', '2014-01-13 19:12:40 EST', 'manju656')]</t>
  </si>
  <si>
    <t>2014-01-15 09:08:40 EST</t>
  </si>
  <si>
    <t>2014-01-15 08:33 EST</t>
  </si>
  <si>
    <t>[('CREATED', '2014-01-15 08:33 EST'), ('CLOSED', '2014-01-15 09:08:40 EST', 'noopur_gupta'), ('noopur_gupta', '2014-01-15 09:08:40 EST', 'noopur_gupta'), ('All', '2014-01-15 09:08:40 EST', 'noopur_gupta'), ('DUPLICATE', '2014-01-15 09:08:40 EST', 'noopur_gupta'), ('All', '2014-01-15 09:08:40 EST', 'noopur_gupta')]</t>
  </si>
  <si>
    <t>417937</t>
  </si>
  <si>
    <t>2014-01-17 00:53 EST</t>
  </si>
  <si>
    <t>2014-01-17 00:56:41 EST</t>
  </si>
  <si>
    <t>2019-09-16 14:55:35 EDT</t>
  </si>
  <si>
    <t>[('CREATED', '2014-01-17 00:53 EST'), ('ASSIGNED', '2014-01-17 00:56:41 EST', 'manju656'), ('417937', '2014-01-17 00:56:41 EST', 'manju656'), ('BETA J8', '2014-01-17 00:56:41 EST', 'manju656'), ('manju_mathew', '2014-01-21 18:49:05 EST', 'manju656'), ('markus_keller', '2014-01-22 01:09:26 EST', 'manju656'), ('noopur_gupta', '2014-01-30 04:51:17 EST', 'noopur_gupta'), ('stalebug', '2019-09-16 14:55:35 EDT', 'genie')]</t>
  </si>
  <si>
    <t>2014-02-20 15:42:28 EST</t>
  </si>
  <si>
    <t>2014-02-21 02:12:02 EST</t>
  </si>
  <si>
    <t>2014-01-17 02:08 EST</t>
  </si>
  <si>
    <t>2014-01-17 02:14:04 EST</t>
  </si>
  <si>
    <t>[('CREATED', '2014-01-17 02:08 EST'), ('BETA J8', '2014-01-17 02:14:04 EST', 'noopur_gupta'), ('review?(markus_keller)', '2014-01-17 02:14:04 EST', 'noopur_gupta'), ('review+', '2014-02-20 15:42:28 EST', 'markus.kell.r'), ('RESOLVED', '2014-02-20 15:42:28 EST', 'markus.kell.r'), ('FIXED', '2014-02-20 15:42:28 EST', 'markus.kell.r'), ('VERIFIED', '2014-02-21 02:12:02 EST', 'manju656')]</t>
  </si>
  <si>
    <t>2014-04-16 07:12:34 EDT</t>
  </si>
  <si>
    <t>2014-01-28 09:38:23 EST</t>
  </si>
  <si>
    <t>2014-01-17 09:10 EST</t>
  </si>
  <si>
    <t>2014-01-17 09:11:31 EST</t>
  </si>
  <si>
    <t>[('CREATED', '2014-01-17 09:10 EST'), ('3.8.1', '2014-01-17 09:11:31 EST', 'eero.aaltonen'), ('stephan.herrmann', '2014-01-17 11:26:11 EST', 'stephan.herrmann'), ('Resources', '2014-01-17 11:26:11 EST', 'stephan.herrmann'), ('platform-resources-inbox', '2014-01-17 11:26:11 EST', 'stephan.herrmann'), ('Platform', '2014-01-17 11:26:11 EST', 'stephan.herrmann'), ('szymon.ptaszkiewicz', '2014-01-17 11:44:47 EST', 'sptaszkiewicz'), ('UI', '2014-01-17 11:44:47 EST', 'sptaszkiewicz'), ('jdt-ui-inbox', '2014-01-17 11:44:47 EST', 'sptaszkiewicz'), ('JDT', '2014-01-17 11:44:47 EST', 'sptaszkiewicz'), ('CLOSED', '2014-01-28 08:14:29 EST', 'daniel_megert'), ('daniel_megert', '2014-01-28 08:14:29 EST', 'daniel_megert'), ('DUPLICATE', '2014-01-28 08:14:29 EST', 'daniel_megert'), ('REOPENED', '2014-01-28 09:38:23 EST', 'eero.aaltonen'), ('---', '2014-01-28 09:38:23 EST', 'eero.aaltonen'), ('needinfo', '2014-01-28 09:54:50 EST', 'daniel_megert'), ('RESOLVED', '2014-04-16 07:12:34 EDT', 'daniel_megert'), ('WORKSFORME', '2014-04-16 07:12:34 EDT', 'daniel_megert')]</t>
  </si>
  <si>
    <t>2014-04-10 04:26:27 EDT</t>
  </si>
  <si>
    <t>2014-01-20 06:59 EST</t>
  </si>
  <si>
    <t>2014-01-20 07:57:03 EST</t>
  </si>
  <si>
    <t>2014-04-10 09:55:11 EDT</t>
  </si>
  <si>
    <t>[('CREATED', '2014-01-20 06:59 EST'), ('noopur_gupta', '2014-01-20 07:57:03 EST', 'noopur_gupta'), ('markus_keller', '2014-01-20 07:57:25 EST', 'noopur_gupta'), ('review?(markus_keller)', '2014-01-20 07:57:25 EST', 'noopur_gupta'), ('4.4', '2014-02-26 01:18:44 EST', 'noopur_gupta'), ('manju_mathew', '2014-04-08 06:47:39 EDT', 'noopur_gupta'), ('review?(manju_mathew)', '2014-04-08 06:47:39 EDT', 'noopur_gupta'), ('4.4 M7', '2014-04-10 03:36:21 EDT', 'manju656'), ('review+', '2014-04-10 03:36:21 EDT', 'manju656'), ('RESOLVED', '2014-04-10 04:26:27 EDT', 'noopur_gupta'), ('FIXED', '2014-04-10 04:26:27 EDT', 'noopur_gupta'), (nan, '2014-04-10 09:55:11 EDT', 'markus.kell.r')]</t>
  </si>
  <si>
    <t>427622</t>
  </si>
  <si>
    <t>2014-02-06 03:31:14 EST</t>
  </si>
  <si>
    <t>2014-02-21 04:35:09 EST</t>
  </si>
  <si>
    <t>2014-01-29 05:08 EST</t>
  </si>
  <si>
    <t>2014-01-29 07:18:25 EST</t>
  </si>
  <si>
    <t>manpalat</t>
  </si>
  <si>
    <t>[('CREATED', '2014-01-29 05:08 EST'), ('daniel_megert, markus_keller, noopur_gupta', '2014-01-29 07:18:25 EST', 'noopur_gupta'), ('noopur_gupta', '2014-01-29 07:18:25 EST', 'noopur_gupta'), ('BETA J8', '2014-01-29 07:18:25 EST', 'noopur_gupta'), ('review?(markus_keller)', '2014-01-29 07:18:25 EST', 'noopur_gupta'), ('review+', '2014-02-06 03:31:14 EST', 'markus.kell.r'), ('RESOLVED', '2014-02-06 03:31:14 EST', 'markus.kell.r'), ('FIXED', '2014-02-06 03:31:14 EST', 'markus.kell.r'), ('427622', '2014-02-11 05:12:10 EST', 'noopur_gupta'), ('VERIFIED', '2014-02-21 04:35:09 EST', 'manpalat'), ('manpalat', '2014-02-21 04:35:09 EST', 'manpalat')]</t>
  </si>
  <si>
    <t>2014-04-09 23:20:12 EDT</t>
  </si>
  <si>
    <t>2014-01-30 01:32 EST</t>
  </si>
  <si>
    <t>2014-01-31 01:12:06 EST</t>
  </si>
  <si>
    <t>[('CREATED', '2014-01-30 01:32 EST'), ('manju_mathew, markus_keller', '2014-01-31 01:12:06 EST', 'manju656'), ('manju_mathew', '2014-01-31 01:12:06 EST', 'manju656'), ('ASSIGNED', '2014-01-31 01:12:06 EST', 'manju656'), ('RESOLVED', '2014-04-09 23:20:12 EDT', 'manju656'), ('FIXED', '2014-04-09 23:20:12 EDT', 'manju656'), ('4.4 M7', '2014-04-09 23:20:12 EDT', 'manju656'), ('[pull up] Import declaration for the type use annotation is missing after pull up refactoring', '2014-04-09 23:20:12 EDT', 'manju656')]</t>
  </si>
  <si>
    <t>2014-01-30 05:28 EST</t>
  </si>
  <si>
    <t>2014-01-30 05:30:34 EST</t>
  </si>
  <si>
    <t>2014-11-25 04:22:57 EST</t>
  </si>
  <si>
    <t>xcoulon</t>
  </si>
  <si>
    <t>[('CREATED', '2014-01-30 05:28 EST'), ('kmarmaliykov', '2014-01-30 05:30:34 EST', 'kmarmaliykov'), ('All', '2014-02-11 09:53:13 EST', 'daniel_megert'), ('All', '2014-02-11 09:53:13 EST', 'daniel_megert'), ('enhancement', '2014-02-11 09:53:13 EST', 'daniel_megert'), ('ASSIGNED', '2014-02-11 09:53:13 EST', 'daniel_megert'), ('daniel_megert', '2014-02-11 09:53:13 EST', 'daniel_megert'), ('igels', '2014-02-11 20:21:23 EST', 'alkazako'), ('xcoulon', '2014-11-25 04:22:57 EST', 'xcoulon')]</t>
  </si>
  <si>
    <t>2014-02-04 04:02:42 EST</t>
  </si>
  <si>
    <t>2014-02-01 18:34 EST</t>
  </si>
  <si>
    <t>2014-02-03 06:17:43 EST</t>
  </si>
  <si>
    <t>[('CREATED', '2014-02-01 18:34 EST'), ('UI', '2014-02-03 06:17:43 EST', 'pwebster'), ('jdt-ui-inbox', '2014-02-03 06:17:43 EST', 'pwebster'), ('JDT', '2014-02-03 06:17:43 EST', 'pwebster'), ('noopur_gupta', '2014-02-04 04:00:45 EST', 'noopur_gupta'), ('[rename] refactoring/rename on bean field should rename mutators', '2014-02-04 04:02:42 EST', 'noopur_gupta'), ('RESOLVED', '2014-02-04 04:02:42 EST', 'noopur_gupta'), ('WORKSFORME', '2014-02-04 04:02:42 EST', 'noopur_gupta')]</t>
  </si>
  <si>
    <t>2014-04-11 05:45:58 EDT</t>
  </si>
  <si>
    <t>2014-02-10 13:39 EST</t>
  </si>
  <si>
    <t>2014-02-11 04:15:02 EST</t>
  </si>
  <si>
    <t>[('CREATED', '2014-02-10 13:39 EST'), ('needinfo', '2014-02-11 04:15:02 EST', 'daniel_megert'), ('daniel_megert, stephan.herrmann', '2014-02-11 04:15:02 EST', 'daniel_megert'), ('RESOLVED', '2014-04-11 05:45:58 EDT', 'daniel_megert'), ('WORKSFORME', '2014-04-11 05:45:58 EDT', 'daniel_megert')]</t>
  </si>
  <si>
    <t>2014-02-13 15:02 EST</t>
  </si>
  <si>
    <t>2014-02-14 02:55:53 EST</t>
  </si>
  <si>
    <t>2014-10-21 09:37:26 EDT</t>
  </si>
  <si>
    <t>[('CREATED', '2014-02-13 15:02 EST'), ('Lars.Vogel', '2014-02-14 02:55:53 EST', 'Lars.Vogel'), ('ASSIGNED', '2014-02-14 05:07:37 EST', 'daniel_megert'), ('daniel_megert', '2014-02-14 05:07:37 EST', 'daniel_megert'), ('All', '2014-02-14 05:07:37 EST', 'daniel_megert'), ('[extract local] Extract local variable should be possible without selection', '2014-02-14 05:07:37 EST', 'daniel_megert'), ('All', '2014-02-14 05:07:37 EST', 'daniel_megert'), ('rkitzmann', '2014-02-18 07:32:45 EST', 'rkitzmann'), ('timo.kinnunen', '2014-04-02 10:00:11 EDT', 'timo.kinnunen'), ('review?', '2014-04-14 08:59:42 EDT', 'timo.kinnunen'), (nan, '2014-10-21 09:37:26 EDT', 'daniel_megert')]</t>
  </si>
  <si>
    <t>2020-05-15 08:35:37 EDT</t>
  </si>
  <si>
    <t>2014-02-13 15:39 EST</t>
  </si>
  <si>
    <t>2014-02-14 02:56:02 EST</t>
  </si>
  <si>
    <t>[('CREATED', '2014-02-13 15:39 EST'), ('Lars.Vogel', '2014-02-14 02:56:02 EST', 'Lars.Vogel'), ('ASSIGNED', '2014-02-14 04:57:07 EST', 'daniel_megert'), ('daniel_megert', '2014-02-14 04:57:07 EST', 'daniel_megert'), ('All', '2014-02-14 04:57:07 EST', 'daniel_megert'), ('[extract local] Extract local variable should be possible without a dialog', '2014-02-14 04:57:07 EST', 'daniel_megert'), ('All', '2014-02-14 04:57:07 EST', 'daniel_megert'), ('rkitzmann', '2014-02-18 07:39:01 EST', 'rkitzmann'), ('FIXED', '2020-05-15 08:35:37 EDT', 'Lars.Vogel'), ('RESOLVED', '2020-05-15 08:35:37 EDT', 'Lars.Vogel')]</t>
  </si>
  <si>
    <t>2020-05-16 16:53:11 EDT</t>
  </si>
  <si>
    <t>2020-05-16 17:03:55 EDT</t>
  </si>
  <si>
    <t>2014-02-21 02:16 EST</t>
  </si>
  <si>
    <t>2014-02-21 02:17:15 EST</t>
  </si>
  <si>
    <t>[('CREATED', '2014-02-21 02:16 EST'), ('ASSIGNED', '2014-02-21 02:17:15 EST', 'noopur_gupta'), ('manju_mathew', '2014-02-21 17:14:09 EST', 'manju656'), ('CLOSED', '2020-05-16 16:53:11 EDT', 'genie'), ('stalebug', '2020-05-16 16:53:11 EDT', 'genie'), ('WONTFIX', '2020-05-16 16:53:11 EDT', 'genie'), ('---', '2020-05-16 17:03:55 EDT', 'stephan.herrmann'), (nan, '2020-05-16 17:03:55 EDT', 'stephan.herrmann'), ('stephan.herrmann', '2020-05-16 17:03:55 EDT', 'stephan.herrmann'), ('enhancement', '2020-05-16 17:03:55 EDT', 'stephan.herrmann'), ('REOPENED', '2020-05-16 17:03:55 EDT', 'stephan.herrmann')]</t>
  </si>
  <si>
    <t>400905</t>
  </si>
  <si>
    <t>2014-03-02 20:37:59 EST</t>
  </si>
  <si>
    <t>2014-02-25 03:47:47 EST</t>
  </si>
  <si>
    <t>2014-02-21 08:34 EST</t>
  </si>
  <si>
    <t>2014-02-25 01:26:24 EST</t>
  </si>
  <si>
    <t>[('CREATED', '2014-02-21 08:34 EST'), ('400905', '2014-02-25 01:26:24 EST', 'manju656'), ('RESOLVED', '2014-02-25 01:28:01 EST', 'manju656'), ('manju_mathew', '2014-02-25 01:28:01 EST', 'manju656'), ('WORKSFORME', '2014-02-25 01:28:01 EST', 'manju656'), ('REOPENED', '2014-02-25 03:47:47 EST', 'manju656'), ('---', '2014-02-25 03:47:47 EST', 'manju656'), ('ASSIGNED', '2014-02-26 01:37:39 EST', 'noopur_gupta'), ('noopur_gupta', '2014-02-26 01:37:39 EST', 'noopur_gupta'), ('BETA J8', '2014-02-26 01:37:39 EST', 'noopur_gupta'), ('RESOLVED', '2014-03-02 20:37:59 EST', 'manju656'), ('WORKSFORME', '2014-03-02 20:37:59 EST', 'manju656')]</t>
  </si>
  <si>
    <t>2020-03-04 05:26:52 EST</t>
  </si>
  <si>
    <t>2014-02-21 17:22 EST</t>
  </si>
  <si>
    <t>2014-02-26 02:02:00 EST</t>
  </si>
  <si>
    <t>[('CREATED', '2014-02-21 17:22 EST'), ('ASSIGNED', '2014-02-26 02:02:00 EST', 'noopur_gupta'), ('noopur_gupta', '2014-02-26 02:02:00 EST', 'noopur_gupta'), ('All', '2014-02-26 02:02:00 EST', 'noopur_gupta'), ('BETA J8', '2014-02-26 02:02:00 EST', 'noopur_gupta'), ('All', '2014-02-26 02:02:00 EST', 'noopur_gupta'), ('WONTFIX', '2020-03-04 05:26:52 EST', 'genie'), ('CLOSED', '2020-03-04 05:26:52 EST', 'genie'), ('stalebug', '2020-03-04 05:26:52 EST', 'genie')]</t>
  </si>
  <si>
    <t>2014-04-30 17:27:03 EDT</t>
  </si>
  <si>
    <t>2014-05-01 11:01:26 EDT</t>
  </si>
  <si>
    <t>2014-02-23 19:34 EST</t>
  </si>
  <si>
    <t>2014-02-23 19:37:17 EST</t>
  </si>
  <si>
    <t>[('CREATED', '2014-02-23 19:34 EST'), ('ASSIGNED', '2014-02-23 19:37:17 EST', 'manju656'), ('BETA J8', '2014-02-23 19:37:17 EST', 'manju656'), ('markus_keller, noopur_gupta', '2014-04-24 08:52:26 EDT', 'noopur_gupta'), ('All', '2014-04-24 08:52:26 EDT', 'noopur_gupta'), ('noopur_gupta', '2014-04-24 08:52:26 EDT', 'noopur_gupta'), ('4.4', '2014-04-24 08:52:26 EDT', 'noopur_gupta'), ('All', '2014-04-24 08:52:26 EDT', 'noopur_gupta'), ('review?(markus_keller)', '2014-04-24 10:55:05 EDT', 'noopur_gupta'), ('manju_mathew', '2014-04-24 10:55:17 EDT', 'noopur_gupta'), ('review?(manju_mathew)', '2014-04-24 10:55:17 EDT', 'noopur_gupta'), ('4.4 M7', '2014-04-29 04:31:27 EDT', 'noopur_gupta'), ('RESOLVED', '2014-04-30 17:27:03 EDT', 'markus.kell.r'), ('FIXED', '2014-04-30 17:27:03 EDT', 'markus.kell.r'), ('review+', '2014-04-30 17:27:03 EDT', 'markus.kell.r'), ('VERIFIED', '2014-05-01 11:01:26 EDT', 'markus.kell.r')]</t>
  </si>
  <si>
    <t>2020-04-23 16:42:40 EDT</t>
  </si>
  <si>
    <t>2014-02-26 14:52 EST</t>
  </si>
  <si>
    <t>2014-02-26 15:20:58 EST</t>
  </si>
  <si>
    <t>[('CREATED', '2014-02-26 14:52 EST'), ('pwebster', '2014-02-26 15:20:58 EST', 'pwebster'), ('UI', '2014-02-26 15:20:58 EST', 'pwebster'), ('jdt-ui-inbox', '2014-02-26 15:20:58 EST', 'pwebster'), ('JDT', '2014-02-26 15:20:58 EST', 'pwebster'), ('All', '2014-02-27 04:37:45 EST', 'daniel_megert'), ('ASSIGNED', '2014-02-27 04:37:45 EST', 'daniel_megert'), ('daniel_megert', '2014-02-27 04:37:45 EST', 'daniel_megert'), ('All', '2014-02-27 04:37:45 EST', 'daniel_megert'), ("[ltk] 'OK' on preview page can be misleading", '2014-02-27 04:37:45 EST', 'daniel_megert'), ('https://git.eclipse.org/r/46989', '2015-05-03 06:46:45 EDT', 'genie'), ('robert.roth.off', '2015-05-03 06:49:07 EDT', 'robert.roth.off'), ('4.6', '2015-05-11 10:56:48 EDT', 'daniel_megert'), ('4.7', '2016-04-21 06:04:05 EDT', 'daniel_megert'), ('noopur_gupta', '2017-05-19 05:55:51 EDT', 'noopur_gupta'), ('4.8', '2017-05-19 05:55:51 EDT', 'noopur_gupta'), ('---', '2018-04-17 07:21:22 EDT', 'noopur_gupta'), ('WONTFIX', '2020-04-23 16:42:40 EDT', 'genie'), ('CLOSED', '2020-04-23 16:42:40 EDT', 'genie'), ('stalebug', '2020-04-23 16:42:40 EDT', 'genie')]</t>
  </si>
  <si>
    <t>2020-03-14 01:49:24 EDT</t>
  </si>
  <si>
    <t>2014-03-02 14:56 EST</t>
  </si>
  <si>
    <t>2014-03-02 23:00:20 EST</t>
  </si>
  <si>
    <t>[('CREATED', '2014-03-02 14:56 EST'), ('needinfo', '2014-03-02 23:00:20 EST', 'manju656'), ('manju_mathew', '2014-03-02 23:00:20 EST', 'manju656'), ('erlend.k', '2014-03-03 02:57:38 EST', 'erlend.k'), ('stolz+bugzilla', '2014-03-03 03:38:16 EST', 'stolz+bugzilla'), (nan, '2014-03-03 04:11:01 EST', 'manju656'), ('ASSIGNED', '2014-03-03 04:11:01 EST', 'manju656'), ('All', '2014-03-03 04:11:01 EST', 'manju656'), ('[move method] IAE when moving method from anonymous class', '2014-03-03 04:11:01 EST', 'manju656'), ('All', '2014-03-03 04:11:01 EST', 'manju656'), ('https://bugs.eclipse.org/bugs/show_bug.cgi?id=432845', '2014-04-16 02:41:39 EDT', 'noopur_gupta'), ('CLOSED', '2020-03-14 01:49:24 EDT', 'genie'), ('WONTFIX', '2020-03-14 01:49:24 EDT', 'genie'), ('stalebug', '2020-03-14 01:49:24 EDT', 'genie')]</t>
  </si>
  <si>
    <t>2014-03-03 00:42 EST</t>
  </si>
  <si>
    <t>2014-03-03 18:41:30 EST</t>
  </si>
  <si>
    <t>2018-11-12 15:30:09 EST</t>
  </si>
  <si>
    <t>[('CREATED', '2014-03-03 00:42 EST'), ('ASSIGNED', '2014-03-03 18:41:30 EST', 'manju656'), ('stalebug', '2018-11-12 15:30:09 EST', 'genie')]</t>
  </si>
  <si>
    <t>430159</t>
  </si>
  <si>
    <t>2014-03-16 17:46:43 EDT</t>
  </si>
  <si>
    <t>2014-03-03 14:17 EST</t>
  </si>
  <si>
    <t>2014-03-03 21:47:10 EST</t>
  </si>
  <si>
    <t>[('CREATED', '2014-03-03 14:17 EST'), ('ASSIGNED', '2014-03-03 21:47:10 EST', 'manju656'), ('manju_mathew', '2014-03-03 21:47:10 EST', 'manju656'), ('BETA J8', '2014-03-03 21:47:10 EST', 'manju656'), ('[1.8][refactoring] Change Method Signature refactoring breaks lambda', '2014-03-03 21:47:10 EST', 'manju656'), ('All', '2014-03-04 00:34:19 EST', 'manju656'), ('All', '2014-03-04 00:34:19 EST', 'manju656'), ('markus_keller', '2014-03-11 21:26:50 EDT', 'manju656'), ('manju_mathew', '2014-03-11 21:26:50 EDT', 'manju656'), ('430159', '2014-03-12 05:25:39 EDT', 'manpalat'), ('noopur_gupta', '2014-03-12 07:03:59 EDT', 'noopur_gupta'), ('1', '2014-03-14 05:23:55 EDT', 'manju656'), ('RESOLVED', '2014-03-16 17:46:43 EDT', 'markus.kell.r'), ('FIXED', '2014-03-16 17:46:43 EDT', 'markus.kell.r')]</t>
  </si>
  <si>
    <t>2014-03-13 01:37:41 EDT</t>
  </si>
  <si>
    <t>2017-03-27 07:35:24 EDT</t>
  </si>
  <si>
    <t>2014-03-06 12:37 EST</t>
  </si>
  <si>
    <t>2017-04-12 07:55:49 EDT</t>
  </si>
  <si>
    <t>[('CREATED', '2014-03-06 12:37 EST'), ('RESOLVED', '2014-03-13 01:37:41 EDT', 'manju656'), ('manju_mathew', '2014-03-13 01:37:41 EDT', 'manju656'), ('WONTFIX', '2014-03-13 01:37:41 EDT', 'manju656'), ('Lars.Vogel', '2014-03-13 11:04:35 EDT', 'Lars.Vogel'), ('daniel_megert', '2014-04-02 10:18:21 EDT', 'daniel_megert'), ('REOPENED', '2017-03-27 07:35:24 EDT', 'Lars.Vogel'), ('noopur_gupta', '2017-03-27 07:35:24 EDT', 'Lars.Vogel'), ('---', '2017-03-27 07:35:24 EDT', 'Lars.Vogel'), ('4.7 M7', '2017-04-07 02:59:23 EDT', 'Lars.Vogel'), ('helpwanted', '2017-04-12 07:55:49 EDT', 'daniel_megert'), ('ASSIGNED', '2017-04-12 07:55:49 EDT', 'daniel_megert'), ('All', '2017-04-12 07:55:49 EDT', 'daniel_megert'), ('---', '2017-04-12 07:55:49 EDT', 'daniel_megert'), ('All', '2017-04-12 07:55:49 EDT', 'daniel_megert'), ('enhancement', '2017-04-12 07:55:49 EDT', 'daniel_megert')]</t>
  </si>
  <si>
    <t>2014-03-09 07:37 EDT</t>
  </si>
  <si>
    <t>2014-03-09 07:37:38 EDT</t>
  </si>
  <si>
    <t>2019-09-06 16:52:26 EDT</t>
  </si>
  <si>
    <t>[('CREATED', '2014-03-09 07:37 EDT'), ('erlend.k', '2014-03-09 07:37:38 EDT', 'erlend.k'), ('ASSIGNED', '2014-03-16 22:47:25 EDT', 'manju656'), ('manju_mathew', '2014-03-16 22:47:25 EDT', 'manju656'), ('All', '2014-03-16 22:47:25 EDT', 'manju656'), ('3.8', '2014-03-16 22:47:25 EDT', 'manju656'), ('All', '2014-03-16 22:47:25 EDT', 'manju656'), ('stolz+bugzilla', '2014-04-08 05:24:59 EDT', 'stolz+bugzilla'), ('stalebug', '2019-09-06 16:52:26 EDT', 'genie')]</t>
  </si>
  <si>
    <t>2014-12-04 12:19:33 EST</t>
  </si>
  <si>
    <t>2014-03-13 06:24 EDT</t>
  </si>
  <si>
    <t>2014-03-16 21:17:20 EDT</t>
  </si>
  <si>
    <t>[('CREATED', '2014-03-13 06:24 EDT'), ('ASSIGNED', '2014-03-16 21:17:20 EDT', 'manju656'), ('manju_mathew', '2014-03-16 21:17:20 EDT', 'manju656'), ('[refactoring][extract method] Extract Method misses parameter used in try-with-resources statement', '2014-03-16 21:17:20 EDT', 'manju656'), ('sja.eclipse', '2014-12-03 22:12:45 EST', 'sja.eclipse'), ('All', '2014-12-03 22:12:45 EST', 'sja.eclipse'), ('All', '2014-12-03 22:12:45 EST', 'sja.eclipse'), ('noopur_gupta', '2014-12-04 06:52:58 EST', 'noopur_gupta'), ('noopur_gupta', '2014-12-04 06:52:58 EST', 'noopur_gupta'), ('markus_keller', '2014-12-04 06:54:54 EST', 'noopur_gupta'), ('4.5', '2014-12-04 06:54:54 EST', 'noopur_gupta'), ('review?(markus_keller)', '2014-12-04 06:54:54 EST', 'noopur_gupta'), ('RESOLVED', '2014-12-04 12:19:33 EST', 'markus.kell.r'), ('FIXED', '2014-12-04 12:19:33 EST', 'markus.kell.r'), ('4.5 M4', '2014-12-04 12:19:33 EST', 'markus.kell.r'), ('review+', '2014-12-04 12:19:33 EST', 'markus.kell.r')]</t>
  </si>
  <si>
    <t>430195</t>
  </si>
  <si>
    <t>2014-04-22 14:58:09 EDT</t>
  </si>
  <si>
    <t>2014-03-13 10:13 EDT</t>
  </si>
  <si>
    <t>2014-03-13 11:44:45 EDT</t>
  </si>
  <si>
    <t>2014-04-25 14:55:24 EDT</t>
  </si>
  <si>
    <t>[('CREATED', '2014-03-13 10:13 EDT'), ('ASSIGNED', '2014-03-13 11:44:45 EDT', 'markus.kell.r'), ('430195', '2014-03-13 11:44:45 EDT', 'markus.kell.r'), ('4.4', '2014-03-13 11:44:45 EDT', 'markus.kell.r'), ('markus_keller', '2014-03-13 11:44:56 EDT', 'markus.kell.r'), ('markus_keller', '2014-03-13 11:44:56 EDT', 'markus.kell.r'), ('noopur_gupta', '2014-03-13 12:22:24 EDT', 'noopur_gupta'), ('jarthana', '2014-04-02 08:55:24 EDT', 'jarthana'), ('RESOLVED', '2014-04-22 14:58:09 EDT', 'markus.kell.r'), ('manju_mathew', '2014-04-22 14:58:09 EDT', 'markus.kell.r'), ('FIXED', '2014-04-22 14:58:09 EDT', 'markus.kell.r'), ('4.4 M7', '2014-04-22 14:58:09 EDT', 'markus.kell.r'), ('[1.8][render] Rendering of Lambda types; use #isLambda() APIs', '2014-04-22 14:58:09 EDT', 'markus.kell.r'), ('timo.kinnunen', '2014-04-25 14:01:51 EDT', 'timo.kinnunen'), ('daniel_megert', '2014-04-25 14:55:24 EDT', 'markus.kell.r')]</t>
  </si>
  <si>
    <t>2014-03-16 06:54 EDT</t>
  </si>
  <si>
    <t>2014-03-16 22:27:58 EDT</t>
  </si>
  <si>
    <t>[('CREATED', '2014-03-16 06:54 EDT'), ('ASSIGNED', '2014-03-16 22:27:58 EDT', 'manju656'), ('manju_mathew', '2014-03-16 22:27:58 EDT', 'manju656'), ('All', '2014-03-16 22:27:58 EDT', 'manju656'), ('[refactoring][extract constant] Extract constant should expand the selection to include the " if possible', '2014-03-16 22:27:58 EDT', 'manju656'), ('All', '2014-03-16 22:27:58 EDT', 'manju656'), ('enhancement', '2014-03-16 22:27:58 EDT', 'manju656')]</t>
  </si>
  <si>
    <t>2014-03-16 17:50:10 EDT</t>
  </si>
  <si>
    <t>2014-03-16 17:46 EDT</t>
  </si>
  <si>
    <t>[('CREATED', '2014-03-16 17:46 EDT'), ('markus_keller', '2014-03-16 17:50:10 EDT', 'markus.kell.r'), ('BETA J8', '2014-03-16 17:50:10 EDT', 'markus.kell.r'), ('RESOLVED', '2014-03-16 17:50:10 EDT', 'markus.kell.r'), ('markus_keller', '2014-03-16 17:50:10 EDT', 'markus.kell.r'), ('FIXED', '2014-03-16 17:50:10 EDT', 'markus.kell.r')]</t>
  </si>
  <si>
    <t>2014-03-19 13:31:26 EDT</t>
  </si>
  <si>
    <t>2014-03-17 22:20 EDT</t>
  </si>
  <si>
    <t>2014-03-18 21:09:01 EDT</t>
  </si>
  <si>
    <t>[('CREATED', '2014-03-17 22:20 EDT'), ('ASSIGNED', '2014-03-18 21:09:01 EDT', 'manju656'), ('manju_mathew', '2014-03-18 21:09:01 EDT', 'manju656'), ('FIXED', '2014-03-19 13:31:26 EDT', 'markus.kell.r'), ('markus_keller', '2014-03-19 13:31:26 EDT', 'markus.kell.r'), ('4.4 M7', '2014-03-19 13:31:26 EDT', 'markus.kell.r'), ('RESOLVED', '2014-03-19 13:31:26 EDT', 'markus.kell.r'), ('markus_keller', '2014-03-19 13:31:26 EDT', 'markus.kell.r')]</t>
  </si>
  <si>
    <t>2014-07-06 23:00:11 EDT</t>
  </si>
  <si>
    <t>2014-08-05 05:16:37 EDT</t>
  </si>
  <si>
    <t>2014-03-19 22:12 EDT</t>
  </si>
  <si>
    <t>2014-04-02 03:45:07 EDT</t>
  </si>
  <si>
    <t>[('CREATED', '2014-03-19 22:12 EDT'), ('ASSIGNED', '2014-04-02 03:45:07 EDT', 'daniel_megert'), ('daniel_megert', '2014-04-02 03:45:07 EDT', 'daniel_megert'), ('[refactoring] Allow expanding/collapsing folders on the ReorgUserInputPage', '2014-04-02 03:45:07 EDT', 'daniel_megert'), ('holger.hoffstaette', '2014-04-02 03:56:33 EDT', 'holger.hoffstaette'), ('manju_mathew', '2014-04-02 04:43:24 EDT', 'daniel_megert'), ('review?(manju_mathew)', '2014-04-02 04:43:24 EDT', 'daniel_megert'), ('RESOLVED', '2014-07-06 23:00:11 EDT', 'manju656'), ('FIXED', '2014-07-06 23:00:11 EDT', 'manju656'), ('dirk', '2014-07-06 23:00:11 EDT', 'manju656'), ('4.5 M1', '2014-07-06 23:00:11 EDT', 'manju656'), ('review+', '2014-07-06 23:00:11 EDT', 'manju656'), ('noopur_gupta', '2014-08-05 05:16:37 EDT', 'noopur_gupta'), ('VERIFIED', '2014-08-05 05:16:37 EDT', 'noopur_gupta')]</t>
  </si>
  <si>
    <t>2014-03-26 20:52:43 EDT</t>
  </si>
  <si>
    <t>2014-03-27 14:09:42 EDT</t>
  </si>
  <si>
    <t>2014-03-25 15:45 EDT</t>
  </si>
  <si>
    <t>2014-03-25 20:01:59 EDT</t>
  </si>
  <si>
    <t>[('CREATED', '2014-03-25 15:45 EDT'), ('ASSIGNED', '2014-03-25 20:01:59 EDT', 'manju656'), ('manju_mathew', '2014-03-25 20:01:59 EDT', 'manju656'), ('All', '2014-03-25 20:01:59 EDT', 'manju656'), ('All', '2014-03-25 20:01:59 EDT', 'manju656'), ('manju_mathew', '2014-03-25 23:14:46 EDT', 'manju656'), ('markus_keller, noopur_gupta', '2014-03-25 23:15:18 EDT', 'manju656'), ('4.4 M7', '2014-03-26 20:52:43 EDT', 'manju656'), ('RESOLVED', '2014-03-26 20:52:43 EDT', 'manju656'), ('FIXED', '2014-03-26 20:52:43 EDT', 'manju656'), ('VERIFIED', '2014-03-27 14:09:42 EDT', 'markus.kell.r')]</t>
  </si>
  <si>
    <t>2020-01-24 08:40:12 EST</t>
  </si>
  <si>
    <t>2014-04-03 02:04 EDT</t>
  </si>
  <si>
    <t>2014-04-03 10:41:57 EDT</t>
  </si>
  <si>
    <t>[('CREATED', '2014-04-03 02:04 EDT'), ('cwindatt', '2014-04-03 10:41:57 EDT', 'curtis.windatt.public'), ('markus_keller', '2014-04-07 12:31:14 EDT', 'curtis.windatt.public'), ('ASSIGNED', '2014-04-07 13:53:22 EDT', 'markus.kell.r'), ('UI', '2014-04-07 13:53:22 EDT', 'markus.kell.r'), ('jdt-ui-inbox', '2014-04-07 13:53:22 EDT', 'markus.kell.r'), ('JDT', '2014-04-07 13:53:22 EDT', 'markus.kell.r'), ('[ltk] Improve error message in RefactoringHistoryErrorPage', '2014-04-07 13:53:22 EDT', 'markus.kell.r'), ('WONTFIX', '2020-01-24 08:40:12 EST', 'genie'), ('CLOSED', '2020-01-24 08:40:12 EST', 'genie'), ('stalebug', '2020-01-24 08:40:12 EST', 'genie')]</t>
  </si>
  <si>
    <t>2014-04-07 06:36 EDT</t>
  </si>
  <si>
    <t>2014-04-08 06:58:17 EDT</t>
  </si>
  <si>
    <t>2014-12-17 08:32:15 EST</t>
  </si>
  <si>
    <t>[('CREATED', '2014-04-07 06:36 EDT'), ('noopur_gupta', '2014-04-08 06:58:17 EDT', 'noopur_gupta'), ('enhancement', '2014-04-08 06:58:17 EDT', 'noopur_gupta'), ('ASSIGNED', '2014-04-08 06:58:17 EDT', 'noopur_gupta'), ('daniel_megert', '2014-05-12 05:18:15 EDT', 'daniel_megert'), ('4.5', '2014-05-12 05:18:15 EDT', 'daniel_megert'), ('review?(noopur_gupta)', '2014-05-12 05:18:15 EDT', 'daniel_megert'), (nan, '2014-06-05 06:16:22 EDT', 'noopur_gupta'), ('1', '2014-06-05 21:50:59 EDT', 'timo.kinnunen'), ('review?(noopur_gupta)', '2014-10-21 09:38:44 EDT', 'daniel_megert'), ('markus_keller', '2014-12-02 08:29:24 EST', 'noopur_gupta'), ('---', '2014-12-02 08:29:24 EST', 'noopur_gupta'), (nan, '2014-12-02 08:29:24 EST', 'noopur_gupta'), ('review?(noopur_gupta)', '2014-12-17 08:32:15 EST', 'noopur_gupta')]</t>
  </si>
  <si>
    <t>433011</t>
  </si>
  <si>
    <t>2014-04-18 10:01:28 EDT</t>
  </si>
  <si>
    <t>2014-04-10 08:12 EDT</t>
  </si>
  <si>
    <t>2014-04-10 23:03:57 EDT</t>
  </si>
  <si>
    <t>[('CREATED', '2014-04-10 08:12 EDT'), ('manpalat', '2014-04-10 23:03:57 EDT', 'manpalat'), ('UI', '2014-04-10 23:03:57 EDT', 'manpalat'), ('jdt-ui-inbox', '2014-04-10 23:03:57 EDT', 'manpalat'), ('srikanth_sankaran', '2014-04-10 23:57:00 EDT', 'srikanth_sankaran'), ('4.4', '2014-04-10 23:57:00 EDT', 'srikanth_sankaran'), ('normal', '2014-04-11 00:47:22 EDT', 'noopur_gupta'), ('ASSIGNED', '2014-04-11 00:47:22 EDT', 'noopur_gupta'), ('All', '2014-04-11 00:47:22 EDT', 'noopur_gupta'), ('All', '2014-04-11 00:47:22 EDT', 'noopur_gupta'), ('manju_mathew', '2014-04-11 01:09:35 EDT', 'manju656'), ('[1.8][rename] Method renaming does not work well for method reference', '2014-04-11 01:09:35 EDT', 'manju656'), ('noopur_gupta', '2014-04-11 08:27:25 EDT', 'noopur_gupta'), ('markus_keller', '2014-04-11 12:45:20 EDT', 'noopur_gupta'), ('noopur_gupta', '2014-04-11 12:45:20 EDT', 'noopur_gupta'), ('433011', '2014-04-17 10:39:58 EDT', 'markus.kell.r'), ('4.4 M7', '2014-04-17 11:05:46 EDT', 'markus.kell.r'), ('jarthana', '2014-04-18 07:58:40 EDT', 'jarthana'), ('RESOLVED', '2014-04-18 10:01:28 EDT', 'noopur_gupta'), ('FIXED', '2014-04-18 10:01:28 EDT', 'noopur_gupta')]</t>
  </si>
  <si>
    <t>2014-05-13 22:38:45 EDT</t>
  </si>
  <si>
    <t>2014-05-19 04:17:56 EDT</t>
  </si>
  <si>
    <t>2014-04-10 23:25 EDT</t>
  </si>
  <si>
    <t>2014-04-11 00:42:17 EDT</t>
  </si>
  <si>
    <t>[('CREATED', '2014-04-10 23:25 EDT'), ('ASSIGNED', '2014-04-11 00:42:17 EDT', 'noopur_gupta'), ('All', '2014-04-11 00:42:17 EDT', 'noopur_gupta'), ('4.4', '2014-04-11 00:42:17 EDT', 'noopur_gupta'), ('All', '2014-04-11 00:42:17 EDT', 'noopur_gupta'), ('markus_keller', '2014-05-13 09:30:08 EDT', 'markus.kell.r'), ('Fix', '2014-05-13 09:32:00 EDT', 'markus.kell.r'), ('manju_mathew', '2014-05-13 09:32:56 EDT', 'markus.kell.r'), ('4.4 RC1', '2014-05-13 09:32:56 EDT', 'markus.kell.r'), ('review?(manju_mathew)', '2014-05-13 09:32:56 EDT', 'markus.kell.r'), ('RESOLVED', '2014-05-13 22:38:45 EDT', 'manju656'), ('FIXED', '2014-05-13 22:38:45 EDT', 'manju656'), ('review+', '2014-05-13 22:38:45 EDT', 'manju656'), ('VERIFIED', '2014-05-19 04:17:56 EDT', 'noopur_gupta'), ('noopur_gupta', '2014-05-19 04:17:56 EDT', 'noopur_gupta')]</t>
  </si>
  <si>
    <t>100546</t>
  </si>
  <si>
    <t>2020-02-05 16:37:06 EST</t>
  </si>
  <si>
    <t>2014-04-13 04:11 EDT</t>
  </si>
  <si>
    <t>2014-04-14 07:18:24 EDT</t>
  </si>
  <si>
    <t>[('CREATED', '2014-04-13 04:11 EDT'), ('All', '2014-04-14 07:18:24 EDT', 'noopur_gupta'), ('ASSIGNED', '2014-04-14 07:18:24 EDT', 'noopur_gupta'), ('noopur_gupta', '2014-04-14 07:18:24 EDT', 'noopur_gupta'), ('All', '2014-04-14 07:18:24 EDT', 'noopur_gupta'), ('432724', '2014-04-14 08:10:20 EDT', 'noopur_gupta'), (nan, '2014-04-14 15:29:11 EDT', 'markus.kell.r'), ('100546', '2014-04-14 16:01:48 EDT', 'markus.kell.r'), ('CLOSED', '2020-02-05 16:37:06 EST', 'genie'), ('stalebug', '2020-02-05 16:37:06 EST', 'genie'), ('WONTFIX', '2020-02-05 16:37:06 EST', 'genie')]</t>
  </si>
  <si>
    <t>439969 (view as bug list)</t>
  </si>
  <si>
    <t>2014-04-15 12:26 EDT</t>
  </si>
  <si>
    <t>2014-04-15 12:27:11 EDT</t>
  </si>
  <si>
    <t>2020-06-20 19:48:23 EDT</t>
  </si>
  <si>
    <t>[('CREATED', '2014-04-15 12:26 EDT'), ('jongwook.kim', '2014-04-15 12:27:11 EDT', 'jongwook.kim'), ('ASSIGNED', '2014-04-16 02:41:39 EDT', 'noopur_gupta'), ('noopur_gupta', '2014-04-16 02:41:39 EDT', 'noopur_gupta'), ('3.8.1', '2014-04-16 02:41:39 EDT', 'noopur_gupta'), ('https://bugs.eclipse.org/bugs/show_bug.cgi?id=429416', '2014-04-16 02:41:39 EDT', 'noopur_gupta'), ('stalebug', '2020-06-20 19:48:23 EDT', 'genie')]</t>
  </si>
  <si>
    <t>2014-06-06 03:58:25 EDT</t>
  </si>
  <si>
    <t>2014-04-18 13:18:36 EDT</t>
  </si>
  <si>
    <t>2014-04-16 22:44 EDT</t>
  </si>
  <si>
    <t>2014-04-17 04:03:23 EDT</t>
  </si>
  <si>
    <t>[('CREATED', '2014-04-16 22:44 EDT'), ('jerome.cambon', '2014-04-17 04:03:23 EDT', 'jerome.cambon'), ('CLOSED', '2014-04-17 04:56:55 EDT', 'daniel_megert'), ('daniel_megert', '2014-04-17 04:56:55 EDT', 'daniel_megert'), ('DUPLICATE', '2014-04-17 04:56:55 EDT', 'daniel_megert'), ('noopur_gupta', '2014-04-18 04:52:54 EDT', 'noopur_gupta'), ('REOPENED', '2014-04-18 13:18:36 EDT', 'noopur_gupta'), ('---', '2014-04-18 13:18:36 EDT', 'noopur_gupta'), ('ASSIGNED', '2014-04-18 13:18:45 EDT', 'noopur_gupta'), ('All', '2014-04-18 13:19:17 EDT', 'noopur_gupta'), ('All', '2014-04-18 13:19:17 EDT', 'noopur_gupta'), ('https://bugs.eclipse.org/bugs/show_bug.cgi?id=434934', '2014-05-15 05:16:54 EDT', 'noopur_gupta'), ('CLOSED', '2014-06-06 03:58:25 EDT', 'manju656'), ('DUPLICATE', '2014-06-06 03:58:25 EDT', 'manju656')]</t>
  </si>
  <si>
    <t>2014-04-23 08:42 EDT</t>
  </si>
  <si>
    <t>2014-04-23 09:08:45 EDT</t>
  </si>
  <si>
    <t>2020-08-17 07:41:16 EDT</t>
  </si>
  <si>
    <t>[('CREATED', '2014-04-23 08:42 EDT'), ('needinfo', '2014-04-23 09:08:45 EDT', 'noopur_gupta'), ('noopur_gupta', '2014-04-23 09:08:45 EDT', 'noopur_gupta'), ('manju_mathew', '2014-05-01 22:53:41 EDT', 'manju656'), ("[move method] 'OK' button not disabled if user un-check all the movable items in preview page", '2014-05-01 22:53:41 EDT', 'manju656'), (nan, '2014-05-01 22:53:41 EDT', 'manju656'), ('ASSIGNED', '2014-05-01 22:53:41 EDT', 'manju656'), ('stalebug', '2020-08-17 07:41:16 EDT', 'genie')]</t>
  </si>
  <si>
    <t>2014-04-24 09:08:06 EDT</t>
  </si>
  <si>
    <t>2014-04-24 05:14 EDT</t>
  </si>
  <si>
    <t>2014-04-24 05:15:22 EDT</t>
  </si>
  <si>
    <t>[('CREATED', '2014-04-24 05:14 EDT'), ('ASSIGNED', '2014-04-24 05:15:22 EDT', 'noopur_gupta'), ('4.4', '2014-04-24 05:15:22 EDT', 'noopur_gupta'), ('markus_keller, noopur_gupta', '2014-04-24 05:44:18 EDT', 'noopur_gupta'), ('noopur_gupta', '2014-04-24 05:44:18 EDT', 'noopur_gupta'), ('4.4 M7', '2014-04-24 05:44:18 EDT', 'noopur_gupta'), ('review?(markus_keller)', '2014-04-24 06:05:15 EDT', 'noopur_gupta'), (nan, '2014-04-24 09:08:06 EDT', 'markus.kell.r'), ('RESOLVED', '2014-04-24 09:08:06 EDT', 'markus.kell.r'), ('FIXED', '2014-04-24 09:08:06 EDT', 'markus.kell.r')]</t>
  </si>
  <si>
    <t>2020-04-11 14:48:46 EDT</t>
  </si>
  <si>
    <t>2015-02-02 03:39:54 EST</t>
  </si>
  <si>
    <t>2015-09-28 10:27:42 EDT</t>
  </si>
  <si>
    <t>2014-04-24 10:48 EDT</t>
  </si>
  <si>
    <t>2014-04-30 17:27:44 EDT</t>
  </si>
  <si>
    <t>[('CREATED', '2014-04-24 10:48 EDT'), ('markus_keller', '2014-04-30 17:27:44 EDT', 'markus.kell.r'), ('CLOSED', '2015-02-02 03:39:54 EST', 'noopur_gupta'), ('DUPLICATE', '2015-02-02 03:39:54 EST', 'noopur_gupta'), ('REOPENED', '2015-09-28 10:27:42 EDT', 'noopur_gupta'), ('---', '2015-09-28 10:27:42 EDT', 'noopur_gupta'), ('ASSIGNED', '2015-09-28 10:27:57 EDT', 'noopur_gupta'), ('stalebug', '2020-04-11 14:48:46 EDT', 'genie'), ('CLOSED', '2020-04-11 14:48:46 EDT', 'genie'), ('WONTFIX', '2020-04-11 14:48:46 EDT', 'genie')]</t>
  </si>
  <si>
    <t>CLOSED  DUPLICATE  of bug 232920</t>
  </si>
  <si>
    <t>2014-04-30 02:28:30 EDT</t>
  </si>
  <si>
    <t>2014-04-28 14:07 EDT</t>
  </si>
  <si>
    <t>[('CREATED', '2014-04-28 14:07 EDT'), ('CLOSED', '2014-04-30 02:28:30 EDT', 'noopur_gupta'), ('noopur_gupta', '2014-04-30 02:28:30 EDT', 'noopur_gupta'), ('All', '2014-04-30 02:28:30 EDT', 'noopur_gupta'), ('DUPLICATE', '2014-04-30 02:28:30 EDT', 'noopur_gupta'), ('All', '2014-04-30 02:28:30 EDT', 'noopur_gupta')]</t>
  </si>
  <si>
    <t>2014-04-30 16:17:37 EDT</t>
  </si>
  <si>
    <t>2014-05-01 11:17:29 EDT</t>
  </si>
  <si>
    <t>2014-04-28 17:51 EDT</t>
  </si>
  <si>
    <t>2014-04-29 05:14:35 EDT</t>
  </si>
  <si>
    <t>[('CREATED', '2014-04-28 17:51 EDT'), ('noopur_gupta', '2014-04-29 05:14:35 EDT', 'noopur_gupta'), ('All', '2014-04-29 05:14:35 EDT', 'noopur_gupta'), ('4.4', '2014-04-29 05:14:35 EDT', 'noopur_gupta'), ('All', '2014-04-29 05:14:35 EDT', 'noopur_gupta'), ('ASSIGNED', '2014-04-29 05:14:35 EDT', 'noopur_gupta'), ('markus_keller', '2014-04-29 05:50:30 EDT', 'noopur_gupta'), ('noopur_gupta', '2014-04-29 05:50:30 EDT', 'noopur_gupta'), ('daniel_megert', '2014-04-30 04:31:43 EDT', 'noopur_gupta'), ('RESOLVED', '2014-04-30 16:17:37 EDT', 'markus.kell.r'), ('FIXED', '2014-04-30 16:17:37 EDT', 'markus.kell.r'), ('markus_keller', '2014-04-30 16:17:37 EDT', 'markus.kell.r'), ('4.4 M7', '2014-04-30 16:17:37 EDT', 'markus.kell.r'), ('VERIFIED', '2014-05-01 11:17:29 EDT', 'markus.kell.r')]</t>
  </si>
  <si>
    <t>2014-04-29 10:18:32 EDT</t>
  </si>
  <si>
    <t>2014-04-29 08:44 EDT</t>
  </si>
  <si>
    <t>[('CREATED', '2014-04-29 08:44 EDT'), ('CLOSED', '2014-04-29 10:18:32 EDT', 'daniel_megert'), ('daniel_megert', '2014-04-29 10:18:32 EDT', 'daniel_megert'), ('DUPLICATE', '2014-04-29 10:18:32 EDT', 'daniel_megert')]</t>
  </si>
  <si>
    <t>2014-09-29 05:47:09 EDT</t>
  </si>
  <si>
    <t>2014-04-29 12:41 EDT</t>
  </si>
  <si>
    <t>2014-04-30 02:32:08 EDT</t>
  </si>
  <si>
    <t>[('CREATED', '2014-04-29 12:41 EDT'), ('All', '2014-04-30 02:32:08 EDT', 'noopur_gupta'), ('All', '2014-04-30 02:32:08 EDT', 'noopur_gupta'), ('ASSIGNED', '2014-04-30 02:32:08 EDT', 'noopur_gupta'), ('noopur_gupta', '2014-04-30 05:36:13 EDT', 'noopur_gupta'), ('nikolaymetchev', '2014-05-16 10:20:34 EDT', 'nikolaymetchev'), ('RESOLVED', '2014-09-29 05:47:09 EDT', 'noopur_gupta'), ('WORKSFORME', '2014-09-29 05:47:09 EDT', 'noopur_gupta')]</t>
  </si>
  <si>
    <t>2014-05-20 08:49:03 EDT</t>
  </si>
  <si>
    <t>2014-05-22 16:15:00 EDT</t>
  </si>
  <si>
    <t>2014-05-06 05:26:20 EDT</t>
  </si>
  <si>
    <t>2014-05-16 06:08:45 EDT</t>
  </si>
  <si>
    <t>2014-05-01 09:37 EDT</t>
  </si>
  <si>
    <t>2014-05-01 22:57:01 EDT</t>
  </si>
  <si>
    <t>[('CREATED', '2014-05-01 09:37 EDT'), ('manju_mathew', '2014-05-01 22:57:01 EDT', 'manju656'), ('RESOLVED', '2014-05-06 05:26:20 EDT', 'daniel_megert'), ('daniel_megert', '2014-05-06 05:26:20 EDT', 'daniel_megert'), ('WORKSFORME', '2014-05-06 05:26:20 EDT', 'daniel_megert'), ('REOPENED', '2014-05-16 06:08:45 EDT', 'fuzebest'), ('---', '2014-05-16 06:08:45 EDT', 'fuzebest'), ('daniel_megert', '2014-05-16 07:34:48 EDT', 'daniel_megert'), ('4.4 RC2', '2014-05-16 07:34:48 EDT', 'daniel_megert'), ('review?(manju_mathew)', '2014-05-16 07:40:42 EDT', 'daniel_megert'), ('noopur_gupta', '2014-05-16 07:40:52 EDT', 'daniel_megert'), ('review?(noopur_gupta)', '2014-05-16 07:40:52 EDT', 'daniel_megert'), ('1', '2014-05-20 03:07:12 EDT', 'daniel_megert'), ('review+', '2014-05-20 07:11:17 EDT', 'noopur_gupta'), ('review+', '2014-05-20 08:19:15 EDT', 'manju656'), ('RESOLVED', '2014-05-20 08:49:03 EDT', 'daniel_megert'), ('FIXED', '2014-05-20 08:49:03 EDT', 'daniel_megert'), ('VERIFIED', '2014-05-22 16:15:00 EDT', 'daniel_megert')]</t>
  </si>
  <si>
    <t>2014-05-20 09:16:41 EDT</t>
  </si>
  <si>
    <t>2014-05-15 10:29:55 EDT</t>
  </si>
  <si>
    <t>2014-05-02 11:27 EDT</t>
  </si>
  <si>
    <t>2014-05-04 11:23:50 EDT</t>
  </si>
  <si>
    <t>[('CREATED', '2014-05-02 11:27 EDT'), ('stephan.herrmann', '2014-05-04 11:23:50 EDT', 'stephan.herrmann'), ('UI', '2014-05-04 11:23:50 EDT', 'stephan.herrmann'), ('jdt-ui-inbox', '2014-05-04 11:23:50 EDT', 'stephan.herrmann'), ('manju_mathew', '2014-05-04 21:01:00 EDT', 'manju656'), ('RESOLVED', '2014-05-05 21:55:28 EDT', 'manju656'), ('WONTFIX', '2014-05-05 21:55:28 EDT', 'manju656'), ('REOPENED', '2014-05-15 10:29:55 EDT', 'the.ubik'), ('---', '2014-05-15 10:29:55 EDT', 'the.ubik'), ('RESOLVED', '2014-05-20 09:16:41 EDT', 'manju656'), ('WONTFIX', '2014-05-20 09:16:41 EDT', 'manju656')]</t>
  </si>
  <si>
    <t>2014-05-11 22:51 EDT</t>
  </si>
  <si>
    <t>2014-05-11 22:52:19 EDT</t>
  </si>
  <si>
    <t>2019-09-30 17:08:06 EDT</t>
  </si>
  <si>
    <t>[('CREATED', '2014-05-11 22:51 EDT'), ('ASSIGNED', '2014-05-11 22:52:19 EDT', 'manju656'), ('markus_keller', '2014-05-11 22:52:19 EDT', 'manju656'), ('stalebug', '2019-09-30 17:08:06 EDT', 'genie')]</t>
  </si>
  <si>
    <t>CLOSED  DUPLICATE  of bug 290698</t>
  </si>
  <si>
    <t>2014-05-14 23:05:58 EDT</t>
  </si>
  <si>
    <t>2014-05-13 09:36 EDT</t>
  </si>
  <si>
    <t>2019-11-26 16:48:07 EST</t>
  </si>
  <si>
    <t>[('CREATED', '2014-05-13 09:36 EDT'), ('manju_mathew', '2014-05-14 23:05:58 EDT', 'manju656'), ('DUPLICATE', '2014-05-14 23:05:58 EDT', 'manju656'), ('CLOSED', '2014-05-14 23:05:58 EDT', 'manju656'), ('pyvesdev', '2019-07-14 15:38:37 EDT', 'pyvesdev'), ('https://git.eclipse.org/c/jdt/eclipse.jdt.ui.git/commit/?id=90d3db9ee97bf8a8f8586b6d8925204565439070', '2019-11-26 16:48:07 EST', 'pyvesdev')]</t>
  </si>
  <si>
    <t>2020-02-16 09:09:05 EST</t>
  </si>
  <si>
    <t>2014-05-13 09:42 EDT</t>
  </si>
  <si>
    <t>2014-05-14 23:36:14 EDT</t>
  </si>
  <si>
    <t>2020-02-16 09:09:22 EST</t>
  </si>
  <si>
    <t>[('CREATED', '2014-05-13 09:42 EDT'), ('ASSIGNED', '2014-05-14 23:36:14 EDT', 'manju656'), ('manju_mathew', '2014-05-14 23:36:14 EDT', 'manju656'), ('https://git.eclipse.org/r/41868', '2015-02-14 11:04:50 EST', 'genie'), ('daniel_megert', '2015-02-17 09:51:00 EST', 'daniel_megert'), (nan, '2015-02-17 09:51:00 EST', 'daniel_megert'), ('pyvesdev', '2019-07-14 15:38:34 EDT', 'pyvesdev'), ('stephan.herrmann', '2019-11-26 17:03:02 EST', 'stephan.herrmann'), ('https://bugs.eclipse.org/bugs/show_bug.cgi?id=553509', '2019-11-26 17:08:19 EST', 'pyvesdev'), ('All', '2020-01-13 16:42:45 EST', 'pyvesdev'), ('pyvesdev', '2020-01-13 16:42:45 EST', 'pyvesdev'), ('4.15 M3', '2020-01-13 16:42:45 EST', 'pyvesdev'), ('All', '2020-01-13 16:42:45 EST', 'pyvesdev'), ('https://bugs.eclipse.org/bugs/show_bug.cgi?id=93850', '2020-01-13 17:03:02 EST', 'pyvesdev'), ('https://git.eclipse.org/r/155798', '2020-01-13 17:04:42 EST', 'genie'), ('https://git.eclipse.org/c/jdt/eclipse.jdt.ui.git/commit/?id=f3751f9e61dada9891b5b61ce8f76f36f252e791', '2020-02-16 08:58:07 EST', 'genie'), ('FIXED', '2020-02-16 09:09:05 EST', 'register.eclipse'), ('RESOLVED', '2020-02-16 09:09:05 EST', 'register.eclipse'), ('https://bugs.eclipse.org/bugs/show_bug.cgi?id=560194', '2020-02-16 09:09:05 EST', 'register.eclipse'), ('register.eclipse', '2020-02-16 09:09:05 EST', 'register.eclipse'), ('register.eclipse', '2020-02-16 09:09:22 EST', 'register.eclipse')]</t>
  </si>
  <si>
    <t>2014-05-14 11:32:51 EDT</t>
  </si>
  <si>
    <t>2014-05-14 10:47 EDT</t>
  </si>
  <si>
    <t>2014-05-14 10:48:09 EDT</t>
  </si>
  <si>
    <t>[('CREATED', '2014-05-14 10:47 EDT'), ('Pushing down a field causes compilation error', '2014-05-14 10:48:09 EDT', 'melmongiovi'), ('CLOSED', '2014-05-14 11:32:51 EDT', 'daniel_megert'), ('daniel_megert', '2014-05-14 11:32:51 EDT', 'daniel_megert'), ('All', '2014-05-14 11:32:51 EDT', 'daniel_megert'), ('DUPLICATE', '2014-05-14 11:32:51 EDT', 'daniel_megert'), ('[push down] Pushing down a field causes compilation error', '2014-05-14 11:32:51 EDT', 'daniel_megert'), ('All', '2014-05-14 11:32:51 EDT', 'daniel_megert')]</t>
  </si>
  <si>
    <t>2014-05-14 23:48:19 EDT</t>
  </si>
  <si>
    <t>2014-05-14 12:10 EDT</t>
  </si>
  <si>
    <t>[('CREATED', '2014-05-14 12:10 EDT'), ('CLOSED', '2014-05-14 23:48:19 EDT', 'manju656'), ('manju_mathew', '2014-05-14 23:48:19 EDT', 'manju656'), ('DUPLICATE', '2014-05-14 23:48:19 EDT', 'manju656'), ('[pull up] Pull Up a field enables field hiding', '2014-05-14 23:48:19 EDT', 'manju656')]</t>
  </si>
  <si>
    <t>2020-04-11 03:39:08 EDT</t>
  </si>
  <si>
    <t>2014-05-15 00:23:08 EDT</t>
  </si>
  <si>
    <t>2016-09-22 09:39:26 EDT</t>
  </si>
  <si>
    <t>2014-05-14 12:23 EDT</t>
  </si>
  <si>
    <t>[('CREATED', '2014-05-14 12:23 EDT'), ('CLOSED', '2014-05-15 00:23:08 EDT', 'manju656'), ('manju_mathew', '2014-05-15 00:23:08 EDT', 'manju656'), ('DUPLICATE', '2014-05-15 00:23:08 EDT', 'manju656'), ('[move method] A behavior preserving transformation (Move Method Refactoring) is rejected', '2014-05-15 00:23:08 EDT', 'manju656'), ('---', '2016-09-22 09:39:26 EDT', 'melmongiovi'), ('REOPENED', '2016-09-22 09:39:26 EDT', 'melmongiovi'), ('WONTFIX', '2020-04-11 03:39:08 EDT', 'genie'), ('stalebug', '2020-04-11 03:39:08 EDT', 'genie'), ('CLOSED', '2020-04-11 03:39:08 EDT', 'genie')]</t>
  </si>
  <si>
    <t>2014-05-14 13:29 EDT</t>
  </si>
  <si>
    <t>2014-05-15 04:48:38 EDT</t>
  </si>
  <si>
    <t>2019-05-02 08:43:02 EDT</t>
  </si>
  <si>
    <t>[('CREATED', '2014-05-14 13:29 EDT'), ('daniel_megert', '2014-05-15 04:48:38 EDT', 'daniel_megert'), ('ASSIGNED', '2014-05-15 04:51:58 EDT', 'daniel_megert'), ('All', '2014-05-15 04:51:58 EDT', 'daniel_megert'), ('[move method] A behavior preserving transformation (Move Method Refactoring) is rejected due to conflicts of method names', '2014-05-15 04:51:58 EDT', 'daniel_megert'), ('All', '2014-05-15 04:51:58 EDT', 'daniel_megert'), ('stalebug', '2019-05-02 08:39:20 EDT', 'genie'), (nan, '2019-05-02 08:43:02 EDT', 'daniel_megert')]</t>
  </si>
  <si>
    <t>2014-05-15 05:13 EDT</t>
  </si>
  <si>
    <t>2014-05-15 05:16:54 EDT</t>
  </si>
  <si>
    <t>2019-11-09 00:40:19 EST</t>
  </si>
  <si>
    <t>[('CREATED', '2014-05-15 05:13 EDT'), ('https://bugs.eclipse.org/bugs/show_bug.cgi?id=432971', '2014-05-15 05:16:54 EDT', 'noopur_gupta'), ('jarthana, shankhba', '2014-05-18 23:39:34 EDT', 'shankhba'), ('noopur_gupta', '2014-05-19 06:16:08 EDT', 'noopur_gupta'), ('UI', '2014-05-19 06:16:08 EDT', 'noopur_gupta'), ('jdt-ui-inbox', '2014-05-19 06:16:08 EDT', 'noopur_gupta'), ('[move static members] Move static member not working for secondary target type', '2014-05-19 06:16:08 EDT', 'noopur_gupta'), ('ASSIGNED', '2014-05-19 17:43:29 EDT', 'manju656'), ('manju_mathew', '2014-05-19 17:43:29 EDT', 'manju656'), ('stalebug', '2019-11-09 00:40:19 EST', 'genie')]</t>
  </si>
  <si>
    <t>2020-04-05 15:32:57 EDT</t>
  </si>
  <si>
    <t>2014-05-26 08:35 EDT</t>
  </si>
  <si>
    <t>2014-05-26 08:36:31 EDT</t>
  </si>
  <si>
    <t>[('CREATED', '2014-05-26 08:35 EDT'), ('ASSIGNED', '2014-05-26 08:36:31 EDT', 'markus.kell.r'), ('stalebug', '2020-04-05 15:32:57 EDT', 'genie'), ('CLOSED', '2020-04-05 15:32:57 EDT', 'genie'), ('WONTFIX', '2020-04-05 15:32:57 EDT', 'genie')]</t>
  </si>
  <si>
    <t>2014-05-27 22:24 EDT</t>
  </si>
  <si>
    <t>2014-05-27 22:42:03 EDT</t>
  </si>
  <si>
    <t>2014-08-05 08:12:19 EDT</t>
  </si>
  <si>
    <t>[('CREATED', '2014-05-27 22:24 EDT'), ('ASSIGNED', '2014-05-27 22:42:03 EDT', 'manju656'), ('manju_mathew', '2014-05-27 22:42:03 EDT', 'manju656'), ('All', '2014-05-27 22:42:03 EDT', 'manju656'), ('[1.8][pull up] to interface should not make method abstract', '2014-05-27 22:42:03 EDT', 'manju656'), ('All', '2014-05-27 22:42:03 EDT', 'manju656'), ('enhancement', '2014-05-27 22:42:03 EDT', 'manju656'), ('daniel_megert, markus_keller', '2014-05-28 03:15:05 EDT', 'daniel_megert'), ('jerome.cambon', '2014-06-10 04:44:02 EDT', 'manju656'), ('https://bugs.eclipse.org/bugs/show_bug.cgi?id=137960', '2014-08-05 08:12:19 EDT', 'noopur_gupta')]</t>
  </si>
  <si>
    <t>2020-05-02 19:36:21 EDT</t>
  </si>
  <si>
    <t>2014-06-04 09:40 EDT</t>
  </si>
  <si>
    <t>2014-06-04 09:45:50 EDT</t>
  </si>
  <si>
    <t>[('CREATED', '2014-06-04 09:40 EDT'), ('ASSIGNED', '2014-06-04 09:45:50 EDT', 'markus.kell.r'), ('4.5', '2014-06-04 09:45:50 EDT', 'markus.kell.r'), ('Test failure in RenameTests18.testLambda3 and testMethod0-2', '2014-07-23 06:41:25 EDT', 'markus.kell.r'), ('markus_keller', '2014-10-28 08:30:34 EDT', 'markus.kell.r'), ('markus_keller', '2014-10-28 08:30:34 EDT', 'markus.kell.r'), ('4.5 M4', '2014-10-28 08:30:34 EDT', 'markus.kell.r'), ('daniel_megert, noopur_gupta', '2014-11-13 11:31:04 EST', 'markus.kell.r'), ('4.5', '2014-12-08 11:05:20 EST', 'markus.kell.r'), ('4.6', '2015-05-06 12:10:17 EDT', 'markus.kell.r'), ('jarthana, manpalat', '2015-10-20 06:52:34 EDT', 'jarthana'), ('4.7', '2016-04-21 14:26:05 EDT', 'markus.kell.r'), ('---', '2017-05-24 14:15:15 EDT', 'noopur_gupta'), ('WONTFIX', '2020-05-02 19:36:21 EDT', 'genie'), ('stalebug', '2020-05-02 19:36:21 EDT', 'genie'), ('CLOSED', '2020-05-02 19:36:21 EDT', 'genie')]</t>
  </si>
  <si>
    <t>2020-03-20 12:10:41 EDT</t>
  </si>
  <si>
    <t>2014-06-05 05:58 EDT</t>
  </si>
  <si>
    <t>[('CREATED', '2014-06-05 05:58 EDT'), ('WONTFIX', '2020-03-20 12:10:41 EDT', 'genie'), ('stalebug', '2020-03-20 12:10:41 EDT', 'genie'), ('CLOSED', '2020-03-20 12:10:41 EDT', 'genie')]</t>
  </si>
  <si>
    <t>2014-06-12 11:04:09 EDT</t>
  </si>
  <si>
    <t>2014-06-08 13:45 EDT</t>
  </si>
  <si>
    <t>2014-06-11 04:04:44 EDT</t>
  </si>
  <si>
    <t>[('CREATED', '2014-06-08 13:45 EDT'), ('needinfo', '2014-06-11 04:04:44 EDT', 'noopur_gupta'), ('noopur_gupta', '2014-06-11 04:04:44 EDT', 'noopur_gupta'), ('RESOLVED', '2014-06-12 11:04:09 EDT', 'markus.kell.r'), ('markus_keller', '2014-06-12 11:04:09 EDT', 'markus.kell.r'), ('WORKSFORME', '2014-06-12 11:04:09 EDT', 'markus.kell.r')]</t>
  </si>
  <si>
    <t>2014-06-12 13:15:37 EDT</t>
  </si>
  <si>
    <t>2014-06-09 15:43 EDT</t>
  </si>
  <si>
    <t>2014-06-09 15:44:51 EDT</t>
  </si>
  <si>
    <t>[('CREATED', '2014-06-09 15:43 EDT'), ('jongwook.kim', '2014-06-09 15:44:51 EDT', 'jongwook.kim'), ('ASSIGNED', '2014-06-11 05:54:03 EDT', 'noopur_gupta'), ('markus_keller, noopur_gupta', '2014-06-11 05:54:03 EDT', 'noopur_gupta'), ('All', '2014-06-11 05:54:03 EDT', 'noopur_gupta'), ('3.8.1', '2014-06-11 05:54:03 EDT', 'noopur_gupta'), ('All', '2014-06-11 05:54:03 EDT', 'noopur_gupta'), ('100546', '2014-06-12 13:15:37 EDT', 'markus.kell.r'), ('FIXED', '2014-06-12 13:15:37 EDT', 'markus.kell.r'), ('markus_keller', '2014-06-12 13:15:37 EDT', 'markus.kell.r'), ('4.5 M1', '2014-06-12 13:15:37 EDT', 'markus.kell.r'), ('RESOLVED', '2014-06-12 13:15:37 EDT', 'markus.kell.r')]</t>
  </si>
  <si>
    <t>2014-06-11 09:06 EDT</t>
  </si>
  <si>
    <t>2014-06-11 09:06:38 EDT</t>
  </si>
  <si>
    <t>2014-06-13 10:13:37 EDT</t>
  </si>
  <si>
    <t>[('CREATED', '2014-06-11 09:06 EDT'), ('mail.recycling', '2014-06-11 09:06:38 EDT', 'mail.recycling'), ('UI', '2014-06-13 10:13:37 EDT', 'pwebster'), ('jdt-ui-inbox', '2014-06-13 10:13:37 EDT', 'pwebster'), ('JDT', '2014-06-13 10:13:37 EDT', 'pwebster')]</t>
  </si>
  <si>
    <t>391389</t>
  </si>
  <si>
    <t>2014-07-16 14:09:22 EDT</t>
  </si>
  <si>
    <t>2014-06-13 13:03 EDT</t>
  </si>
  <si>
    <t>2014-06-13 13:07:54 EDT</t>
  </si>
  <si>
    <t>[('CREATED', '2014-06-13 13:03 EDT'), ('noopur_gupta', '2014-06-13 13:07:54 EDT', 'markus.kell.r'), ('jerome.cambon', '2014-06-13 13:07:54 EDT', 'markus.kell.r'), ('4.5 M1', '2014-06-13 13:07:54 EDT', 'markus.kell.r'), ('markus_keller', '2014-06-26 08:17:54 EDT', 'noopur_gupta'), ('review?(markus_keller)', '2014-06-26 08:17:54 EDT', 'noopur_gupta'), ('RESOLVED', '2014-07-16 14:09:22 EDT', 'markus.kell.r'), ('jerome.cambon', '2014-07-16 14:09:22 EDT', 'markus.kell.r'), ('FIXED', '2014-07-16 14:09:22 EDT', 'markus.kell.r'), ('noopur_gupta', '2014-07-16 14:09:22 EDT', 'markus.kell.r'), ('review+', '2014-07-16 14:09:22 EDT', 'markus.kell.r')]</t>
  </si>
  <si>
    <t>CLOSED  DUPLICATE  of bug 233019</t>
  </si>
  <si>
    <t>2014-07-23 11:34:37 EDT</t>
  </si>
  <si>
    <t>2014-06-16 15:03 EDT</t>
  </si>
  <si>
    <t>2014-06-16 15:03:25 EDT</t>
  </si>
  <si>
    <t>2014-08-28 14:32:07 EDT</t>
  </si>
  <si>
    <t>[('CREATED', '2014-06-16 15:03 EDT'), ('kbradley', '2014-06-16 15:03:25 EDT', 'kbradley'), ('markus_keller', '2014-06-18 13:00:14 EDT', 'markus.kell.r'), ('ASSIGNED', '2014-06-18 13:32:36 EDT', 'markus.kell.r'), ('338010', '2014-06-18 13:32:36 EDT', 'markus.kell.r'), ('CLOSED', '2014-07-23 11:34:37 EDT', 'daniel_megert'), ('daniel_megert', '2014-07-23 11:34:37 EDT', 'daniel_megert'), ('DUPLICATE', '2014-07-23 11:34:37 EDT', 'daniel_megert'), (nan, '2014-08-28 14:32:07 EDT', 'eclipse.sprigogin'), ('eclipse.sprigogin', '2014-08-28 14:32:07 EDT', 'eclipse.sprigogin')]</t>
  </si>
  <si>
    <t>2014-06-20 02:43:23 EDT</t>
  </si>
  <si>
    <t>2014-06-19 13:40 EDT</t>
  </si>
  <si>
    <t>2014-06-19 13:40:20 EDT</t>
  </si>
  <si>
    <t>[('CREATED', '2014-06-19 13:40 EDT'), ('jongwook.kim', '2014-06-19 13:40:20 EDT', 'jongwook.kim'), ('RESOLVED', '2014-06-20 02:43:23 EDT', 'noopur_gupta'), ('noopur_gupta', '2014-06-20 02:43:23 EDT', 'noopur_gupta'), ('WORKSFORME', '2014-06-20 02:43:23 EDT', 'noopur_gupta')]</t>
  </si>
  <si>
    <t>2020-02-19 20:00:34 EST</t>
  </si>
  <si>
    <t>2020-02-19 20:46:52 EST</t>
  </si>
  <si>
    <t>2014-06-26 09:07 EDT</t>
  </si>
  <si>
    <t>2014-06-26 10:18:28 EDT</t>
  </si>
  <si>
    <t>[('CREATED', '2014-06-26 09:07 EDT'), ('ASSIGNED', '2014-06-26 10:18:28 EDT', 'noopur_gupta'), ('noopur_gupta', '2014-06-26 10:18:28 EDT', 'noopur_gupta'), ('All', '2014-06-26 10:18:28 EDT', 'noopur_gupta'), ('3.8.1', '2014-06-26 10:18:28 EDT', 'noopur_gupta'), ('All', '2014-06-26 10:18:28 EDT', 'noopur_gupta'), ('[clean up] removes parentheses required around expression using unary plus/minus', '2014-06-26 10:22:06 EDT', 'eclipse'), ('WONTFIX', '2020-02-19 20:00:34 EST', 'genie'), ('stalebug', '2020-02-19 20:00:34 EST', 'genie'), ('CLOSED', '2020-02-19 20:00:34 EST', 'genie'), ('---', '2020-02-19 20:46:52 EST', 'eclipse'), ('REOPENED', '2020-02-19 20:46:52 EST', 'eclipse')]</t>
  </si>
  <si>
    <t>2019-05-30 04:54:20 EDT</t>
  </si>
  <si>
    <t>2014-07-07 23:38 EDT</t>
  </si>
  <si>
    <t>2014-07-08 01:32:11 EDT</t>
  </si>
  <si>
    <t>[('CREATED', '2014-07-07 23:38 EDT'), ('ASSIGNED', '2014-07-08 01:32:11 EDT', 'manju656'), ('manju_mathew', '2014-07-08 01:32:11 EDT', 'manju656'), ('All', '2014-07-08 01:32:11 EDT', 'manju656'), ('4.3', '2014-07-08 01:32:11 EDT', 'manju656'), ('[extract interface] irrelevant annotations are imported during extract interface refactoring', '2014-07-08 01:32:11 EDT', 'manju656'), ('All', '2014-07-08 01:32:11 EDT', 'manju656'), ('stalebug', '2019-05-29 12:48:49 EDT', 'genie'), ('RESOLVED', '2019-05-30 04:54:20 EDT', 'daniel_megert'), ('WORKSFORME', '2019-05-30 04:54:20 EDT', 'daniel_megert'), ('daniel_megert', '2019-05-30 04:54:20 EDT', 'daniel_megert'), (nan, '2019-05-30 04:54:20 EDT', 'daniel_megert')]</t>
  </si>
  <si>
    <t>2020-05-01 04:36:22 EDT</t>
  </si>
  <si>
    <t>2014-07-08 01:10 EDT</t>
  </si>
  <si>
    <t>2014-07-08 01:10:28 EDT</t>
  </si>
  <si>
    <t>[('CREATED', '2014-07-08 01:10 EDT'), ('jongwook.kim', '2014-07-08 01:10:28 EDT', 'jongwook.kim'), ('ASSIGNED', '2014-07-08 01:49:21 EDT', 'manju656'), ('manju_mathew', '2014-07-08 01:49:21 EDT', 'manju656'), ('4.3', '2014-07-08 01:49:21 EDT', 'manju656'), ('[move method] inherited member has wrong access modifier when referenced in different package', '2014-07-08 01:49:21 EDT', 'manju656'), ('CLOSED', '2020-05-01 04:36:22 EDT', 'genie'), ('stalebug', '2020-05-01 04:36:22 EDT', 'genie'), ('WONTFIX', '2020-05-01 04:36:22 EDT', 'genie')]</t>
  </si>
  <si>
    <t>2014-07-23 22:05:48 EDT</t>
  </si>
  <si>
    <t>2014-07-14 05:48 EDT</t>
  </si>
  <si>
    <t>2014-07-22 12:32:20 EDT</t>
  </si>
  <si>
    <t>[('CREATED', '2014-07-14 05:48 EDT'), ('cwindatt', '2014-07-22 12:32:20 EDT', 'curtis.windatt.public'), ('Core', '2014-07-22 12:32:20 EDT', 'curtis.windatt.public'), ('jdt-core-inbox', '2014-07-22 12:32:20 EDT', 'curtis.windatt.public'), ('JDT', '2014-07-22 12:32:20 EDT', 'curtis.windatt.public'), ('UI', '2014-07-22 13:02:11 EDT', 'stephan.herrmann'), ('jdt-ui-inbox', '2014-07-22 13:02:11 EDT', 'stephan.herrmann'), ('stephan.herrmann', '2014-07-22 13:02:11 EDT', 'stephan.herrmann'), ('RESOLVED', '2014-07-23 22:05:48 EDT', 'manju656'), ('manju_mathew', '2014-07-23 22:05:48 EDT', 'manju656'), ('WONTFIX', '2014-07-23 22:05:48 EDT', 'manju656'), ('[move] Issue in Move functionality', '2014-07-23 22:05:48 EDT', 'manju656')]</t>
  </si>
  <si>
    <t>2014-07-22 10:39:03 EDT</t>
  </si>
  <si>
    <t>2014-07-22 13:10:39 EDT</t>
  </si>
  <si>
    <t>2014-07-16 12:12 EDT</t>
  </si>
  <si>
    <t>2014-07-16 14:49:24 EDT</t>
  </si>
  <si>
    <t>2019-08-15 04:30:43 EDT</t>
  </si>
  <si>
    <t>[('CREATED', '2014-07-16 12:12 EDT'), ('stephan.herrmann', '2014-07-16 14:49:24 EDT', 'stephan.herrmann'), ('UI', '2014-07-16 14:49:24 EDT', 'stephan.herrmann'), ('jdt-ui-inbox', '2014-07-16 14:49:24 EDT', 'stephan.herrmann'), ('hilco.wijbenga, markus_keller', '2014-07-22 10:39:03 EDT', 'markus.kell.r'), ('markus_keller', '2014-07-22 10:39:03 EDT', 'markus.kell.r'), ('FIXED', '2014-07-22 10:39:03 EDT', 'markus.kell.r'), ('[clean up] change all accesses through instances does not work on methods', '2014-07-22 10:39:03 EDT', 'markus.kell.r'), ('4.5 M1', '2014-07-22 10:39:03 EDT', 'markus.kell.r'), ('All', '2014-07-22 10:39:03 EDT', 'markus.kell.r'), ('RESOLVED', '2014-07-22 10:39:03 EDT', 'markus.kell.r'), ('All', '2014-07-22 10:39:03 EDT', 'markus.kell.r'), ('REOPENED', '2014-07-22 13:10:39 EDT', 'seb.sprenger'), ('---', '2014-07-22 13:10:39 EDT', 'seb.sprenger'), ('daniel_megert', '2014-07-23 08:50:00 EDT', 'daniel_megert'), ('ASSIGNED', '2014-08-05 08:56:46 EDT', 'markus.kell.r'), ('4.5 M2', '2014-08-05 08:56:46 EDT', 'markus.kell.r'), ('4.5 M3', '2014-09-15 19:24:14 EDT', 'markus.kell.r'), ('4.5 M4', '2014-10-27 09:27:35 EDT', 'markus.kell.r'), ('4.5 M5', '2014-12-08 11:23:37 EST', 'markus.kell.r'), ('4.5 M6', '2015-01-23 12:52:14 EST', 'markus.kell.r'), ('4.5 M7', '2015-03-17 11:33:55 EDT', 'markus.kell.r'), ('4.6', '2015-05-12 08:27:38 EDT', 'markus.kell.r'), ('4.7', '2016-04-21 14:26:03 EDT', 'markus.kell.r'), ('---', '2017-05-24 14:13:06 EDT', 'noopur_gupta'), ('stalebug', '2019-08-15 04:30:43 EDT', 'genie')]</t>
  </si>
  <si>
    <t>2014-07-17 10:19 EDT</t>
  </si>
  <si>
    <t>2014-07-21 21:48:24 EDT</t>
  </si>
  <si>
    <t>2020-11-16 11:24:54 EST</t>
  </si>
  <si>
    <t>[('CREATED', '2014-07-17 10:19 EDT'), ('ASSIGNED', '2014-07-21 21:48:24 EDT', 'manju656'), ('manju_mathew', '2014-07-21 21:48:24 EDT', 'manju656'), ('All', '2014-07-21 21:48:24 EDT', 'manju656'), ('3.8', '2014-07-21 21:48:24 EDT', 'manju656'), ("[inline] Refactor 'inline method' ignores assignment", '2014-07-21 21:48:24 EDT', 'manju656'), ('All', '2014-07-21 21:48:24 EDT', 'manju656'), ('stalebug', '2018-11-26 10:30:44 EST', 'genie'), ('daniel_megert', '2018-11-26 13:16:23 EST', 'daniel_megert'), (nan, '2018-11-26 13:16:23 EST', 'daniel_megert'), ('"stalebug"', '2020-11-16 11:24:54 EST', 'genie')]</t>
  </si>
  <si>
    <t>470315 (view as bug list)</t>
  </si>
  <si>
    <t>2015-07-13 12:10:33 EDT</t>
  </si>
  <si>
    <t>2014-07-18 05:39 EDT</t>
  </si>
  <si>
    <t>2014-07-18 05:48:48 EDT</t>
  </si>
  <si>
    <t>[('CREATED', '2014-07-18 05:39 EDT'), ('szymon.ptaszkiewicz', '2014-07-18 05:48:48 EDT', 'sptaszkiewicz'), ('Lars.Vogel', '2014-07-18 06:14:59 EDT', 'Lars.Vogel'), ('manju_mathew, markus_keller', '2014-07-20 21:40:52 EDT', 'manju656'), ('daniel_megert', '2014-07-23 06:43:55 EDT', 'daniel_megert'), ('4.5 M1', '2014-07-23 07:17:05 EDT', 'daniel_megert'), ('Increase BREE to Java 1.6 for JDT UI', '2014-07-23 07:17:05 EDT', 'daniel_megert'), ('enhancement', '2014-07-23 07:17:05 EDT', 'daniel_megert'), ('Increase BREE for JDT UI', '2014-07-23 12:35:30 EDT', 'Lars.Vogel'), ('ASSIGNED', '2014-07-23 21:42:59 EDT', 'manju656'), ('markus_keller', '2014-08-04 10:42:50 EDT', 'markus.kell.r'), ('4.5 M2', '2014-08-04 10:42:50 EDT', 'markus.kell.r'), ('441168', '2014-08-06 10:25:06 EDT', 'Lars.Vogel'), ('4.5 M3', '2014-09-15 19:24:17 EDT', 'markus.kell.r'), ('4.5 M4', '2014-10-22 10:57:35 EDT', 'markus.kell.r'), ('4.5 M5', '2014-12-08 11:23:13 EST', 'markus.kell.r'), ('4.5 M6', '2015-01-23 12:51:17 EST', 'markus.kell.r'), ('jogl', '2015-02-04 12:53:36 EST', 'eclipse'), ('4.5 M7', '2015-03-16 07:35:58 EDT', 'markus.kell.r'), ('https://git.eclipse.org/r/43992', '2015-03-17 06:44:28 EDT', 'genie'), ('4.6', '2015-03-17 10:34:22 EDT', 'markus.kell.r'), ('4.6 M1', '2015-07-12 00:32:29 EDT', 'Lars.Vogel'), ('RESOLVED', '2015-07-13 12:10:33 EDT', 'markus.kell.r'), ('noopur_gupta, stephan.herrmann', '2015-07-13 12:10:33 EDT', 'markus.kell.r'), ('FIXED', '2015-07-13 12:10:33 EDT', 'markus.kell.r')]</t>
  </si>
  <si>
    <t>2016-04-18 01:26:43 EDT</t>
  </si>
  <si>
    <t>2014-08-05 22:54 EDT</t>
  </si>
  <si>
    <t>2014-08-05 22:54:50 EDT</t>
  </si>
  <si>
    <t>[('CREATED', '2014-08-05 22:54 EDT'), ('jongwook.kim', '2014-08-05 22:54:50 EDT', 'jongwook.kim'), ('ASSIGNED', '2014-08-08 04:04:45 EDT', 'noopur_gupta'), ('noopur_gupta', '2014-08-08 04:04:45 EDT', 'noopur_gupta'), ('All', '2014-08-08 04:04:45 EDT', 'noopur_gupta'), ('4.3', '2014-08-08 04:04:45 EDT', 'noopur_gupta'), ('4.5', '2014-08-08 04:04:45 EDT', 'noopur_gupta'), ('All', '2014-08-08 04:04:45 EDT', 'noopur_gupta'), ('noopur_gupta', '2014-08-08 05:03:21 EDT', 'noopur_gupta'), ('markus_keller', '2014-08-08 05:05:11 EDT', 'noopur_gupta'), ('4.5 M2', '2014-08-08 05:05:11 EDT', 'noopur_gupta'), ('review?(markus_keller)', '2014-08-08 05:05:11 EDT', 'noopur_gupta'), ('4.5 M3', '2014-09-15 19:24:17 EDT', 'markus.kell.r'), ('4.5 M4', '2014-10-27 20:01:19 EDT', 'markus.kell.r'), ('4.5 M5', '2014-12-08 12:12:29 EST', 'markus.kell.r'), ('4.5 M6', '2015-01-27 02:02:15 EST', 'noopur_gupta'), ('4.5 M7', '2015-03-17 11:33:02 EDT', 'markus.kell.r'), ('4.6', '2015-05-13 05:38:47 EDT', 'markus.kell.r'), ('https://git.eclipse.org/r/70753', '2016-04-15 09:01:33 EDT', 'genie'), ('https://git.eclipse.org/c/jdt/eclipse.jdt.ui.git/commit/?id=4526d5d5c48c642606c0ca129b684821eef8cc6f', '2016-04-18 01:22:19 EDT', 'genie'), ('RESOLVED', '2016-04-18 01:26:43 EDT', 'noopur_gupta'), ('FIXED', '2016-04-18 01:26:43 EDT', 'noopur_gupta'), ('4.6 M7', '2016-04-18 01:26:43 EDT', 'noopur_gupta'), (nan, '2016-04-18 01:26:43 EDT', 'noopur_gupta')]</t>
  </si>
  <si>
    <t>2014-08-06 12:27 EDT</t>
  </si>
  <si>
    <t>2014-08-06 12:27:43 EDT</t>
  </si>
  <si>
    <t>2019-12-15 13:16:48 EST</t>
  </si>
  <si>
    <t>[('CREATED', '2014-08-06 12:27 EDT'), ('4.4', '2014-08-06 12:27:43 EDT', 'alex.blewitt'), ('ASSIGNED', '2014-08-12 06:01:30 EDT', 'noopur_gupta'), ('[refactoring] Convert to lambda expression not available in Refactor menu', '2014-08-12 06:01:30 EDT', 'noopur_gupta'), ('stalebug', '2019-12-15 13:16:48 EST', 'genie')]</t>
  </si>
  <si>
    <t>2014-08-17 11:01:25 EDT</t>
  </si>
  <si>
    <t>2014-08-21 03:29:28 EDT</t>
  </si>
  <si>
    <t>2014-08-11 06:41 EDT</t>
  </si>
  <si>
    <t>2014-08-11 06:41:53 EDT</t>
  </si>
  <si>
    <t>keithc</t>
  </si>
  <si>
    <t>[('CREATED', '2014-08-11 06:41 EDT'), ('PreTVT44: (bidi) "Original Source" and "Refactored Source" in API Tools Javadoc Conversion panel are not mirrored and incorrect text orientation is found', '2014-08-11 06:41:53 EDT', 'keithc'), ('Vikas.Chandra', '2014-08-11 09:32:09 EDT', 'Vikas.Chandra'), ('UI', '2014-08-11 09:32:33 EDT', 'Vikas.Chandra'), ('jdt-ui-inbox', '2014-08-11 09:32:33 EDT', 'Vikas.Chandra'), ('JDT', '2014-08-11 09:32:33 EDT', 'Vikas.Chandra'), ('4.5', '2014-08-11 09:32:33 EDT', 'Vikas.Chandra'), ('daniel_megert', '2014-08-15 04:47:19 EDT', 'daniel_megert'), ('markus_keller', '2014-08-15 05:40:14 EDT', 'daniel_megert'), ('daniel_megert', '2014-08-15 05:40:14 EDT', 'daniel_megert'), ('4.4.1', '2014-08-15 05:40:14 EDT', 'daniel_megert'), ('review?(markus_keller)', '2014-08-15 05:40:14 EDT', 'daniel_megert'), ('1', '2014-08-15 10:51:15 EDT', 'markus.kell.r'), ('text/plain', '2014-08-15 10:51:15 EDT', 'markus.kell.r'), ('review+', '2014-08-15 14:27:32 EDT', 'markus.kell.r'), ('RESOLVED', '2014-08-17 11:01:25 EDT', 'daniel_megert'), ('FIXED', '2014-08-17 11:01:25 EDT', 'daniel_megert'), ('VERIFIED', '2014-08-21 03:29:28 EDT', 'keithc')]</t>
  </si>
  <si>
    <t>2014-08-22 10:50:55 EDT</t>
  </si>
  <si>
    <t>2014-08-19 10:12 EDT</t>
  </si>
  <si>
    <t>2014-08-20 04:52:37 EDT</t>
  </si>
  <si>
    <t>2015-10-29 04:48:35 EDT</t>
  </si>
  <si>
    <t>robg</t>
  </si>
  <si>
    <t>[('CREATED', '2014-08-19 10:12 EDT'), ('daniel_megert', '2014-08-20 04:52:37 EDT', 'daniel_megert'), ('Core', '2014-08-20 04:52:37 EDT', 'daniel_megert'), ('jdt-core-inbox', '2014-08-20 04:52:37 EDT', 'daniel_megert'), ('JDT', '2014-08-20 04:52:37 EDT', 'daniel_megert'), ('jarthana, manpalat', '2014-08-20 05:26:16 EDT', 'jarthana'), ('stephan.herrmann', '2014-08-20 18:56:31 EDT', 'stephan.herrmann'), ('UI', '2014-08-21 06:28:11 EDT', 'stephan.herrmann'), ('jdt-ui-inbox', '2014-08-21 06:28:11 EDT', 'stephan.herrmann'), ('RESOLVED', '2014-08-22 10:50:55 EDT', 'markus.kell.r'), ('markus_keller', '2014-08-22 10:50:55 EDT', 'markus.kell.r'), ('NOT_ECLIPSE', '2014-08-22 10:50:55 EDT', 'markus.kell.r'), ('robg', '2015-10-29 04:48:35 EDT', 'robg')]</t>
  </si>
  <si>
    <t>511866</t>
  </si>
  <si>
    <t>530580</t>
  </si>
  <si>
    <t>2017-03-06 18:42:11 EST</t>
  </si>
  <si>
    <t>2017-03-07 12:05:24 EST</t>
  </si>
  <si>
    <t>2014-09-02 17:04 EDT</t>
  </si>
  <si>
    <t>2014-09-02 17:06:04 EDT</t>
  </si>
  <si>
    <t>2018-01-31 17:22:38 EST</t>
  </si>
  <si>
    <t>[('CREATED', '2014-09-02 17:04 EDT'), ('Peter.peq', '2014-09-02 17:06:04 EDT', 'Peter.peq'), ('srikanth_sankaran', '2014-09-02 19:01:57 EDT', 'srikanth_sankaran'), ('stephan.herrmann', '2014-09-02 19:01:57 EDT', 'srikanth_sankaran'), ('[null] Quickfixes add unnecessary @NonNull annotation to types, when @NonNullByDefault is used', '2014-09-17 23:16:47 EDT', 'srikanth_sankaran'), ('clovis.seragiotto', '2016-08-23 08:47:22 EDT', 'clovis.seragiotto'), ('mike', '2016-10-21 22:56:31 EDT', 'mike'), ('P2', '2016-10-21 23:02:12 EDT', 'mike'), ('major', '2016-10-21 23:02:12 EDT', 'mike'), ('P3', '2016-10-23 16:52:53 EDT', 'stephan.herrmann'), ('stephan.herrmann', '2016-10-23 16:52:53 EDT', 'stephan.herrmann'), ('UI', '2016-10-23 16:52:53 EDT', 'stephan.herrmann'), ('frank.rene.benoit', '2016-12-10 11:36:08 EST', 'frank.rene.benoit'), ('https://git.eclipse.org/r/89820', '2017-01-29 17:16:24 EST', 'genie'), ('https://git.eclipse.org/r/89821', '2017-01-29 17:18:48 EST', 'genie'), ('stephan.herrmann', '2017-01-29 17:23:19 EST', 'register.eclipse'), ('register.eclipse', '2017-01-29 17:23:19 EST', 'register.eclipse'), ('register.eclipse', '2017-01-29 17:23:19 EST', 'register.eclipse'), ('4.7 M6', '2017-01-29 17:23:19 EST', 'register.eclipse'), ('jarthana', '2017-01-30 16:11:26 EST', 'register.eclipse'), ('markus_keller', '2017-01-30 16:11:46 EST', 'register.eclipse'), ('noopur_gupta', '2017-01-30 16:11:53 EST', 'register.eclipse'), ('511866', '2017-02-07 16:14:51 EST', 'register.eclipse'), ('[1.8][null] Quickfixes add unnecessary @NonNull annotation to types, when @NonNullByDefault is used', '2017-02-07 16:17:15 EST', 'register.eclipse'), ('https://git.eclipse.org/c/jdt/eclipse.jdt.ui.git/commit/?id=3b6698b8ddb0e1f6566e324d6a8b4e87397a8b97', '2017-03-06 04:38:04 EST', 'genie'), ('https://git.eclipse.org/r/92412', '2017-03-06 14:54:49 EST', 'genie'), ('https://git.eclipse.org/c/jdt/eclipse.jdt.ui.git/commit/?id=2300e8ec0811db9e87389488eb05bc120a87b089', '2017-03-06 18:40:59 EST', 'genie'), ('RESOLVED', '2017-03-06 18:42:11 EST', 'stephan.herrmann'), ('FIXED', '2017-03-06 18:42:11 EST', 'stephan.herrmann'), ('VERIFIED', '2017-03-07 12:05:24 EST', 'daniel_megert'), ('daniel_megert', '2017-03-07 12:05:24 EST', 'daniel_megert'), ('https://bugs.eclipse.org/bugs/show_bug.cgi?id=514203', '2017-03-24 18:47:28 EDT', 'register.eclipse'), ('https://bugs.eclipse.org/bugs/show_bug.cgi?id=514213', '2017-03-25 17:41:49 EDT', 'register.eclipse'), ('https://bugs.eclipse.org/bugs/show_bug.cgi?id=514580', '2017-03-31 17:11:18 EDT', 'register.eclipse'), ('https://bugs.eclipse.org/bugs/show_bug.cgi?id=514975', '2017-04-08 14:26:19 EDT', 'register.eclipse'), ('530580', '2018-01-31 17:22:38 EST', 'register.eclipse')]</t>
  </si>
  <si>
    <t>430336</t>
  </si>
  <si>
    <t>2014-09-04 15:39:12 EDT</t>
  </si>
  <si>
    <t>2014-09-03 06:31 EDT</t>
  </si>
  <si>
    <t>2014-09-03 06:32:46 EDT</t>
  </si>
  <si>
    <t>[('CREATED', '2014-09-03 06:31 EDT'), ('markus_keller', '2014-09-03 06:32:46 EDT', 'markus.kell.r'), ('noopur_gupta', '2014-09-03 06:32:46 EDT', 'markus.kell.r'), ('4.5 M2', '2014-09-03 06:32:46 EDT', 'markus.kell.r'), ('1', '2014-09-04 04:32:02 EDT', 'noopur_gupta'), ('1', '2014-09-04 06:39:08 EDT', 'noopur_gupta'), ('review?(markus_keller)', '2014-09-04 06:40:33 EDT', 'noopur_gupta'), ('RESOLVED', '2014-09-04 15:39:12 EDT', 'markus.kell.r'), ('FIXED', '2014-09-04 15:39:12 EDT', 'markus.kell.r'), ('review+', '2014-09-04 15:39:12 EDT', 'markus.kell.r')]</t>
  </si>
  <si>
    <t>2014-09-05 09:54:29 EDT</t>
  </si>
  <si>
    <t>2014-09-05 09:38 EDT</t>
  </si>
  <si>
    <t>2014-09-05 09:39:23 EDT</t>
  </si>
  <si>
    <t>[('CREATED', '2014-09-05 09:38 EDT'), ('markus_keller', '2014-09-05 09:39:23 EDT', 'markus.kell.r'), ('markus_keller', '2014-09-05 09:39:23 EDT', 'markus.kell.r'), ('4.5 M2', '2014-09-05 09:39:23 EDT', 'markus.kell.r'), ('ASSIGNED', '2014-09-05 09:39:23 EDT', 'markus.kell.r'), ('RESOLVED', '2014-09-05 09:54:29 EDT', 'markus.kell.r'), ('FIXED', '2014-09-05 09:54:29 EDT', 'markus.kell.r')]</t>
  </si>
  <si>
    <t>CLOSED  DUPLICATE  of bug 497368</t>
  </si>
  <si>
    <t>467490 (view as bug list)</t>
  </si>
  <si>
    <t>2016-07-15 07:52:36 EDT</t>
  </si>
  <si>
    <t>2014-09-12 18:36 EDT</t>
  </si>
  <si>
    <t>2014-09-17 08:30:52 EDT</t>
  </si>
  <si>
    <t>[('CREATED', '2014-09-12 18:36 EDT'), ('All', '2014-09-17 08:30:52 EDT', 'noopur_gupta'), ('ASSIGNED', '2014-09-17 08:30:52 EDT', 'noopur_gupta'), ('noopur_gupta', '2014-09-17 08:30:52 EDT', 'noopur_gupta'), ('All', '2014-09-17 08:30:52 EDT', 'noopur_gupta'), ('[pull up] "Refactor &gt; Pull up" adds unnecessary import', '2014-09-17 08:30:52 EDT', 'noopur_gupta'), ('billc.cn', '2015-05-25 04:53:52 EDT', 'noopur_gupta'), ('CLOSED', '2016-07-15 07:52:36 EDT', 'noopur_gupta'), ('DUPLICATE', '2016-07-15 07:52:36 EDT', 'noopur_gupta')]</t>
  </si>
  <si>
    <t>444284 (view as bug list)</t>
  </si>
  <si>
    <t>2020-04-27 12:55:16 EDT</t>
  </si>
  <si>
    <t>2014-09-13 18:09 EDT</t>
  </si>
  <si>
    <t>2014-09-13 18:09:41 EDT</t>
  </si>
  <si>
    <t>[('CREATED', '2014-09-13 18:09 EDT'), ('jongwook.kim', '2014-09-13 18:09:41 EDT', 'jongwook.kim'), ('ASSIGNED', '2014-09-17 04:38:49 EDT', 'noopur_gupta'), ('All', '2014-09-17 04:38:49 EDT', 'noopur_gupta'), ('3.8.1', '2014-09-17 04:38:49 EDT', 'noopur_gupta'), ('All', '2014-09-17 04:38:49 EDT', 'noopur_gupta'), ('stolz+bugzilla', '2015-10-02 05:23:37 EDT', 'stolz+bugzilla'), ('WONTFIX', '2020-04-27 12:55:16 EDT', 'genie'), ('stalebug', '2020-04-27 12:55:16 EDT', 'genie'), ('CLOSED', '2020-04-27 12:55:16 EDT', 'genie')]</t>
  </si>
  <si>
    <t>CLOSED  DUPLICATE  of bug 444032</t>
  </si>
  <si>
    <t>2014-09-17 04:43:54 EDT</t>
  </si>
  <si>
    <t>2014-09-16 13:32 EDT</t>
  </si>
  <si>
    <t>2014-09-16 13:35:10 EDT</t>
  </si>
  <si>
    <t>[('CREATED', '2014-09-16 13:32 EDT'), ('jongwook.kim', '2014-09-16 13:35:10 EDT', 'jongwook.kim'), ('CLOSED', '2014-09-17 04:43:54 EDT', 'noopur_gupta'), ('noopur_gupta', '2014-09-17 04:43:54 EDT', 'noopur_gupta'), ('All', '2014-09-17 04:43:54 EDT', 'noopur_gupta'), ('3.8.1', '2014-09-17 04:43:54 EDT', 'noopur_gupta'), ('DUPLICATE', '2014-09-17 04:43:54 EDT', 'noopur_gupta'), ('All', '2014-09-17 04:43:54 EDT', 'noopur_gupta')]</t>
  </si>
  <si>
    <t>473656 (view as bug list)</t>
  </si>
  <si>
    <t>2015-08-18 07:34:54 EDT</t>
  </si>
  <si>
    <t>2014-09-17 08:00 EDT</t>
  </si>
  <si>
    <t>2014-09-17 08:03:59 EDT</t>
  </si>
  <si>
    <t>2015-09-16 08:13:18 EDT</t>
  </si>
  <si>
    <t>[('CREATED', '2014-09-17 08:00 EDT'), ('4.5', '2014-09-17 08:03:59 EDT', 'noopur_gupta'), ('4.6', '2015-05-13 05:38:34 EDT', 'markus.kell.r'), ('melmongiovi', '2015-08-05 04:55:53 EDT', 'noopur_gupta'), ('jdt-ui-inbox', '2015-08-05 04:56:14 EDT', 'noopur_gupta'), ('https://git.eclipse.org/r/53853', '2015-08-17 03:09:19 EDT', 'genie'), ('daniel_megert, noopur_gupta', '2015-08-17 03:12:43 EDT', 'noopur_gupta'), ('ktatavar', '2015-08-17 03:12:43 EDT', 'noopur_gupta'), ('https://git.eclipse.org/r/53855', '2015-08-17 03:52:45 EDT', 'genie'), ('4.6 M2', '2015-08-17 09:42:31 EDT', 'noopur_gupta'), ('review?(noopur_gupta)', '2015-08-17 09:42:31 EDT', 'noopur_gupta'), (nan, '2015-08-17 09:43:08 EDT', 'noopur_gupta'), ('https://git.eclipse.org/c/jdt/eclipse.jdt.ui.git/commit/?id=43269564691d3f443f31cf0d1eb9c1cbac8e9f8d', '2015-08-18 07:30:56 EDT', 'genie'), ('RESOLVED', '2015-08-18 07:34:54 EDT', 'noopur_gupta'), ('FIXED', '2015-08-18 07:34:54 EDT', 'noopur_gupta'), ('review+', '2015-08-18 07:34:54 EDT', 'noopur_gupta'), ('477566', '2015-09-16 08:13:18 EDT', 'markus.kell.r')]</t>
  </si>
  <si>
    <t>257510 444461 444532 444619 445259 445735 446798 446984 447247 447389 447694 448266 449180 449697 450384 450721 452648 466246 (view as bug list)</t>
  </si>
  <si>
    <t>2015-08-19 06:16:32 EDT</t>
  </si>
  <si>
    <t>2015-08-25 11:29:59 EDT</t>
  </si>
  <si>
    <t>2014-09-23 05:36 EDT</t>
  </si>
  <si>
    <t>2014-09-23 05:36:15 EDT</t>
  </si>
  <si>
    <t>[('CREATED', '2014-09-23 05:36 EDT'), ('marcel.bruch', '2014-09-23 05:36:15 EDT', 'marcel.bruch'), ('Security_Advisories', '2014-09-25 08:37:34 EDT', 'marcel.bruch'), ('error-reports-inbox', '2014-10-28 03:38:41 EDT', 'marcel.bruch'), ('UI', '2014-10-28 03:44:31 EDT', 'marcel.bruch'), ('4.4', '2014-10-28 03:44:31 EDT', 'marcel.bruch'), ('JDT', '2014-10-28 03:44:31 EDT', 'marcel.bruch'), (nan, '2015-01-15 17:32:34 EST', 'marcel.bruch'), ('szymon.ptaszkiewicz', '2015-07-23 07:34:37 EDT', 'sptaszkiewicz'), ('jdt-ui-inbox', '2015-07-23 07:57:01 EDT', 'marcel.bruch'), ('The resource tree is locked for modifications.', '2015-07-23 07:57:01 EDT', 'marcel.bruch'), ('NEW', '2015-07-24 09:59:33 EDT', 'sptaszkiewicz'), ('1', '2015-07-24 09:59:33 EDT', 'sptaszkiewicz'), ('ASSIGNED', '2015-07-27 06:58:49 EDT', 'sptaszkiewicz'), ('4.6', '2015-07-27 06:58:49 EDT', 'sptaszkiewicz'), ('https://git.eclipse.org/r/52703', '2015-07-28 07:57:49 EDT', 'genie'), ('markus_keller', '2015-07-28 08:19:03 EDT', 'sptaszkiewicz'), ('review?(markus_keller)', '2015-07-28 08:19:03 EDT', 'sptaszkiewicz'), ('markus_keller', '2015-08-03 14:55:37 EDT', 'markus.kell.r'), ('4.6 M2', '2015-08-03 14:55:37 EDT', 'markus.kell.r'), ('4.5.1 candidate', '2015-08-04 13:23:07 EDT', 'markus.kell.r'), ('review+', '2015-08-04 13:35:17 EDT', 'markus.kell.r'), ('https://git.eclipse.org/c/jdt/eclipse.jdt.ui.git/commit/?id=bc126893953cc77790073bdb6a2f25709fd251f6', '2015-08-11 05:53:26 EDT', 'genie'), ('4.5.1', '2015-08-11 05:54:24 EDT', 'markus.kell.r'), (nan, '2015-08-11 05:54:24 EDT', 'markus.kell.r'), ('mauromol', '2015-08-19 05:27:35 EDT', 'mauromol'), ('RESOLVED', '2015-08-19 06:16:32 EDT', 'markus.kell.r'), ('FIXED', '2015-08-19 06:16:32 EDT', 'markus.kell.r'), ('VERIFIED', '2015-08-25 11:29:59 EDT', 'sptaszkiewicz'), ('szymon.ptaszkiewicz', '2015-08-27 06:08:48 EDT', 'sptaszkiewicz'), ('philippe_mulet', '2015-10-26 10:58:50 EDT', 'sptaszkiewicz')]</t>
  </si>
  <si>
    <t>479030 (view as bug list)</t>
  </si>
  <si>
    <t>2014-10-03 11:20:58 EDT</t>
  </si>
  <si>
    <t>2015-10-27 09:53:10 EDT</t>
  </si>
  <si>
    <t>2014-09-23 14:47 EDT</t>
  </si>
  <si>
    <t>2014-09-23 14:48:59 EDT</t>
  </si>
  <si>
    <t>2015-10-28 19:20:58 EDT</t>
  </si>
  <si>
    <t>[('CREATED', '2014-09-23 14:47 EDT'), ('lars.vogel, simon.scholz', '2014-09-23 14:48:59 EDT', 'Lars.Vogel'), ('noopur_gupta', '2014-09-24 01:30:46 EDT', 'noopur_gupta'), ('RESOLVED', '2014-10-01 02:23:30 EDT', 'noopur_gupta'), ('WORKSFORME', '2014-10-01 02:23:30 EDT', 'noopur_gupta'), ('---', '2014-10-01 15:42:27 EDT', 'Lars.Vogel'), ('REOPENED', '2014-10-01 15:42:27 EDT', 'Lars.Vogel'), ('RESOLVED', '2014-10-03 11:20:58 EDT', 'markus.kell.r'), ('markus_keller', '2014-10-03 11:20:58 EDT', 'markus.kell.r'), ('WORKSFORME', '2014-10-03 11:20:58 EDT', 'markus.kell.r'), ('REOPENED', '2015-10-27 09:53:10 EDT', 'Lars.Vogel'), ('---', '2015-10-27 09:53:10 EDT', 'Lars.Vogel'), ('ASSIGNED', '2015-10-27 16:59:09 EDT', 'daniel_megert'), ('daniel_megert', '2015-10-27 16:59:09 EDT', 'daniel_megert'), ('All', '2015-10-27 16:59:09 EDT', 'daniel_megert'), ('[quick assist] Ctrl+2, L or Ctrl+2, F should also import the required type to avoid a syntax error', '2015-10-27 16:59:09 EDT', 'daniel_megert'), ('All', '2015-10-27 16:59:09 EDT', 'daniel_megert'), ('enhancement', '2015-10-27 16:59:09 EDT', 'daniel_megert'), ('stephan.herrmann', '2015-10-28 19:20:58 EDT', 'stephan.herrmann')]</t>
  </si>
  <si>
    <t>2014-09-26 04:49:32 EDT</t>
  </si>
  <si>
    <t>2014-09-26 04:29 EDT</t>
  </si>
  <si>
    <t>2014-09-26 04:45:33 EDT</t>
  </si>
  <si>
    <t>[('CREATED', '2014-09-26 04:29 EDT'), ('noopur_gupta', '2014-09-26 04:45:33 EDT', 'noopur_gupta'), ('RESOLVED', '2014-09-26 04:49:32 EDT', 'Lars.Vogel'), ('lars.vogel', '2014-09-26 04:49:32 EDT', 'Lars.Vogel'), ('WORKSFORME', '2014-09-26 04:49:32 EDT', 'Lars.Vogel')]</t>
  </si>
  <si>
    <t>2014-10-27 10:54:31 EDT</t>
  </si>
  <si>
    <t>2014-09-29 09:16 EDT</t>
  </si>
  <si>
    <t>[('CREATED', '2014-09-29 09:16 EDT'), ('markus_keller', '2014-10-27 10:54:31 EDT', 'markus.kell.r'), ('WONTFIX', '2014-10-27 10:54:31 EDT', 'markus.kell.r'), ('[refactoring] "Rename in file" does not call registered rename participants.', '2014-10-27 10:54:31 EDT', 'markus.kell.r'), ('RESOLVED', '2014-10-27 10:54:31 EDT', 'markus.kell.r')]</t>
  </si>
  <si>
    <t>2014-11-10 04:18:26 EST</t>
  </si>
  <si>
    <t>2014-09-29 18:35 EDT</t>
  </si>
  <si>
    <t>2014-11-10 03:57:54 EST</t>
  </si>
  <si>
    <t>[('CREATED', '2014-09-29 18:35 EDT'), ('jarthana', '2014-11-10 03:57:54 EST', 'jarthana'), ('UI', '2014-11-10 03:57:54 EST', 'jarthana'), ('jdt-ui-inbox', '2014-11-10 03:57:54 EST', 'jarthana'), ('noopur_gupta', '2014-11-10 04:18:26 EST', 'noopur_gupta'), ('WORKSFORME', '2014-11-10 04:18:26 EST', 'noopur_gupta'), ("[inline] Fold conditional expressions and statements after 'inline' refactoring", '2014-11-10 04:18:26 EST', 'noopur_gupta'), ('RESOLVED', '2014-11-10 04:18:26 EST', 'noopur_gupta')]</t>
  </si>
  <si>
    <t>2014-10-03 11:01:39 EDT</t>
  </si>
  <si>
    <t>2014-10-01 04:33 EDT</t>
  </si>
  <si>
    <t>2014-10-01 04:33:56 EDT</t>
  </si>
  <si>
    <t>[('CREATED', '2014-10-01 04:33 EDT'), ('lars.vogel', '2014-10-01 04:33:56 EDT', 'Lars.Vogel'), ('Group Refactor -&gt; Extract menu entries', '2014-10-01 04:33:56 EDT', 'Lars.Vogel'), ('RESOLVED', '2014-10-03 11:01:39 EDT', 'markus.kell.r'), ('markus_keller', '2014-10-03 11:01:39 EDT', 'markus.kell.r'), ('WONTFIX', '2014-10-03 11:01:39 EDT', 'markus.kell.r')]</t>
  </si>
  <si>
    <t>2014-10-29 13:38:50 EDT</t>
  </si>
  <si>
    <t>2015-08-27 05:23:55 EDT</t>
  </si>
  <si>
    <t>2014-10-09 06:44 EDT</t>
  </si>
  <si>
    <t>2014-10-09 06:44:19 EDT</t>
  </si>
  <si>
    <t>2020-05-27 16:31:05 EDT</t>
  </si>
  <si>
    <t>[('CREATED', '2014-10-09 06:44 EDT'), ('Security_Advisories', '2014-10-09 06:44:19 EDT', 'error-reports-inbox'), (nan, '2014-10-09 07:11:28 EDT', 'marcel.bruch'), ('marcel.bruch', '2014-10-09 07:11:28 EDT', 'marcel.bruch'), ('UI', '2014-10-09 07:11:28 EDT', 'marcel.bruch'), ('4.4.1', '2014-10-09 07:11:28 EDT', 'marcel.bruch'), ('jdt-ui-inbox', '2014-10-09 07:11:28 EDT', 'marcel.bruch'), ('JDT', '2014-10-09 07:11:28 EDT', 'marcel.bruch'), ('[ltk] AFE in org.eclipse.ltk.core.refactoring.CompositeChange.add - change.getParent()is not null (err_grp: d225ec0b)', '2014-10-09 07:11:28 EDT', 'marcel.bruch'), ('RESOLVED', '2014-10-29 13:38:50 EDT', 'markus.kell.r'), ('markus_keller', '2014-10-29 13:38:50 EDT', 'markus.kell.r'), ('WORKSFORME', '2014-10-29 13:38:50 EDT', 'markus.kell.r'), ('Please provide steps to reproduce, or at least the action/refactoring that was executed.', '2014-10-29 13:38:50 EDT', 'markus.kell.r'), ('REOPENED', '2015-08-27 05:23:55 EDT', 'mauromol'), ('mauromol', '2015-08-27 05:23:55 EDT', 'mauromol'), ('---', '2015-08-27 05:23:55 EDT', 'mauromol'), ('1', '2015-08-27 05:23:55 EDT', 'mauromol'), ('stalebug', '2020-05-27 16:31:05 EDT', 'genie')]</t>
  </si>
  <si>
    <t>2014-10-30 01:08:48 EDT</t>
  </si>
  <si>
    <t>2014-10-30 00:55 EDT</t>
  </si>
  <si>
    <t>[('CREATED', '2014-10-30 00:55 EDT'), ('WORKSFORME', '2014-10-30 01:08:48 EDT', 'Lars.Vogel'), ('jdt-ui-inbox', '2014-10-30 01:08:48 EDT', 'Lars.Vogel'), ('JDT', '2014-10-30 01:08:48 EDT', 'Lars.Vogel'), ('CLOSED', '2014-10-30 01:08:48 EDT', 'Lars.Vogel'), ('lars.vogel', '2014-10-30 01:08:48 EDT', 'Lars.Vogel'), ('UI', '2014-10-30 01:08:48 EDT', 'Lars.Vogel')]</t>
  </si>
  <si>
    <t>CLOSED  DUPLICATE  of bug 318560</t>
  </si>
  <si>
    <t>2014-11-12 05:12:28 EST</t>
  </si>
  <si>
    <t>2014-11-11 10:04 EST</t>
  </si>
  <si>
    <t>2014-11-11 10:27:44 EST</t>
  </si>
  <si>
    <t>[('CREATED', '2014-11-11 10:04 EST'), ('stephan.herrmann', '2014-11-11 10:27:44 EST', 'stephan.herrmann'), ('UI', '2014-11-11 10:27:44 EST', 'stephan.herrmann'), ('jdt-ui-inbox', '2014-11-11 10:27:44 EST', 'stephan.herrmann'), ('DUPLICATE', '2014-11-12 05:12:28 EST', 'noopur_gupta'), ('CLOSED', '2014-11-12 05:12:28 EST', 'noopur_gupta'), ('noopur_gupta', '2014-11-12 05:12:28 EST', 'noopur_gupta')]</t>
  </si>
  <si>
    <t>2014-11-17 03:59:42 EST</t>
  </si>
  <si>
    <t>2014-11-17 00:53 EST</t>
  </si>
  <si>
    <t>2014-11-17 00:56:46 EST</t>
  </si>
  <si>
    <t>[('CREATED', '2014-11-17 00:53 EST'), ('api, core', '2014-11-17 00:56:46 EST', 'susheel_pm'), ('susheel_pm', '2014-11-17 00:57:15 EST', 'susheel_pm'), ('Vikas.Chandra', '2014-11-17 03:51:37 EST', 'Vikas.Chandra'), ('UI', '2014-11-17 03:51:37 EST', 'Vikas.Chandra'), ('jdt-ui-inbox', '2014-11-17 03:51:37 EST', 'Vikas.Chandra'), ('JDT', '2014-11-17 03:51:37 EST', 'Vikas.Chandra'), ('4.5', '2014-11-17 03:51:37 EST', 'Vikas.Chandra'), (nan, '2014-11-17 03:59:42 EST', 'noopur_gupta'), ('CLOSED', '2014-11-17 03:59:42 EST', 'noopur_gupta'), ('noopur_gupta', '2014-11-17 03:59:42 EST', 'noopur_gupta'), ('INVALID', '2014-11-17 03:59:42 EST', 'noopur_gupta'), ('normal', '2014-11-17 03:59:42 EST', 'noopur_gupta')]</t>
  </si>
  <si>
    <t>452129</t>
  </si>
  <si>
    <t>2014-11-19 06:26:47 EST</t>
  </si>
  <si>
    <t>2014-11-18 10:31 EST</t>
  </si>
  <si>
    <t>[('CREATED', '2014-11-18 10:31 EST'), ('RESOLVED', '2014-11-19 06:26:47 EST', 'sptaszkiewicz'), ('WONTFIX', '2014-11-19 06:26:47 EST', 'sptaszkiewicz')]</t>
  </si>
  <si>
    <t>452933 (view as bug list)</t>
  </si>
  <si>
    <t>2014-11-24 00:54 EST</t>
  </si>
  <si>
    <t>2014-11-24 00:54:42 EST</t>
  </si>
  <si>
    <t>2019-09-20 14:35:43 EDT</t>
  </si>
  <si>
    <t>[('CREATED', '2014-11-24 00:54 EST'), ('Security_Advisories', '2014-11-24 00:54:42 EST', 'error-reports-inbox'), ('jdt-core-inbox', '2014-11-24 01:36:35 EST', 'marcel.bruch'), ('JDT', '2014-11-24 01:36:35 EST', 'marcel.bruch'), ('[jdt] NPE in InferTypeArgumentsTCModel.getIndexedCollectionElements', '2014-11-24 01:36:35 EST', 'marcel.bruch'), (nan, '2014-11-24 01:36:35 EST', 'marcel.bruch'), ('marcel.bruch', '2014-11-24 01:36:35 EST', 'marcel.bruch'), ('Core', '2014-11-24 01:36:35 EST', 'marcel.bruch'), ('4.4.1', '2014-11-24 01:36:35 EST', 'marcel.bruch'), ('stephan.herrmann', '2014-11-24 18:45:38 EST', 'stephan.herrmann'), ('UI', '2014-11-24 18:45:38 EST', 'stephan.herrmann'), ('jdt-ui-inbox', '2014-11-24 18:45:38 EST', 'stephan.herrmann'), ('needinfo', '2014-11-25 01:28:06 EST', 'noopur_gupta'), ('NEW', '2014-11-25 01:28:06 EST', 'noopur_gupta'), ('noopur_gupta', '2014-11-25 01:28:06 EST', 'noopur_gupta'), ('1', '2014-11-25 01:28:06 EST', 'noopur_gupta'), ('What are the steps that produce the exception?', '2014-11-25 01:28:06 EST', 'noopur_gupta'), ('patric', '2015-12-02 11:00:31 EST', 'patric'), ('stalebug', '2019-09-20 14:35:43 EDT', 'genie')]</t>
  </si>
  <si>
    <t>452457</t>
  </si>
  <si>
    <t>452336</t>
  </si>
  <si>
    <t>2014-12-01 08:10:47 EST</t>
  </si>
  <si>
    <t>2014-11-25 17:34 EST</t>
  </si>
  <si>
    <t>2014-11-26 04:05:51 EST</t>
  </si>
  <si>
    <t>[('CREATED', '2014-11-25 17:34 EST'), ('daniel_megert', '2014-11-26 04:05:51 EST', 'daniel_megert'), ('RESOLVED', '2014-12-01 08:10:47 EST', 'daniel_megert'), ('FIXED', '2014-12-01 08:10:47 EST', 'daniel_megert'), ('daniel_megert', '2014-12-01 08:10:47 EST', 'daniel_megert')]</t>
  </si>
  <si>
    <t>2014-12-01 03:27 EST</t>
  </si>
  <si>
    <t>2014-12-01 03:28:53 EST</t>
  </si>
  <si>
    <t>2014-12-08 09:29:13 EST</t>
  </si>
  <si>
    <t>[('CREATED', '2014-12-01 03:27 EST'), ('lars.vogel', '2014-12-01 03:28:53 EST', 'Lars.Vogel'), ('daniel_megert', '2014-12-01 07:23:50 EST', 'daniel_megert'), ('1', '2014-12-01 07:33:49 EST', 'Lars.Vogel'), ("Replace Text Matches refactoring dialog is missing 'Select All' 'Deselect All' buttons", '2014-12-01 10:16:47 EST', 'daniel_megert'), ('ASSIGNED', '2014-12-08 01:33:09 EST', 'noopur_gupta'), ('noopur_gupta', '2014-12-08 01:33:09 EST', 'noopur_gupta'), ('All', '2014-12-08 01:33:09 EST', 'noopur_gupta'), ('All', '2014-12-08 01:33:09 EST', 'noopur_gupta'), ('enhancement', '2014-12-08 01:33:09 EST', 'noopur_gupta'), ('markus_keller', '2014-12-08 09:29:13 EST', 'markus.kell.r'), ("[ltk] Replace Text Matches refactoring dialog is missing 'Select All' 'Deselect All' buttons", '2014-12-08 09:29:13 EST', 'markus.kell.r')]</t>
  </si>
  <si>
    <t>CLOSED  DUPLICATE  of bug 401812</t>
  </si>
  <si>
    <t>2020-04-10 17:31:15 EDT</t>
  </si>
  <si>
    <t>2020-06-02 09:42:09 EDT</t>
  </si>
  <si>
    <t>2020-04-11 04:15:46 EDT</t>
  </si>
  <si>
    <t>2014-12-03 09:12 EST</t>
  </si>
  <si>
    <t>2014-12-03 09:44:15 EST</t>
  </si>
  <si>
    <t>[('CREATED', '2014-12-03 09:12 EST'), ('lars.vogel', '2014-12-03 09:44:15 EST', 'Lars.Vogel'), ('marcel.bruch', '2014-12-03 09:47:07 EST', 'Lars.Vogel'), ('UI', '2014-12-03 10:17:02 EST', 'Lars.Vogel'), ('jdt-ui-inbox', '2014-12-03 10:17:02 EST', 'Lars.Vogel'), ('JDT', '2014-12-03 10:17:02 EST', 'Lars.Vogel'), ('daniel_megert', '2014-12-03 10:22:10 EST', 'daniel_megert'), ('needinfo', '2014-12-03 10:22:10 EST', 'daniel_megert'), (nan, '2015-01-26 12:42:39 EST', 'Lars.Vogel'), ('gunnar', '2015-02-17 03:02:22 EST', 'gunnar'), ('CLOSED', '2020-04-10 17:31:15 EDT', 'genie'), ('stalebug', '2020-04-10 17:31:15 EDT', 'genie'), ('WONTFIX', '2020-04-10 17:31:15 EDT', 'genie'), ('REOPENED', '2020-04-11 04:15:46 EDT', 'ed'), ('https://bugs.eclipse.org/bugs/show_bug.cgi?id=401812', '2020-04-11 04:15:46 EDT', 'ed'), ('---', '2020-04-11 04:15:46 EDT', 'ed'), ('DUPLICATE', '2020-06-02 09:42:09 EDT', 'Lars.Vogel'), ('CLOSED', '2020-06-02 09:42:09 EDT', 'Lars.Vogel'), ('Lars.Vogel', '2020-06-02 09:42:09 EDT', 'Lars.Vogel')]</t>
  </si>
  <si>
    <t>CLOSED  DUPLICATE  of bug 399100</t>
  </si>
  <si>
    <t>2014-12-10 08:02:26 EST</t>
  </si>
  <si>
    <t>2014-12-10 07:57 EST</t>
  </si>
  <si>
    <t>[('CREATED', '2014-12-10 07:57 EST'), ('CLOSED', '2014-12-10 08:02:26 EST', 'noopur_gupta'), ('noopur_gupta', '2014-12-10 08:02:26 EST', 'noopur_gupta'), ('DUPLICATE', '2014-12-10 08:02:26 EST', 'noopur_gupta')]</t>
  </si>
  <si>
    <t>2014-12-11 01:34:15 EST</t>
  </si>
  <si>
    <t>2014-12-10 18:23 EST</t>
  </si>
  <si>
    <t>2014-12-10 18:23:34 EST</t>
  </si>
  <si>
    <t>[('CREATED', '2014-12-10 18:23 EST'), ('jongwook.kim', '2014-12-10 18:23:34 EST', 'jongwook.kim'), ('RESOLVED', '2014-12-11 01:34:15 EST', 'noopur_gupta'), ('noopur_gupta', '2014-12-11 01:34:15 EST', 'noopur_gupta'), ('All', '2014-12-11 01:34:15 EST', 'noopur_gupta'), ('WORKSFORME', '2014-12-11 01:34:15 EST', 'noopur_gupta'), ('All', '2014-12-11 01:34:15 EST', 'noopur_gupta')]</t>
  </si>
  <si>
    <t>2015-01-06 13:57 EST</t>
  </si>
  <si>
    <t>2019-11-17 17:20:47 EST</t>
  </si>
  <si>
    <t>[('CREATED', '2015-01-06 13:57 EST'), ('stalebug', '2019-11-17 17:20:47 EST', 'genie')]</t>
  </si>
  <si>
    <t>2020-02-12 18:04:31 EST</t>
  </si>
  <si>
    <t>2015-01-09 06:54 EST</t>
  </si>
  <si>
    <t>2015-01-09 07:01:39 EST</t>
  </si>
  <si>
    <t>[('CREATED', '2015-01-09 06:54 EST'), ('Enum defined within class incorrectly imported', '2015-01-09 07:01:39 EST', 'contact'), ('contact', '2015-01-09 07:06:22 EST', 'contact'), ('lars.vogel', '2015-01-09 07:07:04 EST', 'Lars.Vogel'), ('UI', '2015-01-09 07:07:04 EST', 'Lars.Vogel'), ('jdt-ui-inbox', '2015-01-09 07:07:04 EST', 'Lars.Vogel'), ('JDT', '2015-01-09 07:07:04 EST', 'Lars.Vogel'), ('ASSIGNED', '2015-01-20 03:59:05 EST', 'noopur_gupta'), ('noopur_gupta', '2015-01-20 03:59:05 EST', 'noopur_gupta'), ('All', '2015-01-20 03:59:05 EST', 'noopur_gupta'), ('3.8.1', '2015-01-20 03:59:05 EST', 'noopur_gupta'), ('All', '2015-01-20 03:59:05 EST', 'noopur_gupta'), (nan, '2015-01-22 06:16:02 EST', 'Lars.Vogel'), ('stalebug', '2020-02-12 18:04:31 EST', 'genie'), ('CLOSED', '2020-02-12 18:04:31 EST', 'genie'), ('WONTFIX', '2020-02-12 18:04:31 EST', 'genie')]</t>
  </si>
  <si>
    <t>2015-01-16 08:54:32 EST</t>
  </si>
  <si>
    <t>2015-01-15 05:15 EST</t>
  </si>
  <si>
    <t>[('CREATED', '2015-01-15 05:15 EST'), ('RESOLVED', '2015-01-16 08:54:32 EST', 'noopur_gupta'), ('markus_keller, noopur_gupta', '2015-01-16 08:54:32 EST', 'noopur_gupta'), ('All', '2015-01-16 08:54:32 EST', 'noopur_gupta'), ('noopur_gupta', '2015-01-16 08:54:32 EST', 'noopur_gupta'), ('FIXED', '2015-01-16 08:54:32 EST', 'noopur_gupta'), ("[quick assist] extract number with quick assist doesn't replace all the occurrences", '2015-01-16 08:54:32 EST', 'noopur_gupta'), ('4.5 M5', '2015-01-16 08:54:32 EST', 'noopur_gupta'), ('normal', '2015-01-16 08:54:32 EST', 'noopur_gupta'), ('All', '2015-01-16 08:54:32 EST', 'noopur_gupta')]</t>
  </si>
  <si>
    <t>2020-03-10 16:17:01 EDT</t>
  </si>
  <si>
    <t>2015-01-21 16:43 EST</t>
  </si>
  <si>
    <t>2015-01-21 16:43:18 EST</t>
  </si>
  <si>
    <t>[('CREATED', '2015-01-21 16:43 EST'), ('jongwook.kim', '2015-01-21 16:43:18 EST', 'jongwook.kim'), ('ASSIGNED', '2015-01-23 04:38:35 EST', 'noopur_gupta'), ('noopur_gupta', '2015-01-23 04:38:35 EST', 'noopur_gupta'), ('All', '2015-01-23 04:38:35 EST', 'noopur_gupta'), ('3.8.1', '2015-01-23 04:38:35 EST', 'noopur_gupta'), ('All', '2015-01-23 04:38:35 EST', 'noopur_gupta'), ('stalebug', '2020-03-10 16:17:01 EDT', 'genie'), ('WONTFIX', '2020-03-10 16:17:01 EDT', 'genie'), ('CLOSED', '2020-03-10 16:17:01 EDT', 'genie')]</t>
  </si>
  <si>
    <t>2020-05-12 15:34:01 EDT</t>
  </si>
  <si>
    <t>2015-01-22 14:54 EST</t>
  </si>
  <si>
    <t>2015-01-22 14:54:44 EST</t>
  </si>
  <si>
    <t>[('CREATED', '2015-01-22 14:54 EST'), ('jongwook.kim', '2015-01-22 14:54:44 EST', 'jongwook.kim'), ('3.8.1', '2015-01-23 04:56:19 EST', 'noopur_gupta'), ('All', '2015-01-23 04:56:19 EST', 'noopur_gupta'), ('ASSIGNED', '2015-01-23 04:56:19 EST', 'noopur_gupta'), ('noopur_gupta', '2015-01-23 04:56:19 EST', 'noopur_gupta'), ('All', '2015-01-23 04:56:19 EST', 'noopur_gupta'), ('stalebug', '2020-05-12 15:34:01 EDT', 'genie'), ('WONTFIX', '2020-05-12 15:34:01 EDT', 'genie'), ('CLOSED', '2020-05-12 15:34:01 EDT', 'genie')]</t>
  </si>
  <si>
    <t>2015-01-25 15:57 EST</t>
  </si>
  <si>
    <t>2015-02-04 05:14:13 EST</t>
  </si>
  <si>
    <t>2018-09-05 14:45:41 EDT</t>
  </si>
  <si>
    <t>helospark</t>
  </si>
  <si>
    <t>[('CREATED', '2015-01-25 15:57 EST'), ('UI', '2015-02-04 05:14:13 EST', 'jarthana'), ('jdt-ui-inbox', '2015-02-04 05:14:13 EST', 'jarthana'), ('jarthana', '2015-02-04 05:14:13 EST', 'jarthana'), ('pyvesdev', '2018-08-20 17:39:46 EDT', 'pyvesdev'), ('daniel_megert', '2018-08-24 11:50:30 EDT', 'daniel_megert'), ('helpwanted', '2018-08-30 09:36:59 EDT', 'daniel_megert'), ('ASSIGNED', '2018-08-30 09:36:59 EDT', 'daniel_megert'), ('helospark', '2018-09-05 14:45:41 EDT', 'helospark')]</t>
  </si>
  <si>
    <t>2020-04-30 00:39:59 EDT</t>
  </si>
  <si>
    <t>2015-01-26 03:38 EST</t>
  </si>
  <si>
    <t>[('CREATED', '2015-01-26 03:38 EST'), ('stalebug', '2020-04-30 00:39:59 EDT', 'genie'), ('CLOSED', '2020-04-30 00:39:59 EDT', 'genie'), ('WONTFIX', '2020-04-30 00:39:59 EDT', 'genie')]</t>
  </si>
  <si>
    <t>432049 441016</t>
  </si>
  <si>
    <t>2015-02-11 03:03:43 EST</t>
  </si>
  <si>
    <t>2015-01-30 13:36 EST</t>
  </si>
  <si>
    <t>2015-01-30 13:55:21 EST</t>
  </si>
  <si>
    <t>2015-03-04 04:25:05 EST</t>
  </si>
  <si>
    <t>[('CREATED', '2015-01-30 13:36 EST'), ('Speed up JDT text searches by supporting parallelism in its TextSearchRequestors', '2015-01-30 13:55:21 EST', 'tparker'), ('lars.vogel', '2015-01-31 06:23:55 EST', 'Lars.Vogel'), ('daniel_megert', '2015-02-02 05:13:57 EST', 'daniel_megert'), ('tparker', '2015-02-02 05:13:57 EST', 'daniel_megert'), ('[search] Speed up JDT text searches by supporting parallelism in its TextSearchRequestors', '2015-02-02 05:13:57 EST', 'daniel_megert'), ('review?(daniel_megert)', '2015-02-02 05:13:57 EST', 'daniel_megert'), ('4.5 M6', '2015-02-02 05:14:04 EST', 'daniel_megert'), ('432049, 441016', '2015-02-02 05:23:04 EST', 'daniel_megert'), ('https://git.eclipse.org/r/40809', '2015-02-09 10:17:06 EST', 'genie'), ('https://git.eclipse.org/c/jdt/eclipse.jdt.ui.git/commit/?id=e353fccc97e507902823e751250b377459238461', '2015-02-11 03:02:58 EST', 'genie'), ('RESOLVED', '2015-02-11 03:03:43 EST', 'daniel_megert'), ('FIXED', '2015-02-11 03:03:43 EST', 'daniel_megert'), ('noteworthy', '2015-02-11 04:39:35 EST', 'Lars.Vogel'), ('review+', '2015-03-04 04:25:05 EST', 'daniel_megert')]</t>
  </si>
  <si>
    <t>2015-02-09 07:11 EST</t>
  </si>
  <si>
    <t>2015-02-09 07:27:02 EST</t>
  </si>
  <si>
    <t>2019-08-29 06:16:54 EDT</t>
  </si>
  <si>
    <t>[('CREATED', '2015-02-09 07:11 EST'), ('manpalat', '2015-02-09 07:27:02 EST', 'manpalat'), ('UI', '2015-02-09 07:27:02 EST', 'manpalat'), ('jdt-ui-inbox', '2015-02-09 07:27:02 EST', 'manpalat'), ('4.5', '2015-02-09 10:01:53 EST', 'daniel_megert'), ('daniel_megert', '2015-02-09 10:01:53 EST', 'daniel_megert'), ('stalebug', '2019-08-28 16:46:19 EDT', 'genie'), (nan, '2019-08-29 06:16:54 EDT', 'daniel_megert')]</t>
  </si>
  <si>
    <t>2015-02-16 23:35 EST</t>
  </si>
  <si>
    <t>2015-02-17 06:55:32 EST</t>
  </si>
  <si>
    <t>2019-09-01 09:27:26 EDT</t>
  </si>
  <si>
    <t>[('CREATED', '2015-02-16 23:35 EST'), ('daniel_megert', '2015-02-17 06:55:32 EST', 'daniel_megert'), ('[quick assist] Use MessageFormat Quick Assist is not a pure refactoring, it changes behavior', '2015-02-17 06:55:32 EST', 'daniel_megert'), ('All', '2015-02-17 06:56:27 EST', 'daniel_megert'), ('All', '2015-02-17 06:56:27 EST', 'daniel_megert'), ('stalebug', '2019-09-01 09:27:26 EDT', 'genie')]</t>
  </si>
  <si>
    <t>2015-03-03 12:10 EST</t>
  </si>
  <si>
    <t>2015-03-04 01:59:35 EST</t>
  </si>
  <si>
    <t>2020-06-12 15:25:19 EDT</t>
  </si>
  <si>
    <t>[('CREATED', '2015-03-03 12:10 EST'), ('ASSIGNED', '2015-03-04 01:59:35 EST', 'noopur_gupta'), ('noopur_gupta', '2015-03-04 01:59:35 EST', 'noopur_gupta'), ('[refactoring] Moving a package-private class to another package does not prompt to make it public', '2015-03-04 01:59:35 EST', 'noopur_gupta'), ('stalebug', '2020-06-12 15:25:19 EDT', 'genie')]</t>
  </si>
  <si>
    <t>2019-11-21 09:06:40 EST</t>
  </si>
  <si>
    <t>2015-03-04 04:15 EST</t>
  </si>
  <si>
    <t>2015-03-04 04:18:24 EST</t>
  </si>
  <si>
    <t>[('CREATED', '2015-03-04 04:15 EST'), ('needinfo', '2015-03-04 04:18:24 EST', 'noopur_gupta'), ('noopur_gupta', '2015-03-04 04:18:24 EST', 'noopur_gupta'), ('Please provide steps and an example to reproduce this issue.', '2015-03-04 04:18:24 EST', 'noopur_gupta'), ('MalformedTreeException: End position lies outside document range', '2015-03-04 04:19:53 EST', 'noopur_gupta'), ('stalebug', '2019-11-17 17:21:36 EST', 'genie'), ('RESOLVED', '2019-11-21 09:06:40 EST', 'stephan.herrmann'), ('stephan.herrmann', '2019-11-21 09:06:40 EST', 'stephan.herrmann'), ('stephan.herrmann', '2019-11-21 09:06:40 EST', 'stephan.herrmann'), ('WORKSFORME', '2019-11-21 09:06:40 EST', 'stephan.herrmann'), (nan, '2019-11-21 09:06:40 EST', 'stephan.herrmann'), ('4.14 M3', '2019-11-21 09:06:40 EST', 'stephan.herrmann')]</t>
  </si>
  <si>
    <t>CLOSED  DUPLICATE  of bug 431967</t>
  </si>
  <si>
    <t>2015-03-05 03:46:53 EST</t>
  </si>
  <si>
    <t>2015-03-04 20:13 EST</t>
  </si>
  <si>
    <t>2015-03-04 20:25:05 EST</t>
  </si>
  <si>
    <t>[('CREATED', '2015-03-04 20:13 EST'), ('manpalat', '2015-03-04 20:25:05 EST', 'manpalat'), ('UI', '2015-03-04 20:25:05 EST', 'manpalat'), ('jdt-ui-inbox', '2015-03-04 20:25:05 EST', 'manpalat'), ('[1.8][refactoring] Java 8 migration support more for looping', '2015-03-04 20:25:05 EST', 'manpalat'), ('enhancement', '2015-03-04 20:25:05 EST', 'manpalat'), ('CLOSED', '2015-03-05 03:46:53 EST', 'noopur_gupta'), ('noopur_gupta', '2015-03-05 03:46:53 EST', 'noopur_gupta'), ('DUPLICATE', '2015-03-05 03:46:53 EST', 'noopur_gupta')]</t>
  </si>
  <si>
    <t>380188</t>
  </si>
  <si>
    <t>2015-03-20 16:47 EDT</t>
  </si>
  <si>
    <t>2015-03-20 16:48:12 EDT</t>
  </si>
  <si>
    <t>2019-12-10 02:44:24 EST</t>
  </si>
  <si>
    <t>[('CREATED', '2015-03-20 16:47 EDT'), ('rkhatchadourian', '2015-03-20 16:48:12 EDT', 'raffi.khatchadourian'), ('380188', '2015-03-20 16:49:41 EDT', 'raffi.khatchadourian'), ('stephan.herrmann', '2015-03-20 19:19:07 EDT', 'stephan.herrmann'), ('UI', '2015-03-20 19:19:07 EDT', 'stephan.herrmann'), ('jdt-ui-inbox', '2015-03-20 19:19:07 EDT', 'stephan.herrmann'), ('https://bugs.eclipse.org/bugs/show_bug.cgi?id=431967', '2015-03-20 19:27:43 EDT', 'raffi.khatchadourian'), ('saammana', '2015-03-23 01:24:32 EDT', 'sasikanth.bharadwaj'), ('lars.vogel', '2015-11-11 11:19:59 EST', 'Lars.Vogel'), ('http://github.com/mdarefin/Convert-For-Each-Loop-to-Lambda-Expression-Eclipse-Plugin', '2015-11-11 12:00:13 EST', 'raffi.khatchadourian'), ('fabrice.tiercelin', '2019-12-10 02:44:24 EST', 'Lars.Vogel')]</t>
  </si>
  <si>
    <t>48952 271902 492606 (view as bug list)</t>
  </si>
  <si>
    <t>2018-01-25 01:38:35 EST</t>
  </si>
  <si>
    <t>2018-01-23 18:32:00 EST</t>
  </si>
  <si>
    <t>2015-03-24 07:03 EDT</t>
  </si>
  <si>
    <t>2015-03-24 07:04:14 EDT</t>
  </si>
  <si>
    <t>2018-02-14 11:19:00 EST</t>
  </si>
  <si>
    <t>[('CREATED', '2015-03-24 07:03 EDT'), ('ASSIGNED', '2015-03-24 07:04:14 EDT', 'noopur_gupta'), ('4.6', '2015-03-24 07:04:14 EDT', 'noopur_gupta'), ('mateusz.matela', '2016-03-28 04:49:11 EDT', 'noopur_gupta'), ('4.7', '2016-03-28 04:49:11 EDT', 'noopur_gupta'), ('mateusz.matela', '2016-08-05 18:55:15 EDT', 'mateusz.matela'), ('https://git.eclipse.org/r/79978', '2016-08-29 18:55:50 EDT', 'genie'), ('noopur_gupta', '2016-08-29 19:33:00 EDT', 'mateusz.matela'), ('review?(noopur_gupta)', '2016-08-29 19:33:00 EDT', 'mateusz.matela'), ('gautier.desaintmartinlacaze', '2016-11-17 04:22:29 EST', 'gautier.desaintmartinlacaze'), ('mike', '2017-02-03 08:44:42 EST', 'mike'), ('[preferences][Formatter] Add filter to Formatter profile', '2017-02-03 08:44:42 EST', 'mike'), ('4.7 M7', '2017-02-27 11:16:22 EST', 'markus.kell.r'), ('4.8', '2017-05-11 05:47:21 EDT', 'noopur_gupta'), ('https://git.eclipse.org/r/111394', '2017-11-10 10:31:12 EST', 'genie'), (nan, '2017-11-10 10:33:16 EST', 'mateusz.matela'), ('https://git.eclipse.org/r/79978', '2018-01-03 18:01:32 EST', 'genie'), (nan, '2018-01-03 18:14:36 EST', 'mateusz.matela'), ('https://git.eclipse.org/r/114914', '2018-01-03 18:20:47 EST', 'genie'), (nan, '2018-01-08 05:59:51 EST', 'mike'), ('https://git.eclipse.org/r/115774', '2018-01-21 19:45:35 EST', 'genie'), ('review+', '2018-01-22 08:12:41 EST', 'noopur_gupta'), ('4.8 M5', '2018-01-22 08:12:41 EST', 'noopur_gupta'), ('https://git.eclipse.org/c/jdt/eclipse.jdt.ui.git/commit/?id=c74668ec8ab5e2522c7a5d23a79df59eb4e7ba5d', '2018-01-22 08:15:25 EST', 'genie'), ('https://git.eclipse.org/c/platform/eclipse.platform.images.git/commit/?id=23b79dea57a8d1e0f6e2fea323b6f093b597d973', '2018-01-22 08:15:38 EST', 'genie'), ('FIXED', '2018-01-22 08:17:19 EST', 'noopur_gupta'), ('RESOLVED', '2018-01-22 08:17:19 EST', 'noopur_gupta'), ('REOPENED', '2018-01-23 18:32:00 EST', 'akurtakov'), ('---', '2018-01-23 18:32:00 EST', 'akurtakov'), ('akurtakov', '2018-01-23 18:32:00 EST', 'akurtakov'), ('https://git.eclipse.org/c/jdt/eclipse.jdt.ui.git/commit/?id=5d9eb9cdd9906f6d35bcfffc0cac7f8487d18e61', '2018-01-23 19:16:36 EST', 'mateusz.matela'), ('https://git.eclipse.org/r/116012', '2018-01-25 01:35:55 EST', 'genie'), ('https://git.eclipse.org/c/www.eclipse.org/eclipse/news.git/commit/?id=efc46295f7d783504f22051f3c4dd2b1fea30ded', '2018-01-25 01:36:17 EST', 'genie'), ('FIXED', '2018-01-25 01:38:35 EST', 'noopur_gupta'), ('RESOLVED', '2018-01-25 01:38:35 EST', 'noopur_gupta'), ('https://git.eclipse.org/c/jdt/eclipse.jdt.ui.git/commit/?id=81c6f1bc2edf390bae5ade83672ec64a1903f7d0', '2018-01-25 20:20:33 EST', 'mateusz.matela'), ('https://git.eclipse.org/c/gerrit/www.eclipse.org/eclipse/news.git/commit/?id=7c13d7483ff3332a572e02ddb3a4a216aea5ef95', '2018-01-27 20:47:11 EST', 'mateusz.matela'), ('530425', '2018-01-28 16:48:45 EST', 'mateusz.matela'), ('hwaite', '2018-01-28 17:19:43 EST', 'mateusz.matela'), ('530637', '2018-02-01 17:56:33 EST', 'mateusz.matela'), ('530806', '2018-02-06 18:10:36 EST', 'mateusz.matela'), ('531156', '2018-02-14 11:19:00 EST', 'daniel_megert')]</t>
  </si>
  <si>
    <t>2015-03-25 08:10:28 EDT</t>
  </si>
  <si>
    <t>2015-03-24 12:32 EDT</t>
  </si>
  <si>
    <t>2015-03-24 12:42:07 EDT</t>
  </si>
  <si>
    <t>[('CREATED', '2015-03-24 12:32 EDT'), ('stephan.herrmann', '2015-03-24 12:42:07 EDT', 'stephan.herrmann'), ('RESOLVED', '2015-03-25 08:10:28 EDT', 'noopur_gupta'), ('noopur_gupta', '2015-03-25 08:10:28 EDT', 'noopur_gupta'), ('INVALID', '2015-03-25 08:10:28 EDT', 'noopur_gupta'), ('[pull up] A behavior preserving transformation (Pull Up Field Refactoring) is rejected', '2015-03-25 08:10:28 EDT', 'noopur_gupta')]</t>
  </si>
  <si>
    <t>2015-06-08 06:39:33 EDT</t>
  </si>
  <si>
    <t>2015-03-27 17:41 EDT</t>
  </si>
  <si>
    <t>2015-03-27 17:43:44 EDT</t>
  </si>
  <si>
    <t>[('CREATED', '2015-03-27 17:41 EDT'), ('rkhatchadourian', '2015-03-27 17:43:44 EDT', 'raffi.khatchadourian'), ('stephan.herrmann', '2015-03-27 19:31:39 EDT', 'stephan.herrmann'), ('RESOLVED', '2015-06-08 06:39:33 EDT', 'noopur_gupta'), ('noopur_gupta', '2015-06-08 06:39:33 EDT', 'noopur_gupta'), ('All', '2015-06-08 06:39:33 EDT', 'noopur_gupta'), ('WONTFIX', '2015-06-08 06:39:33 EDT', 'noopur_gupta'), ('[move method] Precondition test for move refactoring incorrectly fails', '2015-06-08 06:39:33 EDT', 'noopur_gupta'), ('All', '2015-06-08 06:39:33 EDT', 'noopur_gupta')]</t>
  </si>
  <si>
    <t>2015-03-30 11:12 EDT</t>
  </si>
  <si>
    <t>2019-04-02 10:01:17 EDT</t>
  </si>
  <si>
    <t>[('CREATED', '2015-03-30 11:12 EDT'), ('https://bugs.eclipse.org/bugs/show_bug.cgi?id=394721', '2015-03-30 11:14:16 EDT', 'noopur_gupta'), ('stalebug', '2019-04-01 14:06:23 EDT', 'genie'), (nan, '2019-04-02 10:01:17 EDT', 'daniel_megert'), ('daniel_megert', '2019-04-02 10:01:17 EDT', 'daniel_megert')]</t>
  </si>
  <si>
    <t>CLOSED  DUPLICATE  of bug 465139</t>
  </si>
  <si>
    <t>2015-04-10 03:56:27 EDT</t>
  </si>
  <si>
    <t>2015-04-22 01:18:45 EDT</t>
  </si>
  <si>
    <t>2015-04-09 14:10:49 EDT</t>
  </si>
  <si>
    <t>2015-04-02 09:33 EDT</t>
  </si>
  <si>
    <t>2015-04-02 09:34:10 EDT</t>
  </si>
  <si>
    <t>[('CREATED', '2015-04-02 09:33 EDT'), ('Eclipse CPP - In project explorer view - could not delete project', '2015-04-02 09:34:10 EDT', 'yevshif'), ('UI', '2015-04-02 10:03:33 EDT', 'arunkumar.thondapu'), ('jdt-ui-inbox', '2015-04-02 10:03:33 EDT', 'arunkumar.thondapu'), ('JDT', '2015-04-02 10:03:33 EDT', 'arunkumar.thondapu'), ('arunkumar.thondapu', '2015-04-02 10:05:47 EDT', 'arunkumar.thondapu'), ('Linux', '2015-04-02 10:05:47 EDT', 'arunkumar.thondapu'), ('daniel_megert', '2015-04-02 10:15:52 EDT', 'daniel_megert'), ('RESOLVED', '2015-04-09 06:28:13 EDT', 'daniel_megert'), ('WORKSFORME', '2015-04-09 06:28:13 EDT', 'daniel_megert'), ('REOPENED', '2015-04-09 14:10:49 EDT', 'yevshif'), ('---', '2015-04-09 14:10:49 EDT', 'yevshif'), ('RESOLVED', '2015-04-10 03:56:27 EDT', 'daniel_megert'), ('WORKSFORME', '2015-04-10 03:56:27 EDT', 'daniel_megert'), ('CLOSED', '2015-04-22 01:18:45 EDT', 'noopur_gupta'), ('noopur_gupta', '2015-04-22 01:18:45 EDT', 'noopur_gupta'), ('DUPLICATE', '2015-04-22 01:18:45 EDT', 'noopur_gupta')]</t>
  </si>
  <si>
    <t>CLOSED  DUPLICATE  of bug 435742</t>
  </si>
  <si>
    <t>463807 466244 (view as bug list)</t>
  </si>
  <si>
    <t>435742</t>
  </si>
  <si>
    <t>2015-05-12 07:45:30 EDT</t>
  </si>
  <si>
    <t>2015-04-21 15:02 EDT</t>
  </si>
  <si>
    <t>[('CREATED', '2015-04-21 15:02 EDT'), ('yevshif', '2015-04-22 01:18:45 EDT', 'noopur_gupta'), ('daniel_megert', '2015-04-22 04:28:51 EDT', 'daniel_megert'), ('needinfo', '2015-04-22 04:34:52 EDT', 'daniel_megert'), ('noopur_gupta', '2015-04-29 08:03:18 EDT', 'noopur_gupta'), ('noopur_gupta', '2015-04-29 10:21:49 EDT', 'daniel_megert'), ('4.5 RC1', '2015-04-29 10:21:49 EDT', 'daniel_megert'), ('markus_keller', '2015-04-29 12:52:14 EDT', 'markus.kell.r'), ('435742', '2015-04-30 13:52:21 EDT', 'markus.kell.r'), ('jdt-ui-inbox', '2015-04-30 13:52:21 EDT', 'markus.kell.r'), ('[GTK3][ltk] Unable to delete a project', '2015-04-30 13:52:21 EDT', 'markus.kell.r'), ('error-reports-inbox', '2015-05-04 02:03:32 EDT', 'noopur_gupta'), (nan, '2015-05-12 07:45:30 EDT', 'markus.kell.r'), ('CLOSED', '2015-05-12 07:45:30 EDT', 'markus.kell.r'), ('DUPLICATE', '2015-05-12 07:45:30 EDT', 'markus.kell.r')]</t>
  </si>
  <si>
    <t>2015-04-28 08:06 EDT</t>
  </si>
  <si>
    <t>2015-04-28 08:24:05 EDT</t>
  </si>
  <si>
    <t>[('CREATED', '2015-04-28 08:06 EDT'), ('marcel.bruch, stephan.herrmann', '2015-04-28 08:24:05 EDT', 'stephan.herrmann'), ('UI', '2015-04-28 08:24:05 EDT', 'stephan.herrmann'), ('jdt-ui-inbox', '2015-04-28 08:24:05 EDT', 'stephan.herrmann')]</t>
  </si>
  <si>
    <t>2015-05-04 02:03:32 EDT</t>
  </si>
  <si>
    <t>2015-05-04 02:02 EDT</t>
  </si>
  <si>
    <t>[('CREATED', '2015-05-04 02:02 EDT'), ('CLOSED', '2015-05-04 02:03:32 EDT', 'noopur_gupta'), ('noopur_gupta', '2015-05-04 02:03:32 EDT', 'noopur_gupta'), ('PC', '2015-05-04 02:03:32 EDT', 'noopur_gupta'), ('DUPLICATE', '2015-05-04 02:03:32 EDT', 'noopur_gupta'), ('Linux', '2015-05-04 02:03:32 EDT', 'noopur_gupta')]</t>
  </si>
  <si>
    <t>2015-07-22 09:23:51 EDT</t>
  </si>
  <si>
    <t>2015-05-04 02:05 EDT</t>
  </si>
  <si>
    <t>2015-05-04 06:41:51 EDT</t>
  </si>
  <si>
    <t>[('CREATED', '2015-05-04 02:05 EDT'), ('UI', '2015-05-04 06:41:51 EDT', 'sptaszkiewicz'), ('jdt-ui-inbox', '2015-05-04 06:41:51 EDT', 'sptaszkiewicz'), ('JDT', '2015-05-04 06:41:51 EDT', 'sptaszkiewicz'), ('szymon.ptaszkiewicz', '2015-05-04 06:41:51 EDT', 'sptaszkiewicz'), ('tobias.stensbeck.eclipse', '2015-07-07 14:31:22 EDT', 'tobias.stensbeck.eclipse'), ('daniel_megert', '2015-07-15 08:53:54 EDT', 'daniel_megert'), ('Resources', '2015-07-15 08:53:54 EDT', 'daniel_megert'), ('platform-resources-inbox', '2015-07-15 08:53:54 EDT', 'daniel_megert'), ('Platform', '2015-07-15 08:53:54 EDT', 'daniel_megert'), ('UI', '2015-07-15 09:06:43 EDT', 'sptaszkiewicz'), ('jdt-ui-inbox', '2015-07-15 09:06:43 EDT', 'sptaszkiewicz'), ('JDT', '2015-07-15 09:06:43 EDT', 'sptaszkiewicz'), ('Resources', '2015-07-15 10:21:01 EDT', 'daniel_megert'), ('platform-resources-inbox', '2015-07-15 10:21:01 EDT', 'daniel_megert'), ('Platform', '2015-07-15 10:21:01 EDT', 'daniel_megert'), ('JDT', '2015-07-16 06:18:58 EDT', 'sptaszkiewicz'), ('UI', '2015-07-16 06:18:58 EDT', 'sptaszkiewicz'), ('jdt-ui-inbox', '2015-07-16 06:18:58 EDT', 'sptaszkiewicz'), ('needinfo', '2015-07-22 08:53:35 EDT', 'daniel_megert'), ('P5', '2015-07-22 08:53:35 EDT', 'daniel_megert'), ('ASSIGNED', '2015-07-22 08:53:35 EDT', 'daniel_megert'), ('CLOSED', '2015-07-22 09:23:51 EDT', 'daniel_megert'), ('DUPLICATE', '2015-07-22 09:23:51 EDT', 'daniel_megert')]</t>
  </si>
  <si>
    <t>444551 (view as bug list)</t>
  </si>
  <si>
    <t>2017-08-22 06:27:58 EDT</t>
  </si>
  <si>
    <t>2017-06-08 04:10:57 EDT</t>
  </si>
  <si>
    <t>2017-06-09 10:01:00 EDT</t>
  </si>
  <si>
    <t>2015-05-05 02:39 EDT</t>
  </si>
  <si>
    <t>2016-07-22 10:08:38 EDT</t>
  </si>
  <si>
    <t>2017-08-22 06:36:40 EDT</t>
  </si>
  <si>
    <t>[('CREATED', '2015-05-05 02:39 EDT'), ('chipix', '2016-07-22 10:08:38 EDT', 'chipix'), ('mschaaf', '2016-08-12 10:51:02 EDT', 'mschaaf'), ('alexander.heavens+eclipse', '2016-08-14 10:38:26 EDT', 'alexander.heavens+eclipse'), ('heiko.selber', '2017-02-06 11:18:11 EST', 'heiko.selber'), ('dane.g87', '2017-02-06 11:31:21 EST', 'dane.g87'), ('luca.faustin', '2017-03-06 09:27:22 EST', 'luca.faustin'), ('daniel_megert', '2017-04-13 10:30:56 EDT', 'daniel_megert'), ('RESOLVED', '2017-04-13 10:31:43 EDT', 'daniel_megert'), ('WORKSFORME', '2017-04-13 10:31:43 EDT', 'daniel_megert'), ('dh_tue', '2017-04-14 04:38:42 EDT', 'dh_tue'), ('eclipse', '2017-04-18 04:37:37 EDT', 'eclipse'), ('joerg.schoenfisch', '2017-04-27 07:59:05 EDT', 'joerg776'), ('zeratul976', '2017-05-06 23:45:02 EDT', 'zeratul976'), ('needinfo', '2017-05-07 12:19:11 EDT', 'daniel_megert'), ('loskutov', '2017-05-09 06:53:48 EDT', 'loskutov'), ('siedlerkiller', '2017-05-31 10:56:25 EDT', 'siedlerkiller'), ('NOT_ECLIPSE', '2017-06-07 11:38:11 EDT', 'daniel_megert'), ('WORKSFORME', '2017-06-08 04:10:57 EDT', 'daniel_megert'), ('investigate', '2017-06-09 10:01:00 EDT', 'daniel_megert'), ('REOPENED', '2017-06-09 10:01:00 EDT', 'daniel_megert'), ('---', '2017-06-09 10:01:00 EDT', 'daniel_megert'), ('daniel_megert', '2017-06-09 10:01:00 EDT', 'daniel_megert'), ('4.7.1', '2017-06-09 10:01:00 EDT', 'daniel_megert'), ('ASSIGNED', '2017-06-09 10:01:09 EDT', 'daniel_megert'), ('https://git.eclipse.org/r/100885', '2017-07-06 22:18:19 EDT', 'genie'), ('https://git.eclipse.org/r/101023', '2017-07-11 00:47:46 EDT', 'genie'), ('needinfo', '2017-07-13 10:31:43 EDT', 'daniel_megert'), ('karsten.thoms', '2017-07-17 06:53:08 EDT', 'karsten.thoms'), ('3.8.2', '2017-08-02 03:53:55 EDT', 'loskutov'), ('noopur_gupta', '2017-08-02 04:50:30 EDT', 'noopur_gupta'), ('https://git.eclipse.org/c/jdt/eclipse.jdt.ui.git/commit/?id=bad83c43b6006c692555a917f323f2f62ff60682', '2017-08-22 05:57:34 EDT', 'genie'), (nan, '2017-08-22 06:13:11 EDT', 'daniel_megert'), ('karsten.thoms', '2017-08-22 06:13:11 EDT', 'daniel_megert'), ('RESOLVED', '2017-08-22 06:27:58 EDT', 'daniel_megert'), ('FIXED', '2017-08-22 06:27:58 EDT', 'daniel_megert'), ('marcel.bruch', '2017-08-22 06:36:40 EDT', 'daniel_megert')]</t>
  </si>
  <si>
    <t>2015-05-05 12:25:26 EDT</t>
  </si>
  <si>
    <t>2015-05-05 02:41 EDT</t>
  </si>
  <si>
    <t>2015-05-05 08:45:18 EDT</t>
  </si>
  <si>
    <t>2015-05-05 12:34:32 EDT</t>
  </si>
  <si>
    <t>[('CREATED', '2015-05-05 02:41 EDT'), ('needinfo', '2015-05-05 08:45:18 EDT', 'stephan.herrmann'), ('stephan.herrmann', '2015-05-05 08:45:18 EDT', 'stephan.herrmann'), ('marcel.bruch', '2015-05-05 08:54:33 EDT', 'marcel.bruch'), ('noopur_gupta', '2015-05-05 09:40:00 EDT', 'noopur_gupta'), ('mjmeijer', '2015-05-05 11:10:12 EDT', 'mjmeijer'), ('aclement', '2015-05-05 11:56:05 EDT', 'stephan.herrmann'), (nan, '2015-05-05 12:25:26 EDT', 'stephan.herrmann'), ('RESOLVED', '2015-05-05 12:25:26 EDT', 'stephan.herrmann'), ('NOT_ECLIPSE', '2015-05-05 12:25:26 EDT', 'stephan.herrmann'), ('stephan.herrmann', '2015-05-05 12:25:26 EDT', 'stephan.herrmann'), ('4.5 RC1', '2015-05-05 12:25:26 EDT', 'stephan.herrmann'), ('https://bugs.eclipse.org/bugs/show_bug.cgi?id=466471', '2015-05-05 12:34:32 EDT', 'stephan.herrmann')]</t>
  </si>
  <si>
    <t>CLOSED  DUPLICATE  of bug 399455</t>
  </si>
  <si>
    <t>2015-05-14 05:33:50 EDT</t>
  </si>
  <si>
    <t>2015-05-14 00:28 EDT</t>
  </si>
  <si>
    <t>[('CREATED', '2015-05-14 00:28 EDT'), ('CLOSED', '2015-05-14 05:33:50 EDT', 'daniel_megert'), ('daniel_megert', '2015-05-14 05:33:50 EDT', 'daniel_megert'), ('DUPLICATE', '2015-05-14 05:33:50 EDT', 'daniel_megert'), ('[ltk] CoreException in UndoDeleteResourceChange.perform (67)', '2015-05-14 05:33:50 EDT', 'daniel_megert')]</t>
  </si>
  <si>
    <t>2015-06-01 04:04 EDT</t>
  </si>
  <si>
    <t>2015-06-01 07:47:53 EDT</t>
  </si>
  <si>
    <t>2019-06-17 14:50:16 EDT</t>
  </si>
  <si>
    <t>[('CREATED', '2015-06-01 04:04 EDT'), ('needinfo', '2015-06-01 07:47:53 EDT', 'daniel_megert'), ('daniel_megert', '2015-06-01 07:47:53 EDT', 'daniel_megert'), ('If this happens again, please try to provide an isolated example.', '2015-06-01 07:47:53 EDT', 'daniel_megert'), ('nico.guba', '2015-07-22 10:07:49 EDT', 'nguba'), ('stalebug', '2019-06-17 14:50:16 EDT', 'genie')]</t>
  </si>
  <si>
    <t>2015-06-08 04:19:30 EDT</t>
  </si>
  <si>
    <t>2015-06-08 02:57 EDT</t>
  </si>
  <si>
    <t>[('CREATED', '2015-06-08 02:57 EDT'), ('[pull up] AssertionFailedException in TypeVariableUtil.signaturesToParameters (313)', '2015-06-08 04:19:30 EDT', 'noopur_gupta'), ('Please provide steps and an example to reproduce this issue.', '2015-06-08 04:19:30 EDT', 'noopur_gupta'), ('needinfo', '2015-06-08 04:19:30 EDT', 'noopur_gupta'), ('RESOLVED', '2015-06-08 04:19:30 EDT', 'noopur_gupta'), ('noopur_gupta', '2015-06-08 04:19:30 EDT', 'noopur_gupta'), ('WORKSFORME', '2015-06-08 04:19:30 EDT', 'noopur_gupta')]</t>
  </si>
  <si>
    <t>2015-07-14 02:33:41 EDT</t>
  </si>
  <si>
    <t>2015-06-16 15:25 EDT</t>
  </si>
  <si>
    <t>2015-06-16 15:26:23 EDT</t>
  </si>
  <si>
    <t>[('CREATED', '2015-06-16 15:25 EDT'), ('https://git.eclipse.org/r/50298', '2015-06-16 15:26:23 EDT', 'genie'), ('lars.vogel', '2015-06-16 15:26:31 EDT', 'Lars.Vogel'), ('4.6', '2015-06-16 15:26:31 EDT', 'Lars.Vogel'), ('4.6 M1', '2015-07-11 23:22:43 EDT', 'Lars.Vogel'), ('RESOLVED', '2015-07-14 02:33:41 EDT', 'noopur_gupta'), ('noopur_gupta', '2015-07-14 02:33:41 EDT', 'noopur_gupta'), ('FIXED', '2015-07-14 02:33:41 EDT', 'noopur_gupta')]</t>
  </si>
  <si>
    <t>CLOSED  DUPLICATE  of bug 439874</t>
  </si>
  <si>
    <t>2015-06-30 10:43:03 EDT</t>
  </si>
  <si>
    <t>2015-06-16 17:22 EDT</t>
  </si>
  <si>
    <t>2015-06-16 17:23:54 EDT</t>
  </si>
  <si>
    <t>[('CREATED', '2015-06-16 17:22 EDT'), ('https://git.eclipse.org/r/50303', '2015-06-16 17:23:54 EDT', 'genie'), ('lars.vogel', '2015-06-16 17:25:51 EDT', 'Lars.Vogel'), ('lars.vogel', '2015-06-16 17:25:51 EDT', 'Lars.Vogel'), ('4.6', '2015-06-16 17:25:51 EDT', 'Lars.Vogel'), ('gabor', '2015-06-16 17:26:18 EDT', 'Lars.Vogel'), ('CLOSED', '2015-06-30 10:43:03 EDT', 'markus.kell.r'), ('markus_keller', '2015-06-30 10:43:03 EDT', 'markus.kell.r'), ('DUPLICATE', '2015-06-30 10:43:03 EDT', 'markus.kell.r')]</t>
  </si>
  <si>
    <t>CLOSED  DUPLICATE  of bug 95991</t>
  </si>
  <si>
    <t>2015-06-29 12:10 EDT</t>
  </si>
  <si>
    <t>[('CREATED', '2015-06-29 12:10 EDT'), ('CLOSED', '2015-06-30 03:24:49 EDT', 'noopur_gupta'), ('noopur_gupta', '2015-06-30 03:24:49 EDT', 'noopur_gupta'), ('DUPLICATE', '2015-06-30 03:24:49 EDT', 'noopur_gupta')]</t>
  </si>
  <si>
    <t>454959</t>
  </si>
  <si>
    <t>2015-09-02 11:26:57 EDT</t>
  </si>
  <si>
    <t>2015-07-02 04:23 EDT</t>
  </si>
  <si>
    <t>2015-07-02 05:14:50 EDT</t>
  </si>
  <si>
    <t>[('CREATED', '2015-07-02 04:23 EDT'), ('jarthana', '2015-07-02 05:14:50 EDT', 'jarthana'), ('UI', '2015-07-02 05:14:50 EDT', 'jarthana'), ('jdt-ui-inbox', '2015-07-02 05:14:50 EDT', 'jarthana'), ('daniel_megert', '2015-07-15 08:05:23 EDT', 'daniel_megert'), ('needinfo', '2015-07-15 08:05:23 EDT', 'daniel_megert'), ('noopur_gupta', '2015-07-21 06:14:38 EDT', 'daniel_megert'), (nan, '2015-08-11 07:48:41 EDT', 'daniel_megert'), ('4.5.1', '2015-08-11 07:48:41 EDT', 'daniel_megert'), ('major', '2015-08-11 07:48:41 EDT', 'daniel_megert'), ('sravankumarl', '2015-08-12 08:53:53 EDT', 'noopur_gupta'), ('szymon.ptaszkiewicz', '2015-08-25 10:40:15 EDT', 'daniel_megert'), ('Components', '2015-08-31 06:25:44 EDT', 'jarthana'), ('4.5.0 Mars', '2015-08-31 06:25:44 EDT', 'jarthana'), ('equinox.components-inbox', '2015-08-31 06:25:44 EDT', 'jarthana'), ('Equinox', '2015-08-31 06:25:44 EDT', 'jarthana'), ('Mars SR1', '2015-08-31 06:25:44 EDT', 'jarthana'), ('454959', '2015-08-31 07:34:13 EDT', 'daniel_megert'), ('markus_keller', '2015-08-31 07:34:29 EDT', 'daniel_megert'), ('john_arthorne', '2015-08-31 07:34:43 EDT', 'daniel_megert'), ('eclipse.sprigogin', '2015-08-31 09:46:05 EDT', 'eclipse.sprigogin'), ('UI', '2015-08-31 10:57:32 EDT', 'markus.kell.r'), ('4.5', '2015-08-31 10:57:32 EDT', 'markus.kell.r'), ('jdt-ui-inbox', '2015-08-31 10:57:32 EDT', 'markus.kell.r'), ('JDT', '2015-08-31 10:57:32 EDT', 'markus.kell.r'), ('4.5.1', '2015-08-31 10:57:32 EDT', 'markus.kell.r'), ('sravankumarl', '2015-08-31 12:19:09 EDT', 'markus.kell.r'), ('marc-andre.laperle', '2015-08-31 13:28:13 EDT', 'malaperle'), ('1', '2015-09-02 08:39:57 EDT', 'sravankumarl'), ('1', '2015-09-02 08:39:57 EDT', 'sravankumarl'), ('1', '2015-09-02 08:39:57 EDT', 'sravankumarl'), ('4.5.2', '2015-09-02 09:02:00 EDT', 'markus.kell.r'), ('RESOLVED', '2015-09-02 11:26:57 EDT', 'markus.kell.r'), ('WORKSFORME', '2015-09-02 11:26:57 EDT', 'markus.kell.r'), ('jdt-ui-inbox', '2015-09-02 11:26:57 EDT', 'markus.kell.r'), ('---', '2015-09-02 11:26:57 EDT', 'markus.kell.r')]</t>
  </si>
  <si>
    <t>CLOSED  DUPLICATE  of bug 355327</t>
  </si>
  <si>
    <t>2015-08-05 08:22:17 EDT</t>
  </si>
  <si>
    <t>2015-07-06 13:20 EDT</t>
  </si>
  <si>
    <t>2015-07-06 13:32:06 EDT</t>
  </si>
  <si>
    <t>[('CREATED', '2015-07-06 13:20 EDT'), ('loskutov', '2015-07-06 13:32:06 EDT', 'loskutov'), ('Core', '2015-07-06 13:32:06 EDT', 'loskutov'), ('jdt-core-inbox', '2015-07-06 13:32:06 EDT', 'loskutov'), ('JDT', '2015-07-06 13:32:06 EDT', 'loskutov'), ('stephan.herrmann', '2015-07-06 15:39:49 EDT', 'stephan.herrmann'), ('UI', '2015-07-06 15:39:49 EDT', 'stephan.herrmann'), ('jdt-ui-inbox', '2015-07-06 15:39:49 EDT', 'stephan.herrmann'), ('noopur_gupta', '2015-08-05 08:22:17 EDT', 'noopur_gupta'), ('All', '2015-08-05 08:22:17 EDT', 'noopur_gupta'), ('DUPLICATE', '2015-08-05 08:22:17 EDT', 'noopur_gupta'), ('[pull up] Pull Up Field removes a field', '2015-08-05 08:22:17 EDT', 'noopur_gupta'), ('All', '2015-08-05 08:22:17 EDT', 'noopur_gupta'), ('CLOSED', '2015-08-05 08:22:17 EDT', 'noopur_gupta')]</t>
  </si>
  <si>
    <t>2020-05-11 12:34:58 EDT</t>
  </si>
  <si>
    <t>2015-07-06 13:26 EDT</t>
  </si>
  <si>
    <t>2015-07-06 13:31:32 EDT</t>
  </si>
  <si>
    <t>[('CREATED', '2015-07-06 13:26 EDT'), ('JDT', '2015-07-06 13:31:32 EDT', 'loskutov'), ('loskutov', '2015-07-06 13:31:32 EDT', 'loskutov'), ('Core', '2015-07-06 13:31:32 EDT', 'loskutov'), ('jdt-core-inbox', '2015-07-06 13:31:32 EDT', 'loskutov'), ('stephan.herrmann', '2015-07-06 15:39:14 EDT', 'stephan.herrmann'), ('UI', '2015-07-06 15:39:14 EDT', 'stephan.herrmann'), ('jdt-ui-inbox', '2015-07-06 15:39:14 EDT', 'stephan.herrmann'), ('CLOSED', '2020-05-11 12:34:58 EDT', 'genie'), ('stalebug', '2020-05-11 12:34:58 EDT', 'genie'), ('WONTFIX', '2020-05-11 12:34:58 EDT', 'genie')]</t>
  </si>
  <si>
    <t>2015-07-08 04:37:53 EDT</t>
  </si>
  <si>
    <t>2015-07-06 13:30 EDT</t>
  </si>
  <si>
    <t>2015-07-06 13:30:57 EDT</t>
  </si>
  <si>
    <t>[('CREATED', '2015-07-06 13:30 EDT'), ('loskutov', '2015-07-06 13:30:57 EDT', 'loskutov'), ('Core', '2015-07-06 13:30:57 EDT', 'loskutov'), ('jdt-core-inbox', '2015-07-06 13:30:57 EDT', 'loskutov'), ('JDT', '2015-07-06 13:30:57 EDT', 'loskutov'), ('stephan.herrmann', '2015-07-06 15:38:25 EDT', 'stephan.herrmann'), ('UI', '2015-07-06 15:38:25 EDT', 'stephan.herrmann'), ('jdt-ui-inbox', '2015-07-06 15:38:25 EDT', 'stephan.herrmann'), (nan, '2015-07-07 18:18:35 EDT', 'loskutov'), ('CLOSED', '2015-07-08 04:37:53 EDT', 'noopur_gupta'), ('noopur_gupta', '2015-07-08 04:37:53 EDT', 'noopur_gupta'), ('INVALID', '2015-07-08 04:37:53 EDT', 'noopur_gupta')]</t>
  </si>
  <si>
    <t>2015-07-08 04:17:25 EDT</t>
  </si>
  <si>
    <t>2015-07-06 13:34 EDT</t>
  </si>
  <si>
    <t>2015-07-06 13:36:02 EDT</t>
  </si>
  <si>
    <t>[('CREATED', '2015-07-06 13:34 EDT'), ('loskutov', '2015-07-06 13:36:02 EDT', 'loskutov'), ('Core', '2015-07-06 13:36:02 EDT', 'loskutov'), ('jdt-core-inbox', '2015-07-06 13:36:02 EDT', 'loskutov'), ('JDT', '2015-07-06 13:36:02 EDT', 'loskutov'), ('jdt-ui-inbox', '2015-07-06 15:40:44 EDT', 'stephan.herrmann'), ('stephan.herrmann', '2015-07-06 15:40:44 EDT', 'stephan.herrmann'), ('UI', '2015-07-06 15:40:44 EDT', 'stephan.herrmann'), (nan, '2015-07-07 18:32:29 EDT', 'loskutov'), ('CLOSED', '2015-07-08 04:17:25 EDT', 'noopur_gupta'), ('noopur_gupta', '2015-07-08 04:17:25 EDT', 'noopur_gupta'), ('INVALID', '2015-07-08 04:17:25 EDT', 'noopur_gupta')]</t>
  </si>
  <si>
    <t>2015-07-08 05:03:41 EDT</t>
  </si>
  <si>
    <t>2015-07-06 13:41 EDT</t>
  </si>
  <si>
    <t>2015-07-06 13:42:43 EDT</t>
  </si>
  <si>
    <t>[('CREATED', '2015-07-06 13:41 EDT'), ('loskutov', '2015-07-06 13:42:43 EDT', 'loskutov'), ('Core', '2015-07-06 13:42:43 EDT', 'loskutov'), ('jdt-core-inbox', '2015-07-06 13:42:43 EDT', 'loskutov'), ('JDT', '2015-07-06 13:42:43 EDT', 'loskutov'), ('jdt-ui-inbox', '2015-07-06 15:41:38 EDT', 'stephan.herrmann'), ('stephan.herrmann', '2015-07-06 15:41:38 EDT', 'stephan.herrmann'), ('UI', '2015-07-06 15:41:38 EDT', 'stephan.herrmann'), ('RESOLVED', '2015-07-08 05:03:41 EDT', 'noopur_gupta'), ('noopur_gupta', '2015-07-08 05:03:41 EDT', 'noopur_gupta'), ('WORKSFORME', '2015-07-08 05:03:41 EDT', 'noopur_gupta')]</t>
  </si>
  <si>
    <t>2015-07-08 04:21:32 EDT</t>
  </si>
  <si>
    <t>2015-07-06 13:48 EDT</t>
  </si>
  <si>
    <t>2015-07-06 14:03:57 EDT</t>
  </si>
  <si>
    <t>[('CREATED', '2015-07-06 13:48 EDT'), ('loskutov', '2015-07-06 14:03:57 EDT', 'loskutov'), ('Core', '2015-07-06 14:03:57 EDT', 'loskutov'), ('jdt-core-inbox', '2015-07-06 14:03:57 EDT', 'loskutov'), ('JDT', '2015-07-06 14:03:57 EDT', 'loskutov'), ('stephan.herrmann', '2015-07-06 15:43:35 EDT', 'stephan.herrmann'), ('UI', '2015-07-06 15:43:35 EDT', 'stephan.herrmann'), ('jdt-ui-inbox', '2015-07-06 15:43:35 EDT', 'stephan.herrmann'), (nan, '2015-07-08 00:43:21 EDT', 'loskutov'), ('CLOSED', '2015-07-08 04:21:32 EDT', 'noopur_gupta'), ('noopur_gupta', '2015-07-08 04:21:32 EDT', 'noopur_gupta'), ('INVALID', '2015-07-08 04:21:32 EDT', 'noopur_gupta')]</t>
  </si>
  <si>
    <t>2015-07-08 04:30:34 EDT</t>
  </si>
  <si>
    <t>2015-07-06 14:00 EDT</t>
  </si>
  <si>
    <t>2015-07-06 14:05:12 EDT</t>
  </si>
  <si>
    <t>[('CREATED', '2015-07-06 14:00 EDT'), ('loskutov', '2015-07-06 14:05:12 EDT', 'loskutov'), ('Core', '2015-07-06 14:05:12 EDT', 'loskutov'), ('jdt-core-inbox', '2015-07-06 14:05:12 EDT', 'loskutov'), ('JDT', '2015-07-06 14:05:12 EDT', 'loskutov'), ('UI', '2015-07-06 15:44:12 EDT', 'stephan.herrmann'), ('jdt-ui-inbox', '2015-07-06 15:44:12 EDT', 'stephan.herrmann'), ('stephan.herrmann', '2015-07-06 15:44:12 EDT', 'stephan.herrmann'), (nan, '2015-07-08 00:41:44 EDT', 'loskutov'), ('CLOSED', '2015-07-08 04:30:34 EDT', 'noopur_gupta'), ('noopur_gupta', '2015-07-08 04:30:34 EDT', 'noopur_gupta'), ('INVALID', '2015-07-08 04:30:34 EDT', 'noopur_gupta')]</t>
  </si>
  <si>
    <t>2020-03-02 11:47:08 EST</t>
  </si>
  <si>
    <t>2015-07-13 08:19 EDT</t>
  </si>
  <si>
    <t>2015-07-13 08:19:54 EDT</t>
  </si>
  <si>
    <t>[('CREATED', '2015-07-13 08:19 EDT'), ('ASSIGNED', '2015-07-13 08:19:54 EDT', 'markus.kell.r'), ('4.6', '2015-07-13 08:19:54 EDT', 'markus.kell.r'), ('All', '2015-11-29 21:23:59 EST', 'markus.kell.r'), ('bugday, helpwanted', '2015-11-29 21:23:59 EST', 'markus.kell.r'), ('All', '2015-11-29 21:23:59 EST', 'markus.kell.r'), ('4.6 M5', '2015-11-29 21:23:59 EST', 'markus.kell.r'), ('markus_keller', '2016-01-21 04:41:07 EST', 'markus.kell.r'), ('noopur_gupta', '2016-01-21 04:41:07 EST', 'markus.kell.r'), ('daniel_megert', '2016-01-21 12:50:42 EST', 'daniel_megert'), ('4.6 M6', '2016-01-22 09:45:58 EST', 'noopur_gupta'), ('4.6 M7', '2016-03-15 16:35:00 EDT', 'noopur_gupta'), ('4.7', '2016-04-25 02:19:28 EDT', 'noopur_gupta'), ('https://bugs.eclipse.org/bugs/show_bug.cgi?id=506243', '2016-10-20 02:54:01 EDT', 'noopur_gupta'), ('4.8', '2017-05-19 06:07:02 EDT', 'noopur_gupta'), ('---', '2018-02-08 07:36:52 EST', 'noopur_gupta'), ('jdt-ui-inbox', '2018-02-08 07:36:52 EST', 'noopur_gupta'), ('noopur_gupta', '2018-02-08 07:36:52 EST', 'noopur_gupta'), ('CLOSED', '2020-03-02 11:47:08 EST', 'genie'), ('stalebug', '2020-03-02 11:47:08 EST', 'genie'), ('WONTFIX', '2020-03-02 11:47:08 EST', 'genie')]</t>
  </si>
  <si>
    <t>2020-04-27 12:56:10 EDT</t>
  </si>
  <si>
    <t>2020-05-02 18:28:35 EDT</t>
  </si>
  <si>
    <t>2015-07-16 10:44 EDT</t>
  </si>
  <si>
    <t>2015-07-20 13:18:02 EDT</t>
  </si>
  <si>
    <t>[('CREATED', '2015-07-16 10:44 EDT'), ('ASSIGNED', '2015-07-20 13:18:02 EDT', 'noopur_gupta'), ('noopur_gupta', '2015-07-20 13:18:02 EDT', 'noopur_gupta'), ('All', '2015-07-20 13:18:02 EDT', 'noopur_gupta'), ("[1.8][inline] Refactor static inline method doesn't check for method references", '2015-07-20 13:18:02 EDT', 'noopur_gupta'), ('WONTFIX', '2020-04-27 12:56:10 EDT', 'genie'), ('stalebug', '2020-04-27 12:56:10 EDT', 'genie'), ('CLOSED', '2020-04-27 12:56:10 EDT', 'genie'), ('t.orf', '2020-05-01 10:41:24 EDT', 't.orf'), ('---', '2020-05-02 18:28:35 EDT', 'alex.blewitt'), ('REOPENED', '2020-05-02 18:28:35 EDT', 'alex.blewitt')]</t>
  </si>
  <si>
    <t>99622</t>
  </si>
  <si>
    <t>2015-07-20 01:28 EDT</t>
  </si>
  <si>
    <t>2016-02-23 09:48:14 EST</t>
  </si>
  <si>
    <t>2019-12-22 09:01:23 EST</t>
  </si>
  <si>
    <t>[('CREATED', '2015-07-20 01:28 EDT'), ('gautier.desaintmartinlacaze', '2016-02-23 09:48:14 EST', 'gautier.desaintmartinlacaze'), ('UI', '2016-09-14 03:22:29 EDT', 'clovis.seragiotto'), ('4.6', '2016-09-14 03:22:41 EDT', 'clovis.seragiotto'), ('jdt-ui-inbox', '2016-09-14 11:48:09 EDT', 'markus.kell.r'), ('ASSIGNED', '2016-09-14 11:48:09 EDT', 'markus.kell.r'), ('markus_keller', '2016-09-14 11:48:09 EDT', 'markus.kell.r'), ('99622', '2016-09-14 11:48:09 EDT', 'markus.kell.r'), ('stalebug', '2019-12-21 19:35:52 EST', 'genie'), (nan, '2019-12-22 09:01:23 EST', 'daniel_megert'), ('daniel_megert', '2019-12-22 09:01:23 EST', 'daniel_megert')]</t>
  </si>
  <si>
    <t>2015-07-23 02:37 EDT</t>
  </si>
  <si>
    <t>2015-07-23 02:37:12 EDT</t>
  </si>
  <si>
    <t>2019-09-03 04:16:13 EDT</t>
  </si>
  <si>
    <t>[('CREATED', '2015-07-23 02:37 EDT'), ('noopur_gupta', '2015-07-23 02:37:12 EDT', 'error-reports-inbox'), ('needinfo', '2015-07-23 02:39:26 EDT', 'noopur_gupta'), ('ASSIGNED', '2015-07-23 02:39:26 EDT', 'noopur_gupta'), ('[extract interface] NullPointerException in SuperTypeConstraintsModel.createMethodParameterVariable (409)', '2015-07-23 02:39:26 EDT', 'noopur_gupta'), ('Please provide steps and an example to reproduce this issue.', '2015-07-23 02:39:26 EDT', 'noopur_gupta'), ('rsteiger', '2015-07-26 20:46:31 EDT', 'rsteiger'), ('daniel_megert', '2015-07-27 07:34:39 EDT', 'daniel_megert'), ('noopur_gupta', '2015-07-30 05:23:50 EDT', 'daniel_megert'), ('jdt-ui-inbox', '2015-08-04 08:49:21 EDT', 'noopur_gupta'), ('stalebug', '2019-09-03 04:16:13 EDT', 'genie')]</t>
  </si>
  <si>
    <t>2015-08-05 05:38:02 EDT</t>
  </si>
  <si>
    <t>2015-07-27 08:23 EDT</t>
  </si>
  <si>
    <t>2015-07-28 10:09:50 EDT</t>
  </si>
  <si>
    <t>[('CREATED', '2015-07-27 08:23 EDT'), ('stephan.herrmann', '2015-07-28 10:09:50 EDT', 'stephan.herrmann'), ('RESOLVED', '2015-08-05 05:38:02 EDT', 'noopur_gupta'), ('noopur_gupta', '2015-08-05 05:38:02 EDT', 'noopur_gupta'), ('WORKSFORME', '2015-08-05 05:38:02 EDT', 'noopur_gupta')]</t>
  </si>
  <si>
    <t>2020-04-26 14:26:09 EDT</t>
  </si>
  <si>
    <t>2015-07-27 08:32 EDT</t>
  </si>
  <si>
    <t>2015-08-05 07:34:19 EDT</t>
  </si>
  <si>
    <t>[('CREATED', '2015-07-27 08:32 EDT'), ('3.8.1', '2015-08-05 07:34:19 EDT', 'noopur_gupta'), ('All', '2015-08-05 07:34:19 EDT', 'noopur_gupta'), ('ASSIGNED', '2015-08-05 07:34:19 EDT', 'noopur_gupta'), ('noopur_gupta', '2015-08-05 07:34:19 EDT', 'noopur_gupta'), ('All', '2015-08-05 07:34:19 EDT', 'noopur_gupta'), ('[pull up] "Create necessary methods stubs..." not enabled while pulling up method to abstract class', '2015-08-05 07:37:14 EDT', 'noopur_gupta'), ('WONTFIX', '2020-04-26 14:26:09 EDT', 'genie'), ('CLOSED', '2020-04-26 14:26:09 EDT', 'genie'), ('stalebug', '2020-04-26 14:26:09 EDT', 'genie')]</t>
  </si>
  <si>
    <t>2015-08-05 06:58:53 EDT</t>
  </si>
  <si>
    <t>2020-02-09 17:08:44 EST</t>
  </si>
  <si>
    <t>2015-08-18 08:12:31 EDT</t>
  </si>
  <si>
    <t>2015-07-27 08:43 EDT</t>
  </si>
  <si>
    <t>[('CREATED', '2015-07-27 08:43 EDT'), ('RESOLVED', '2015-08-05 06:58:53 EDT', 'noopur_gupta'), ('noopur_gupta', '2015-08-05 06:58:53 EDT', 'noopur_gupta'), ('INVALID', '2015-08-05 06:58:53 EDT', 'noopur_gupta'), ('REOPENED', '2015-08-18 08:12:31 EDT', 'noopur_gupta'), ('---', '2015-08-18 08:12:31 EDT', 'noopur_gupta'), ('All', '2015-08-18 08:13:03 EDT', 'noopur_gupta'), ('P5', '2015-08-18 08:13:03 EDT', 'noopur_gupta'), ('ASSIGNED', '2015-08-18 08:13:03 EDT', 'noopur_gupta'), ('All', '2015-08-18 08:13:03 EDT', 'noopur_gupta'), ('stalebug', '2020-02-09 17:08:44 EST', 'genie'), ('CLOSED', '2020-02-09 17:08:44 EST', 'genie'), ('WONTFIX', '2020-02-09 17:08:44 EST', 'genie')]</t>
  </si>
  <si>
    <t>2015-08-05 06:55:27 EDT</t>
  </si>
  <si>
    <t>2015-07-27 08:54 EDT</t>
  </si>
  <si>
    <t>[('CREATED', '2015-07-27 08:54 EDT'), ('RESOLVED', '2015-08-05 06:55:27 EDT', 'noopur_gupta'), ('noopur_gupta', '2015-08-05 06:55:27 EDT', 'noopur_gupta'), ('INVALID', '2015-08-05 06:55:27 EDT', 'noopur_gupta')]</t>
  </si>
  <si>
    <t>CLOSED  DUPLICATE  of bug 444354</t>
  </si>
  <si>
    <t>2015-08-05 04:55:53 EDT</t>
  </si>
  <si>
    <t>2015-07-27 09:01 EDT</t>
  </si>
  <si>
    <t>[('CREATED', '2015-07-27 09:01 EDT'), ('CLOSED', '2015-08-05 04:55:53 EDT', 'noopur_gupta'), ('noopur_gupta', '2015-08-05 04:55:53 EDT', 'noopur_gupta'), ('DUPLICATE', '2015-08-05 04:55:53 EDT', 'noopur_gupta')]</t>
  </si>
  <si>
    <t>2015-07-29 14:06:22 EDT</t>
  </si>
  <si>
    <t>2015-07-29 12:56 EDT</t>
  </si>
  <si>
    <t>2015-07-29 12:56:54 EDT</t>
  </si>
  <si>
    <t>[('CREATED', '2015-07-29 12:56 EDT'), ('https://git.eclipse.org/r/52812', '2015-07-29 12:56:54 EDT', 'genie'), ('https://git.eclipse.org/c/jdt/eclipse.jdt.ui.git/commit/?id=3857cd1329572b81ad0ea92469dcde73b8c3d2ca', '2015-07-29 14:05:58 EDT', 'genie'), ('markus_keller', '2015-07-29 14:06:22 EDT', 'markus.kell.r'), ('FIXED', '2015-07-29 14:06:22 EDT', 'markus.kell.r'), ('markus_keller', '2015-07-29 14:06:22 EDT', 'markus.kell.r'), ('4.6 M1', '2015-07-29 14:06:22 EDT', 'markus.kell.r'), ('RESOLVED', '2015-07-29 14:06:22 EDT', 'markus.kell.r')]</t>
  </si>
  <si>
    <t>2015-08-05 04:27:22 EDT</t>
  </si>
  <si>
    <t>2015-07-30 08:54 EDT</t>
  </si>
  <si>
    <t>[('CREATED', '2015-07-30 08:54 EDT'), ('RESOLVED', '2015-08-05 04:27:22 EDT', 'noopur_gupta'), ('noopur_gupta', '2015-08-05 04:27:22 EDT', 'noopur_gupta'), ('WORKSFORME', '2015-08-05 04:27:22 EDT', 'noopur_gupta')]</t>
  </si>
  <si>
    <t>2015-07-30 09:01 EDT</t>
  </si>
  <si>
    <t>2019-12-09 09:13:39 EST</t>
  </si>
  <si>
    <t>[('CREATED', '2015-07-30 09:01 EDT'), ('stalebug', '2019-12-09 09:13:39 EST', 'genie')]</t>
  </si>
  <si>
    <t>2015-07-30 09:04 EDT</t>
  </si>
  <si>
    <t>2018-12-06 12:44:15 EST</t>
  </si>
  <si>
    <t>2020-11-30 18:14:57 EST</t>
  </si>
  <si>
    <t>[('CREATED', '2015-07-30 09:04 EDT'), ('stalebug', '2018-12-06 12:44:15 EST', 'genie'), ('[refactoring] Remove Method Parameter Refactoring results in compilation error', '2018-12-10 12:14:24 EST', 'daniel_megert'), (nan, '2018-12-10 12:14:24 EST', 'daniel_megert'), ('All', '2018-12-10 12:14:24 EST', 'daniel_megert'), ('All', '2018-12-10 12:14:24 EST', 'daniel_megert'), ('daniel_megert', '2018-12-10 12:14:24 EST', 'daniel_megert'), ('ASSIGNED', '2018-12-10 12:14:30 EST', 'daniel_megert'), ('"stalebug"', '2020-11-30 05:29:45 EST', 'genie'), ('jjohnstn', '2020-11-30 18:14:57 EST', 'jjohnstn')]</t>
  </si>
  <si>
    <t>2015-08-05 04:19:42 EDT</t>
  </si>
  <si>
    <t>2015-07-30 09:06 EDT</t>
  </si>
  <si>
    <t>[('CREATED', '2015-07-30 09:06 EDT'), ('noopur_gupta', '2015-08-05 04:19:42 EDT', 'noopur_gupta'), ('WORKSFORME', '2015-08-05 04:19:42 EDT', 'noopur_gupta'), ('RESOLVED', '2015-08-05 04:19:42 EDT', 'noopur_gupta')]</t>
  </si>
  <si>
    <t>CLOSED  DUPLICATE  of bug 37068</t>
  </si>
  <si>
    <t>2015-07-30 09:08 EDT</t>
  </si>
  <si>
    <t>[('CREATED', '2015-07-30 09:08 EDT'), ('CLOSED', '2015-08-05 04:42:29 EDT', 'noopur_gupta'), ('noopur_gupta', '2015-08-05 04:42:29 EDT', 'noopur_gupta'), ('DUPLICATE', '2015-08-05 04:42:29 EDT', 'noopur_gupta')]</t>
  </si>
  <si>
    <t>CLOSED  DUPLICATE  of bug 428965</t>
  </si>
  <si>
    <t>2015-08-05 05:50:45 EDT</t>
  </si>
  <si>
    <t>2015-07-30 09:09 EDT</t>
  </si>
  <si>
    <t>[('CREATED', '2015-07-30 09:09 EDT'), ('noopur_gupta', '2015-08-05 05:50:45 EDT', 'noopur_gupta'), ('DUPLICATE', '2015-08-05 05:50:45 EDT', 'noopur_gupta'), ('CLOSED', '2015-08-05 05:50:45 EDT', 'noopur_gupta')]</t>
  </si>
  <si>
    <t>2015-08-07 15:56 EDT</t>
  </si>
  <si>
    <t>2019-11-24 04:45:21 EST</t>
  </si>
  <si>
    <t>[('CREATED', '2015-08-07 15:56 EDT'), ('stalebug', '2019-11-24 04:45:21 EST', 'genie')]</t>
  </si>
  <si>
    <t>2020-07-11 20:42:13 EDT</t>
  </si>
  <si>
    <t>2015-08-18 04:38 EDT</t>
  </si>
  <si>
    <t>2015-08-18 05:24:43 EDT</t>
  </si>
  <si>
    <t>[('CREATED', '2015-08-18 04:38 EDT'), ('jarthana', '2015-08-18 05:24:43 EDT', 'jarthana'), ('UI', '2015-08-18 05:24:43 EDT', 'jarthana'), ('jdt-ui-inbox', '2015-08-18 05:24:43 EDT', 'jarthana'), ('manpalat', '2015-08-18 05:25:21 EDT', 'manpalat'), ('stalebug', '2020-07-11 16:21:09 EDT', 'genie'), ('WORKSFORME', '2020-07-11 20:42:13 EDT', 'jjohnstn'), ('CLOSED', '2020-07-11 20:42:13 EDT', 'jjohnstn'), ('jjohnstn', '2020-07-11 20:42:13 EDT', 'jjohnstn')]</t>
  </si>
  <si>
    <t>2015-08-20 17:34 EDT</t>
  </si>
  <si>
    <t>2019-11-28 14:51:24 EST</t>
  </si>
  <si>
    <t>[('CREATED', '2015-08-20 17:34 EDT'), ('stalebug', '2019-11-28 14:51:24 EST', 'genie')]</t>
  </si>
  <si>
    <t>2016-04-04 04:41:50 EDT</t>
  </si>
  <si>
    <t>2015-08-27 09:00 EDT</t>
  </si>
  <si>
    <t>2015-08-27 12:39:07 EDT</t>
  </si>
  <si>
    <t>2016-04-05 19:38:15 EDT</t>
  </si>
  <si>
    <t>psuzzi</t>
  </si>
  <si>
    <t>[('CREATED', '2015-08-27 09:00 EDT'), ('scela', '2015-08-27 12:39:07 EDT', 'scela'), ('kalyan_prasad', '2016-04-04 03:01:58 EDT', 'kalyan_prasad'), ('UI', '2016-04-04 03:01:58 EDT', 'kalyan_prasad'), ('jdt-ui-inbox', '2016-04-04 03:01:58 EDT', 'kalyan_prasad'), ('JDT', '2016-04-04 03:01:58 EDT', 'kalyan_prasad'), ('needinfo', '2016-04-04 04:25:24 EDT', 'noopur_gupta'), ('noopur_gupta', '2016-04-04 04:25:24 EDT', 'noopur_gupta'), ('normal', '2016-04-04 04:25:24 EDT', 'noopur_gupta'), ('RESOLVED', '2016-04-04 04:41:50 EDT', 'daniel_megert'), ('daniel_megert', '2016-04-04 04:41:50 EDT', 'daniel_megert'), ('WORKSFORME', '2016-04-04 04:41:50 EDT', 'daniel_megert'), ('critical', '2016-04-04 04:41:50 EDT', 'daniel_megert'), ('psuzzi', '2016-04-05 19:38:15 EDT', 'psuzzi')]</t>
  </si>
  <si>
    <t>2020-03-07 09:39:36 EST</t>
  </si>
  <si>
    <t>2015-08-31 13:54 EDT</t>
  </si>
  <si>
    <t>[('CREATED', '2015-08-31 13:54 EDT'), ('stalebug', '2020-03-07 09:39:36 EST', 'genie'), ('WONTFIX', '2020-03-07 09:39:36 EST', 'genie'), ('CLOSED', '2020-03-07 09:39:36 EST', 'genie')]</t>
  </si>
  <si>
    <t>2015-09-01 07:41 EDT</t>
  </si>
  <si>
    <t>2018-12-21 15:07:56 EST</t>
  </si>
  <si>
    <t>[('CREATED', '2015-09-01 07:41 EDT'), ('stalebug', '2018-12-21 15:07:56 EST', 'genie')]</t>
  </si>
  <si>
    <t>26752 368527</t>
  </si>
  <si>
    <t>2015-09-14 05:21 EDT</t>
  </si>
  <si>
    <t>2015-09-14 05:22:53 EDT</t>
  </si>
  <si>
    <t>2018-08-24 07:41:34 EDT</t>
  </si>
  <si>
    <t>[('CREATED', '2015-09-14 05:21 EDT'), ('manpalat', '2015-09-14 05:22:53 EDT', 'sarika.sinha'), ("[search] No way to search all the usage of a class or it's inherited classes", '2015-10-22 10:57:45 EDT', 'daniel_megert'), ('All', '2015-10-22 10:57:45 EDT', 'daniel_megert'), ('daniel_megert', '2015-10-22 10:57:45 EDT', 'daniel_megert'), ('All', '2015-10-22 10:57:45 EDT', 'daniel_megert'), ('sarika.sinha', '2015-10-23 08:59:35 EDT', 'daniel_megert'), ('ASSIGNED', '2015-12-17 05:21:53 EST', 'sarika.sinha'), ('4.6 M5', '2015-12-17 05:21:53 EST', 'sarika.sinha'), ('gautier.desaintmartinlacaze', '2016-01-11 18:42:45 EST', 'gautier.desaintmartinlacaze'), ('noopur_gupta', '2016-01-21 04:12:07 EST', 'noopur_gupta'), ('4.6 M6', '2016-01-21 04:12:07 EST', 'noopur_gupta'), ('markus_keller', '2016-02-04 04:50:02 EST', 'markus.kell.r'), ('[search] No way to search all references to a type or its subtypes', '2016-02-09 13:24:36 EST', 'markus.kell.r'), ('4.6 M7', '2016-03-15 16:35:19 EDT', 'noopur_gupta'), ('1', '2016-04-01 06:33:09 EDT', 'sarika.sinha'), ('1', '2016-04-01 06:33:09 EDT', 'sarika.sinha'), ('review?(noopur_gupta)', '2016-04-05 04:06:24 EDT', 'sarika.sinha'), ('review-', '2016-04-06 10:27:53 EDT', 'noopur_gupta'), ('1', '2016-04-06 14:03:28 EDT', 'sarika.sinha'), ('review?(noopur_gupta)', '2016-04-06 14:03:50 EDT', 'sarika.sinha'), ('1', '2016-04-07 09:41:13 EDT', 'noopur_gupta'), ('review-', '2016-04-11 03:54:17 EDT', 'noopur_gupta'), ('https://git.eclipse.org/r/70532', '2016-04-13 02:33:02 EDT', 'genie'), ('26752, 368527', '2016-04-14 05:26:13 EDT', 'markus.kell.r'), ('pmc_approved?', '2016-04-14 12:24:07 EDT', 'sarika.sinha'), ('pmc_approved+', '2016-04-18 03:02:04 EDT', 'daniel_megert'), ('review-', '2016-04-19 05:28:02 EDT', 'noopur_gupta'), ('4.7', '2016-04-21 06:59:08 EDT', 'noopur_gupta'), ('4.8', '2017-05-10 05:48:30 EDT', 'noopur_gupta'), ('4.9', '2018-04-13 06:27:52 EDT', 'noopur_gupta'), ('---', '2018-08-24 07:41:34 EDT', 'sarika.sinha')]</t>
  </si>
  <si>
    <t>444354</t>
  </si>
  <si>
    <t>2015-09-16 08:16:17 EDT</t>
  </si>
  <si>
    <t>2015-09-16 08:13 EDT</t>
  </si>
  <si>
    <t>[('CREATED', '2015-09-16 08:13 EDT'), ('CLOSED', '2015-09-16 08:16:17 EDT', 'markus.kell.r'), ('DUPLICATE', '2015-09-16 08:16:17 EDT', 'markus.kell.r')]</t>
  </si>
  <si>
    <t>507982</t>
  </si>
  <si>
    <t>510915</t>
  </si>
  <si>
    <t>2016-12-16 07:28:28 EST</t>
  </si>
  <si>
    <t>2015-09-18 06:00 EDT</t>
  </si>
  <si>
    <t>2015-09-18 06:00:29 EDT</t>
  </si>
  <si>
    <t>2017-01-24 04:27:59 EST</t>
  </si>
  <si>
    <t>[('CREATED', '2015-09-18 06:00 EDT'), (nan, '2015-09-18 06:00:29 EDT', 'Lars.Vogel'), (nan, '2015-09-18 06:00:29 EDT', 'Lars.Vogel'), ('UI', '2015-09-18 06:00:41 EDT', 'Lars.Vogel'), ('jdt-ui-inbox', '2015-09-18 06:00:41 EDT', 'Lars.Vogel'), ('477790', '2015-09-18 06:01:33 EDT', 'Lars.Vogel'), (nan, '2015-09-18 06:01:44 EDT', 'Lars.Vogel'), ('sxenos', '2015-09-18 06:02:34 EDT', 'Lars.Vogel'), ('https://git.eclipse.org/r/57458', '2015-10-05 18:18:16 EDT', 'genie'), ('Change usage of SubProgressMonitor to SubMonitor in JDT UI', '2015-10-09 16:46:32 EDT', 'Lars.Vogel'), ('https://git.eclipse.org/r/57875', '2015-10-09 16:48:15 EDT', 'genie'), ('https://git.eclipse.org/r/57920', '2015-10-11 13:11:37 EDT', 'genie'), ('https://git.eclipse.org/r/57921', '2015-10-11 13:11:39 EDT', 'genie'), ('daniel_megert', '2015-10-20 08:35:43 EDT', 'daniel_megert'), ('507982', '2016-11-22 16:27:29 EST', 'Lars.Vogel'), ('noopur_gupta', '2016-11-24 13:13:55 EST', 'daniel_megert'), ('4.7 M5', '2016-11-24 13:13:55 EST', 'daniel_megert'), ('review?(noopur_gupta)', '2016-11-24 13:13:55 EST', 'daniel_megert'), ('FIXED', '2016-12-16 07:28:28 EST', 'noopur_gupta'), ('Lars.Vogel', '2016-12-16 07:28:28 EST', 'noopur_gupta'), ('review+', '2016-12-16 07:28:28 EST', 'noopur_gupta'), ('All', '2016-12-16 07:28:28 EST', 'noopur_gupta'), ('RESOLVED', '2016-12-16 07:28:28 EST', 'noopur_gupta'), ('markus_keller', '2016-12-16 07:28:28 EST', 'noopur_gupta'), ('All', '2016-12-16 07:28:28 EST', 'noopur_gupta'), ('510915', '2017-01-24 04:27:59 EST', 'noopur_gupta')]</t>
  </si>
  <si>
    <t>2016-04-21 12:38:30 EDT</t>
  </si>
  <si>
    <t>2015-09-24 16:04 EDT</t>
  </si>
  <si>
    <t>2015-09-24 16:04:39 EDT</t>
  </si>
  <si>
    <t>[('CREATED', '2015-09-24 16:04 EDT'), ('ASSIGNED', '2015-09-24 16:04:39 EDT', 'markus.kell.r'), ('markus_keller', '2015-09-24 16:04:39 EDT', 'markus.kell.r'), ('markus_keller', '2015-09-24 16:04:39 EDT', 'markus.kell.r'), ('4.6 M4', '2015-09-24 16:04:39 EDT', 'markus.kell.r'), ('psuzzi', '2015-10-06 19:19:01 EDT', 'psuzzi'), ('4.6 M5', '2015-12-07 14:30:59 EST', 'markus.kell.r'), ('4.6 M6', '2016-01-26 15:03:30 EST', 'markus.kell.r'), ('4.6 M7', '2016-03-16 09:40:22 EDT', 'markus.kell.r'), ('RESOLVED', '2016-04-21 12:38:30 EDT', 'markus.kell.r'), ('WORKSFORME', '2016-04-21 12:38:30 EDT', 'markus.kell.r')]</t>
  </si>
  <si>
    <t>2018-04-25 08:59:47 EDT</t>
  </si>
  <si>
    <t>2015-10-05 04:38 EDT</t>
  </si>
  <si>
    <t>2015-10-05 17:36:53 EDT</t>
  </si>
  <si>
    <t>2018-04-25 08:59:56 EDT</t>
  </si>
  <si>
    <t>[('CREATED', '2015-10-05 04:38 EDT'), ('carloslimaborges', '2015-10-05 17:36:53 EDT', 'carloslimaborges'), ('loskutov', '2018-04-25 07:21:14 EDT', 'loskutov'), ('loskutov', '2018-04-25 07:21:14 EDT', 'loskutov'), ('4.8 M7', '2018-04-25 07:21:14 EDT', 'loskutov'), ('https://git.eclipse.org/r/121720', '2018-04-25 08:18:06 EDT', 'genie'), ('RESOLVED', '2018-04-25 08:59:47 EDT', 'loskutov'), ('FIXED', '2018-04-25 08:59:47 EDT', 'loskutov'), ('https://git.eclipse.org/c/jdt/eclipse.jdt.ui.git/commit/?id=fdd4b9a14e3cf9e032e6d895554f7c5e6dcc2f78', '2018-04-25 08:59:56 EDT', 'genie')]</t>
  </si>
  <si>
    <t>2015-10-07 02:53 EDT</t>
  </si>
  <si>
    <t>2015-10-07 02:56:29 EDT</t>
  </si>
  <si>
    <t>2019-08-31 13:25:30 EDT</t>
  </si>
  <si>
    <t>[('CREATED', '2015-10-07 02:53 EDT'), ('lrozenblyum', '2015-10-07 02:56:29 EDT', 'lrozenblyum'), ('[extract local] Extract local variable, lambda, replace all occurrences', '2015-10-07 17:10:24 EDT', 'stephan.herrmann'), ('stephan.herrmann', '2015-10-07 17:10:24 EDT', 'stephan.herrmann'), ('UI', '2015-10-07 17:10:24 EDT', 'stephan.herrmann'), ('jdt-ui-inbox', '2015-10-07 17:10:24 EDT', 'stephan.herrmann'), ('ASSIGNED', '2015-10-08 08:02:12 EDT', 'noopur_gupta'), ('noopur_gupta', '2015-10-08 08:02:12 EDT', 'noopur_gupta'), ('All', '2015-10-08 08:02:12 EDT', 'noopur_gupta'), ('[1.8][extract local] Extract local variable, lambda, replace all occurrences', '2015-10-08 08:02:12 EDT', 'noopur_gupta'), ('All', '2015-10-08 08:02:12 EDT', 'noopur_gupta'), ('stalebug', '2019-08-31 13:25:30 EDT', 'genie')]</t>
  </si>
  <si>
    <t>2015-10-30 12:29:26 EDT</t>
  </si>
  <si>
    <t>2015-12-08 08:00:39 EST</t>
  </si>
  <si>
    <t>2015-10-09 11:18 EDT</t>
  </si>
  <si>
    <t>2015-10-12 12:55:26 EDT</t>
  </si>
  <si>
    <t>[('CREATED', '2015-10-09 11:18 EDT'), ('sja.eclipse', '2015-10-12 12:55:26 EDT', 'sja.eclipse'), ('daniel_megert', '2015-10-27 09:18:19 EDT', 'daniel_megert'), ('[rename] Show rename options as links in hover', '2015-10-27 09:18:19 EDT', 'daniel_megert'), ('gautier.desaintmartinlacaze', '2015-10-28 18:26:52 EDT', 'gautier.desaintmartinlacaze'), ('stephan.herrmann', '2015-10-28 19:08:52 EDT', 'stephan.herrmann'), ('noopur_gupta', '2015-10-29 06:37:00 EDT', 'daniel_megert'), ('4.6 M4', '2015-10-29 06:37:00 EDT', 'daniel_megert'), ('https://git.eclipse.org/r/59359', '2015-10-30 10:53:18 EDT', 'genie'), ('https://git.eclipse.org/c/jdt/eclipse.jdt.ui.git/commit/?id=53799c1e2c74278ac3b9c59deada59a1d69b810f', '2015-10-30 12:27:41 EDT', 'genie'), ('RESOLVED', '2015-10-30 12:29:26 EDT', 'noopur_gupta'), ('FIXED', '2015-10-30 12:29:26 EDT', 'noopur_gupta'), ('VERIFIED', '2015-12-08 08:00:39 EST', 'daniel_megert')]</t>
  </si>
  <si>
    <t>507105 (view as bug list)</t>
  </si>
  <si>
    <t>2017-05-09 11:46:13 EDT</t>
  </si>
  <si>
    <t>2017-05-12 10:03:27 EDT</t>
  </si>
  <si>
    <t>2015-10-12 08:53 EDT</t>
  </si>
  <si>
    <t>2015-11-03 12:36:56 EST</t>
  </si>
  <si>
    <t>[('CREATED', '2015-10-12 08:53 EDT'), ('All', '2015-11-03 12:36:56 EST', 'noopur_gupta'), ('ASSIGNED', '2015-11-03 12:36:56 EST', 'noopur_gupta'), ('noopur_gupta', '2015-11-03 12:36:56 EST', 'noopur_gupta'), ('3.8.1', '2015-11-03 12:36:56 EST', 'noopur_gupta'), ('[extract method] Extract method changes program result', '2015-11-03 12:36:56 EST', 'noopur_gupta'), ('smikkelsen', '2016-03-04 01:35:30 EST', 'noopur_gupta'), ('major', '2016-10-05 08:02:42 EDT', 'quirksquarks'), ('daniel_megert', '2016-10-12 13:03:38 EDT', 'daniel_megert'), ('noopur_gupta', '2016-10-12 13:03:38 EDT', 'daniel_megert'), ('4.7', '2016-10-12 13:03:38 EDT', 'daniel_megert'), ('ruediger.herrmann', '2016-11-22 06:32:43 EST', 'noopur_gupta'), ("[extract method] Extract method with 'replace additional occurrences' does not analyze additional occurrences", '2016-11-22 07:30:53 EST', 'noopur_gupta'), ('markus_keller', '2016-11-23 01:48:19 EST', 'noopur_gupta'), ('https://git.eclipse.org/r/87869', '2017-01-02 07:39:10 EST', 'genie'), ('https://git.eclipse.org/c/jdt/eclipse.jdt.ui.git/commit/?id=005865cacb326191f6eb048893d793742f289683', '2017-05-09 11:36:10 EDT', 'genie'), ('RESOLVED', '2017-05-09 11:46:13 EDT', 'noopur_gupta'), ('FIXED', '2017-05-09 11:46:13 EDT', 'noopur_gupta'), ('4.7 M7', '2017-05-09 11:46:13 EDT', 'noopur_gupta'), ('VERIFIED', '2017-05-12 10:03:27 EDT', 'daniel_megert')]</t>
  </si>
  <si>
    <t>2020-04-09 14:04:28 EDT</t>
  </si>
  <si>
    <t>2015-10-18 15:27 EDT</t>
  </si>
  <si>
    <t>2015-10-18 15:27:47 EDT</t>
  </si>
  <si>
    <t>[('CREATED', '2015-10-18 15:27 EDT'), ('jongwook.kim', '2015-10-18 15:27:47 EDT', 'jongwook.kim'), ('stalebug', '2020-04-09 14:04:28 EDT', 'genie'), ('CLOSED', '2020-04-09 14:04:28 EDT', 'genie'), ('WONTFIX', '2020-04-09 14:04:28 EDT', 'genie')]</t>
  </si>
  <si>
    <t>2015-10-18 15:37 EDT</t>
  </si>
  <si>
    <t>2015-10-18 15:37:18 EDT</t>
  </si>
  <si>
    <t>2019-03-25 13:29:26 EDT</t>
  </si>
  <si>
    <t>[('CREATED', '2015-10-18 15:37 EDT'), ('jongwook.kim', '2015-10-18 15:37:18 EDT', 'jongwook.kim'), ('stalebug', '2019-03-24 16:13:04 EDT', 'genie'), ('ASSIGNED', '2019-03-25 13:29:26 EDT', 'daniel_megert'), (nan, '2019-03-25 13:29:26 EDT', 'daniel_megert'), ('daniel_megert', '2019-03-25 13:29:26 EDT', 'daniel_megert')]</t>
  </si>
  <si>
    <t>2015-11-13 00:25:37 EST</t>
  </si>
  <si>
    <t>2015-10-26 12:41 EDT</t>
  </si>
  <si>
    <t>2015-10-27 02:24:33 EDT</t>
  </si>
  <si>
    <t>[('CREATED', '2015-10-26 12:41 EDT'), ('ASSIGNED', '2015-10-27 02:24:33 EDT', 'noopur_gupta'), ('noopur_gupta', '2015-10-27 02:24:33 EDT', 'noopur_gupta'), ('https://git.eclipse.org/r/60284', '2015-11-12 22:14:46 EST', 'genie'), ('https://git.eclipse.org/c/jdt/eclipse.jdt.ui.git/commit/?id=6d99f48a11a9331e73d4453a791da454c30901e4', '2015-11-13 00:21:55 EST', 'genie'), ('RESOLVED', '2015-11-13 00:25:37 EST', 'noopur_gupta'), ('markus_keller', '2015-11-13 00:25:37 EST', 'noopur_gupta'), ('FIXED', '2015-11-13 00:25:37 EST', 'noopur_gupta'), ('noopur_gupta', '2015-11-13 00:25:37 EST', 'noopur_gupta'), ('4.6 M4', '2015-11-13 00:25:37 EST', 'noopur_gupta')]</t>
  </si>
  <si>
    <t>2015-11-13 03:11 EST</t>
  </si>
  <si>
    <t>2019-06-28 12:53:54 EDT</t>
  </si>
  <si>
    <t>[('CREATED', '2015-11-13 03:11 EST'), ('stalebug', '2019-06-28 12:53:54 EDT', 'genie')]</t>
  </si>
  <si>
    <t>483743</t>
  </si>
  <si>
    <t>2016-01-22 18:41:49 EST</t>
  </si>
  <si>
    <t>2015-12-03 08:55 EST</t>
  </si>
  <si>
    <t>2015-12-03 09:04:49 EST</t>
  </si>
  <si>
    <t>[('CREATED', '2015-12-03 08:55 EST'), ('ASSIGNED', '2015-12-03 09:04:49 EST', 'stephan.herrmann'), ('stephan.herrmann', '2015-12-03 09:04:49 EST', 'stephan.herrmann'), ('stephan.herrmann', '2015-12-03 09:04:49 EST', 'stephan.herrmann'), ('4.6 M5', '2015-12-03 09:04:49 EST', 'stephan.herrmann'), ('483743', '2015-12-06 12:29:49 EST', 'stephan.herrmann'), ('https://git.eclipse.org/r/63291', '2015-12-26 15:59:34 EST', 'genie'), ('noopur_gupta', '2015-12-26 16:17:30 EST', 'stephan.herrmann'), ('markus_keller', '2016-01-07 06:09:57 EST', 'markus.kell.r'), ('---', '2016-01-07 12:44:07 EST', 'stephan.herrmann'), ('4.6 M5', '2016-01-16 19:28:16 EST', 'stephan.herrmann'), ('RESOLVED', '2016-01-22 18:41:49 EST', 'stephan.herrmann'), ('https://git.eclipse.org/c/jdt/eclipse.jdt.ui.git/commit/?id=f4fcc3da96fbe9d5cbe9f5f29d06c70ed5beab13', '2016-01-22 18:41:49 EST', 'stephan.herrmann'), ('FIXED', '2016-01-22 18:41:49 EST', 'stephan.herrmann')]</t>
  </si>
  <si>
    <t>2015-12-03 13:03 EST</t>
  </si>
  <si>
    <t>2019-12-23 16:23:57 EST</t>
  </si>
  <si>
    <t>[('CREATED', '2015-12-03 13:03 EST'), ('stalebug', '2019-12-23 16:23:57 EST', 'genie')]</t>
  </si>
  <si>
    <t>2015-12-07 10:24 EST</t>
  </si>
  <si>
    <t>2015-12-07 10:25:03 EST</t>
  </si>
  <si>
    <t>2020-11-10 06:15:40 EST</t>
  </si>
  <si>
    <t>[('CREATED', '2015-12-07 10:24 EST'), ('ASSIGNED', '2015-12-07 10:25:03 EST', 'markus.kell.r'), ('4.6', '2015-12-07 10:25:03 EST', 'markus.kell.r'), ('daniel_megert', '2015-12-07 11:24:47 EST', 'daniel_megert'), ('4.7', '2016-05-04 10:13:11 EDT', 'markus.kell.r'), ('4.8', '2017-05-19 07:20:22 EDT', 'noopur_gupta'), ('4.9', '2018-04-16 08:37:26 EDT', 'noopur_gupta'), ('kalyan_prasad', '2018-08-27 02:25:52 EDT', 'kalyan_prasad'), ('4.10', '2018-08-27 02:25:52 EDT', 'kalyan_prasad'), ('---', '2018-11-19 04:20:45 EST', 'noopur_gupta'), ('"stalebug"', '2020-11-10 06:15:40 EST', 'genie')]</t>
  </si>
  <si>
    <t>2020-04-25 18:27:19 EDT</t>
  </si>
  <si>
    <t>2015-12-09 04:19 EST</t>
  </si>
  <si>
    <t>2015-12-09 04:50:27 EST</t>
  </si>
  <si>
    <t>[('CREATED', '2015-12-09 04:19 EST'), ('nanda.firdausi', '2015-12-09 04:50:27 EST', 'nanda.firdausi'), ('jarthana, noopur_gupta', '2015-12-14 08:25:40 EST', 'jarthana'), ('jdt-ui-inbox', '2015-12-15 01:07:45 EST', 'jarthana'), ('UI', '2015-12-15 01:07:45 EST', 'jarthana'), ('CLOSED', '2020-04-25 18:27:19 EDT', 'genie'), ('stalebug', '2020-04-25 18:27:19 EDT', 'genie'), ('WONTFIX', '2020-04-25 18:27:19 EDT', 'genie')]</t>
  </si>
  <si>
    <t>2020-03-20 11:22:47 EDT</t>
  </si>
  <si>
    <t>2015-12-19 13:49 EST</t>
  </si>
  <si>
    <t>2015-12-22 16:10:34 EST</t>
  </si>
  <si>
    <t>2020-09-05 08:33:47 EDT</t>
  </si>
  <si>
    <t>[('CREATED', '2015-12-19 13:49 EST'), ('gautier.desaintmartinlacaze', '2015-12-22 16:10:34 EST', 'gautier.desaintmartinlacaze'), ('ASSIGNED', '2016-01-08 01:05:32 EST', 'noopur_gupta'), ('noopur_gupta', '2016-01-08 01:05:32 EST', 'noopur_gupta'), ('3.8.1', '2016-01-08 01:05:32 EST', 'noopur_gupta'), ('normal', '2016-01-08 01:05:32 EST', 'noopur_gupta'), ('stalebug', '2019-04-30 17:37:25 EDT', 'genie'), ('REOPENED', '2020-03-20 11:22:47 EDT', 'lukas.eder'), ('---', '2020-03-20 11:22:47 EDT', 'lukas.eder'), ('fabian.pfaff', '2020-09-05 08:33:47 EDT', 'fabian.pfaff')]</t>
  </si>
  <si>
    <t>2019-07-13 05:57:14 EDT</t>
  </si>
  <si>
    <t>2015-12-28 00:07 EST</t>
  </si>
  <si>
    <t>2015-12-28 00:07:51 EST</t>
  </si>
  <si>
    <t>2019-07-13 05:57:29 EDT</t>
  </si>
  <si>
    <t>[('CREATED', '2015-12-28 00:07 EST'), ('bdarshan', '2015-12-28 00:07:51 EST', 'bdarshan'), ('4.4', '2015-12-28 00:07:51 EST', 'bdarshan'), ('szymon.ptaszkiewicz', '2015-12-28 04:19:48 EST', 'sptaszkiewicz'), ('UI', '2015-12-28 04:19:48 EST', 'sptaszkiewicz'), ('jdt-ui-inbox', '2015-12-28 04:19:48 EST', 'sptaszkiewicz'), ('JDT', '2015-12-28 04:19:48 EST', 'sptaszkiewicz'), ('stalebug', '2019-07-13 02:09:52 EDT', 'genie'), ('RESOLVED', '2019-07-13 05:57:14 EDT', 'daniel_megert'), ('daniel_megert', '2019-07-13 05:57:14 EDT', 'daniel_megert'), ('WORKSFORME', '2019-07-13 05:57:14 EDT', 'daniel_megert'), (nan, '2019-07-13 05:57:29 EDT', 'daniel_megert')]</t>
  </si>
  <si>
    <t>2020-03-28 18:40:24 EDT</t>
  </si>
  <si>
    <t>2020-04-07 11:36:07 EDT</t>
  </si>
  <si>
    <t>2016-01-20 09:30 EST</t>
  </si>
  <si>
    <t>2016-01-20 09:43:27 EST</t>
  </si>
  <si>
    <t>[('CREATED', '2016-01-20 09:30 EST'), ('loskutov', '2016-01-20 09:43:27 EST', 'loskutov'), ('Core', '2016-01-20 09:43:27 EST', 'loskutov'), ('jdt-core-inbox', '2016-01-20 09:43:27 EST', 'loskutov'), ('JDT', '2016-01-20 09:43:27 EST', 'loskutov'), ('stephan.herrmann', '2016-01-20 18:24:00 EST', 'stephan.herrmann'), ('UI', '2016-01-20 18:24:00 EST', 'stephan.herrmann'), ('jdt-ui-inbox', '2016-01-20 18:24:00 EST', 'stephan.herrmann'), ('dma_k', '2018-04-20 05:15:39 EDT', 'dma_k'), ('4.16 M1', '2020-03-26 17:41:30 EDT', 'jjohnstn'), ('jjohnstn', '2020-03-26 17:41:30 EDT', 'jjohnstn'), ('jjohnstn', '2020-03-26 17:41:30 EDT', 'jjohnstn'), ('https://git.eclipse.org/r/160071', '2020-03-26 17:42:43 EDT', 'genie'), ('https://git.eclipse.org/c/jdt/eclipse.jdt.ui.git/commit/?id=e10380214d7eb846c9c1ba21f7e100502e71db79', '2020-03-28 18:39:59 EDT', 'genie'), ('RESOLVED', '2020-03-28 18:40:24 EDT', 'jjohnstn'), ('FIXED', '2020-03-28 18:40:24 EDT', 'jjohnstn'), ('jjohnstn', '2020-03-28 18:40:33 EDT', 'jjohnstn'), ('VERIFIED', '2020-04-07 11:36:07 EDT', 'jjohnstn')]</t>
  </si>
  <si>
    <t>2016-01-20 09:37 EST</t>
  </si>
  <si>
    <t>2016-01-20 09:42:53 EST</t>
  </si>
  <si>
    <t>2020-01-05 09:34:10 EST</t>
  </si>
  <si>
    <t>[('CREATED', '2016-01-20 09:37 EST'), ('loskutov', '2016-01-20 09:42:53 EST', 'loskutov'), ('Core', '2016-01-20 09:42:53 EST', 'loskutov'), ('jdt-core-inbox', '2016-01-20 09:42:53 EST', 'loskutov'), ('JDT', '2016-01-20 09:42:53 EST', 'loskutov'), ('stephan.herrmann', '2016-01-20 18:27:25 EST', 'stephan.herrmann'), ('UI', '2016-01-20 18:27:25 EST', 'stephan.herrmann'), ('jdt-ui-inbox', '2016-01-20 18:27:25 EST', 'stephan.herrmann'), ('stalebug', '2020-01-05 09:34:10 EST', 'genie')]</t>
  </si>
  <si>
    <t>CLOSED  DUPLICATE  of bug 431300</t>
  </si>
  <si>
    <t>2016-01-27 07:30:30 EST</t>
  </si>
  <si>
    <t>2016-01-25 03:31 EST</t>
  </si>
  <si>
    <t>2016-01-25 13:38:25 EST</t>
  </si>
  <si>
    <t>[('CREATED', '2016-01-25 03:31 EST'), ('[extract method] extract method from enum constant declaration', '2016-01-25 13:38:25 EST', 'stephan.herrmann'), ('stephan.herrmann', '2016-01-25 13:38:25 EST', 'stephan.herrmann'), ('UI', '2016-01-25 13:38:25 EST', 'stephan.herrmann'), ('jdt-ui-inbox', '2016-01-25 13:38:25 EST', 'stephan.herrmann'), ('CLOSED', '2016-01-27 07:30:30 EST', 'noopur_gupta'), ('noopur_gupta', '2016-01-27 07:30:30 EST', 'noopur_gupta'), ('DUPLICATE', '2016-01-27 07:30:30 EST', 'noopur_gupta')]</t>
  </si>
  <si>
    <t>2016-01-27 20:37 EST</t>
  </si>
  <si>
    <t>2018-09-22 09:52:09 EDT</t>
  </si>
  <si>
    <t>[('CREATED', '2016-01-27 20:37 EST'), ('stalebug', '2018-09-22 09:52:09 EDT', 'genie')]</t>
  </si>
  <si>
    <t>2020-02-12 18:04:47 EST</t>
  </si>
  <si>
    <t>2016-01-27 20:46 EST</t>
  </si>
  <si>
    <t>[('CREATED', '2016-01-27 20:46 EST'), ('CLOSED', '2020-02-12 18:04:47 EST', 'genie'), ('WONTFIX', '2020-02-12 18:04:47 EST', 'genie'), ('stalebug', '2020-02-12 18:04:47 EST', 'genie')]</t>
  </si>
  <si>
    <t>2016-01-27 20:52 EST</t>
  </si>
  <si>
    <t>2019-02-26 12:01:50 EST</t>
  </si>
  <si>
    <t>2019-02-27 12:02:30 EST</t>
  </si>
  <si>
    <t>[('CREATED', '2016-01-27 20:52 EST'), ('stalebug', '2019-02-26 12:01:50 EST', 'genie'), ('daniel_megert', '2019-02-27 12:02:30 EST', 'daniel_megert'), (nan, '2019-02-27 12:02:30 EST', 'daniel_megert'), ('ASSIGNED', '2019-02-27 12:02:30 EST', 'daniel_megert')]</t>
  </si>
  <si>
    <t>2020-01-06 10:40:44 EST</t>
  </si>
  <si>
    <t>2020-01-07 14:19:26 EST</t>
  </si>
  <si>
    <t>2016-02-02 09:46 EST</t>
  </si>
  <si>
    <t>2016-02-03 05:25:11 EST</t>
  </si>
  <si>
    <t>[('CREATED', '2016-02-02 09:46 EST'), ('jarthana', '2016-02-03 05:25:11 EST', 'jarthana'), ('UI', '2016-02-03 05:25:11 EST', 'jarthana'), ('jdt-ui-inbox', '2016-02-03 05:25:11 EST', 'jarthana'), ('stalebug', '2019-01-30 15:49:26 EST', 'genie'), ('ASSIGNED', '2019-01-31 12:51:47 EST', 'daniel_megert'), ('daniel_megert', '2019-01-31 12:51:47 EST', 'daniel_megert'), (nan, '2019-01-31 12:51:47 EST', 'daniel_megert'), ('https://git.eclipse.org/r/155165', '2020-01-03 10:06:48 EST', 'genie'), ('kenneth', '2020-01-04 09:23:49 EST', 'kenneth'), ('4.15 M1', '2020-01-04 09:23:49 EST', 'kenneth'), ('kenneth', '2020-01-04 09:23:49 EST', 'kenneth'), ('https://git.eclipse.org/c/jdt/eclipse.jdt.ui.git/commit/?id=c8579e195abc72e85984225d55be6a6d7f197891', '2020-01-06 10:39:01 EST', 'genie'), ('RESOLVED', '2020-01-06 10:40:44 EST', 'kenneth'), ('FIXED', '2020-01-06 10:40:44 EST', 'kenneth'), ('VERIFIED', '2020-01-07 14:19:26 EST', 'kenneth')]</t>
  </si>
  <si>
    <t>CLOSED  DUPLICATE  of bug 241031</t>
  </si>
  <si>
    <t>2016-02-04 23:36:37 EST</t>
  </si>
  <si>
    <t>2016-02-04 14:12 EST</t>
  </si>
  <si>
    <t>2016-02-04 14:15:29 EST</t>
  </si>
  <si>
    <t>2016-02-07 23:45:32 EST</t>
  </si>
  <si>
    <t>[('CREATED', '2016-02-04 14:12 EST'), ('rkhatchadourian', '2016-02-04 14:15:29 EST', 'raffi.khatchadourian'), ('sarika.sinha', '2016-02-04 23:36:37 EST', 'sarika.sinha'), ('4.6 M6', '2016-02-04 23:36:37 EST', 'sarika.sinha'), ('CLOSED', '2016-02-04 23:36:37 EST', 'sarika.sinha'), ('sarika.sinha', '2016-02-04 23:36:37 EST', 'sarika.sinha'), ('DUPLICATE', '2016-02-04 23:36:37 EST', 'sarika.sinha'), ('[pull up] Pull Up Refactoring erroneously reports a refactoring error that type and method are not accessible from the destination class', '2016-02-07 23:45:32 EST', 'sarika.sinha')]</t>
  </si>
  <si>
    <t>2016-02-15 22:41:56 EST</t>
  </si>
  <si>
    <t>2016-02-18 03:04:08 EST</t>
  </si>
  <si>
    <t>2016-02-11 08:58 EST</t>
  </si>
  <si>
    <t>2016-02-11 23:02:10 EST</t>
  </si>
  <si>
    <t>2019-11-07 15:18:16 EST</t>
  </si>
  <si>
    <t>[('CREATED', '2016-02-11 08:58 EST'), ('jarthana', '2016-02-11 23:02:10 EST', 'jarthana'), ('UI', '2016-02-11 23:02:10 EST', 'jarthana'), ('jdt-ui-inbox', '2016-02-11 23:02:10 EST', 'jarthana'), ('sarika.sinha', '2016-02-11 23:22:11 EST', 'sarika.sinha'), ('RESOLVED', '2016-02-15 22:41:56 EST', 'sarika.sinha'), ('WORKSFORME', '2016-02-15 22:41:56 EST', 'sarika.sinha'), ('REOPENED', '2016-02-18 03:04:08 EST', 'beni'), ('---', '2016-02-18 03:04:08 EST', 'beni'), ('ASSIGNED', '2016-02-18 05:06:14 EST', 'daniel_megert'), ('daniel_megert', '2016-02-18 05:06:14 EST', 'daniel_megert'), ('[extract method] Refactor: Extract method fails to report "Ambiguous return value: selected block contains more than one assignment to local variable"', '2016-02-18 05:06:14 EST', 'daniel_megert'), ('stalebug', '2019-11-07 15:18:16 EST', 'genie')]</t>
  </si>
  <si>
    <t>2016-02-15 04:23:55 EST</t>
  </si>
  <si>
    <t>2016-02-13 14:34 EST</t>
  </si>
  <si>
    <t>2016-02-14 23:12:23 EST</t>
  </si>
  <si>
    <t>[('CREATED', '2016-02-13 14:34 EST'), ('UI', '2016-02-14 23:12:23 EST', 'sarika.sinha'), ('jdt-ui-inbox', '2016-02-14 23:12:23 EST', 'sarika.sinha'), ('sarika.sinha', '2016-02-14 23:12:23 EST', 'sarika.sinha'), ('RESOLVED', '2016-02-15 04:23:55 EST', 'daniel_megert'), ('daniel_megert', '2016-02-15 04:23:55 EST', 'daniel_megert'), ('WORKSFORME', '2016-02-15 04:23:55 EST', 'daniel_megert')]</t>
  </si>
  <si>
    <t>2016-03-03 08:35:15 EST</t>
  </si>
  <si>
    <t>2016-02-24 16:21 EST</t>
  </si>
  <si>
    <t>2016-02-24 16:22:14 EST</t>
  </si>
  <si>
    <t>2016-04-22 07:29:26 EDT</t>
  </si>
  <si>
    <t>[('CREATED', '2016-02-24 16:21 EST'), ('[extract interface] EmptyStackException caused by return statement in lambda outside of method', '2016-02-24 16:22:14 EST', 'register.eclipse'), ('https://git.eclipse.org/r/67293', '2016-02-24 16:27:21 EST', 'genie'), ('All', '2016-02-25 00:17:00 EST', 'noopur_gupta'), ('All', '2016-02-25 00:17:00 EST', 'noopur_gupta'), ('ASSIGNED', '2016-02-25 00:17:00 EST', 'noopur_gupta'), ('noopur_gupta', '2016-02-25 00:17:00 EST', 'noopur_gupta'), ('review?(noopur_gupta)', '2016-02-26 11:38:02 EST', 'noopur_gupta'), ('register.eclipse', '2016-02-29 06:37:07 EST', 'noopur_gupta'), ('4.6 M6', '2016-02-29 06:37:07 EST', 'noopur_gupta'), ('[1.8][extract interface] EmptyStackException caused by return statement in lambda outside of method', '2016-02-29 06:37:07 EST', 'noopur_gupta'), ('https://git.eclipse.org/c/jdt/eclipse.jdt.ui.git/commit/?id=75501ccdb0be8f5a81627764b87c937268a6fd58', '2016-03-03 08:33:46 EST', 'genie'), ('RESOLVED', '2016-03-03 08:35:15 EST', 'noopur_gupta'), ('FIXED', '2016-03-03 08:35:15 EST', 'noopur_gupta'), ('review+', '2016-03-03 08:35:15 EST', 'noopur_gupta'), ('https://bugs.eclipse.org/bugs/show_bug.cgi?id=489170', '2016-04-22 07:29:26 EDT', 'noopur_gupta')]</t>
  </si>
  <si>
    <t>2016-03-01 18:46 EST</t>
  </si>
  <si>
    <t>2019-11-22 02:05:43 EST</t>
  </si>
  <si>
    <t>[('CREATED', '2016-03-01 18:46 EST'), ('stalebug', '2019-11-22 02:05:43 EST', 'genie')]</t>
  </si>
  <si>
    <t>2020-02-07 08:17:30 EST</t>
  </si>
  <si>
    <t>2016-03-01 18:50 EST</t>
  </si>
  <si>
    <t>[('CREATED', '2016-03-01 18:50 EST'), ('CLOSED', '2020-02-07 08:17:30 EST', 'genie'), ('stalebug', '2020-02-07 08:17:30 EST', 'genie'), ('WONTFIX', '2020-02-07 08:17:30 EST', 'genie')]</t>
  </si>
  <si>
    <t>2020-02-19 20:02:16 EST</t>
  </si>
  <si>
    <t>2016-03-01 18:51 EST</t>
  </si>
  <si>
    <t>[('CREATED', '2016-03-01 18:51 EST'), ('CLOSED', '2020-02-19 20:02:16 EST', 'genie'), ('stalebug', '2020-02-19 20:02:16 EST', 'genie'), ('WONTFIX', '2020-02-19 20:02:16 EST', 'genie')]</t>
  </si>
  <si>
    <t>285554 (view as bug list)</t>
  </si>
  <si>
    <t>2019-05-17 10:06:27 EDT</t>
  </si>
  <si>
    <t>2019-05-22 14:27:09 EDT</t>
  </si>
  <si>
    <t>2016-03-04 01:35:30 EST</t>
  </si>
  <si>
    <t>2016-11-22 07:35:22 EST</t>
  </si>
  <si>
    <t>2016-03-03 09:01 EST</t>
  </si>
  <si>
    <t>2016-03-03 09:10:45 EST</t>
  </si>
  <si>
    <t>[('CREATED', '2016-03-03 09:01 EST'), ('Extract method fails to handle side effect', '2016-03-03 09:10:45 EST', 'smikkelsen'), ('jdt-ui-inbox', '2016-03-03 10:40:07 EST', 'jarthana'), ('jarthana', '2016-03-03 10:40:07 EST', 'jarthana'), ('UI', '2016-03-03 10:40:07 EST', 'jarthana'), ('CLOSED', '2016-03-04 01:35:30 EST', 'noopur_gupta'), ('noopur_gupta', '2016-03-04 01:35:30 EST', 'noopur_gupta'), ('DUPLICATE', '2016-03-04 01:35:30 EST', 'noopur_gupta'), ('REOPENED', '2016-11-22 07:35:22 EST', 'noopur_gupta'), ('---', '2016-11-22 07:35:22 EST', 'noopur_gupta'), ('ASSIGNED', '2016-11-22 07:39:48 EST', 'noopur_gupta'), ('All', '2016-11-22 07:39:48 EST', 'noopur_gupta'), ('3.8', '2016-11-22 07:39:48 EST', 'noopur_gupta'), ('[extract method] Extract method fails to handle side effect in loops', '2016-11-22 07:39:48 EST', 'noopur_gupta'), ('All', '2016-11-22 07:39:48 EST', 'noopur_gupta'), ('https://git.eclipse.org/r/140148', '2019-04-06 09:20:04 EDT', 'genie'), ('daniel_megert', '2019-04-08 05:58:09 EDT', 'daniel_megert'), ('raksha.vasisht', '2019-04-09 08:58:37 EDT', 'Lars.Vogel'), ('rgrunber', '2019-05-07 14:52:39 EDT', 'rgrunber'), ('4.12 M3', '2019-05-07 14:52:39 EDT', 'rgrunber'), ('rgrunber', '2019-05-07 14:52:39 EDT', 'rgrunber'), ('https://git.eclipse.org/c/jdt/eclipse.jdt.ui.git/commit/?id=037d8d8a9d07b4598f05bd3821eea415d2b32d4c', '2019-05-16 17:18:21 EDT', 'genie'), ('RESOLVED', '2019-05-17 10:06:27 EDT', 'rgrunber'), ('FIXED', '2019-05-17 10:06:27 EDT', 'rgrunber'), ('dan', '2019-05-20 03:47:20 EDT', 'Lars.Vogel'), ('Lars.Vogel', '2019-05-20 03:47:20 EDT', 'Lars.Vogel'), ('VERIFIED', '2019-05-22 14:27:09 EDT', 'rgrunber')]</t>
  </si>
  <si>
    <t>2016-03-22 04:36 EDT</t>
  </si>
  <si>
    <t>2016-03-22 04:36:46 EDT</t>
  </si>
  <si>
    <t>2019-03-20 14:49:44 EDT</t>
  </si>
  <si>
    <t>[('CREATED', '2016-03-22 04:36 EDT'), ('UI', '2016-03-22 04:36:46 EDT', 'lrozenblyum'), ('stalebug', '2019-03-20 14:49:44 EDT', 'genie')]</t>
  </si>
  <si>
    <t>2016-06-09 06:24:32 EDT</t>
  </si>
  <si>
    <t>2016-03-28 13:38 EDT</t>
  </si>
  <si>
    <t>2016-05-23 10:28:52 EDT</t>
  </si>
  <si>
    <t>[('CREATED', '2016-03-28 13:38 EDT'), ('daniel_megert', '2016-05-23 10:28:52 EDT', 'daniel_megert'), ('All', '2016-05-23 10:28:52 EDT', 'daniel_megert'), ('noopur_gupta', '2016-05-23 10:28:52 EDT', 'daniel_megert'), ('4.7', '2016-05-23 10:28:52 EDT', 'daniel_megert'), ('All', '2016-05-23 10:28:52 EDT', 'daniel_megert'), ('RESOLVED', '2016-06-09 06:24:32 EDT', 'noopur_gupta'), ('FIXED', '2016-06-09 06:24:32 EDT', 'noopur_gupta'), ('4.7 M1', '2016-06-09 06:24:32 EDT', 'noopur_gupta')]</t>
  </si>
  <si>
    <t>2020-03-05 16:41:51 EST</t>
  </si>
  <si>
    <t>2016-04-03 23:25 EDT</t>
  </si>
  <si>
    <t>2016-04-03 23:25:19 EDT</t>
  </si>
  <si>
    <t>[('CREATED', '2016-04-03 23:25 EDT'), ('jongwook.kim', '2016-04-03 23:25:19 EDT', 'jongwook.kim'), ('3.8.1', '2016-04-04 04:52:36 EDT', 'noopur_gupta'), ('All', '2016-04-04 04:52:36 EDT', 'noopur_gupta'), ('ASSIGNED', '2016-04-04 04:52:36 EDT', 'noopur_gupta'), ('noopur_gupta', '2016-04-04 04:52:36 EDT', 'noopur_gupta'), ('All', '2016-04-04 04:52:36 EDT', 'noopur_gupta'), ('WONTFIX', '2020-03-05 16:41:51 EST', 'genie'), ('stalebug', '2020-03-05 16:41:51 EST', 'genie'), ('CLOSED', '2020-03-05 16:41:51 EST', 'genie')]</t>
  </si>
  <si>
    <t>2016-04-05 07:17 EDT</t>
  </si>
  <si>
    <t>2020-07-04 02:50:50 EDT</t>
  </si>
  <si>
    <t>[('CREATED', '2016-04-05 07:17 EDT'), ('stalebug', '2020-07-04 02:50:50 EDT', 'genie')]</t>
  </si>
  <si>
    <t>2016-04-05 07:37 EDT</t>
  </si>
  <si>
    <t>2019-10-17 17:29:18 EDT</t>
  </si>
  <si>
    <t>[('CREATED', '2016-04-05 07:37 EDT'), ('stalebug', '2019-10-17 17:29:18 EDT', 'genie')]</t>
  </si>
  <si>
    <t>2016-04-05 07:39 EDT</t>
  </si>
  <si>
    <t>2019-11-10 15:37:33 EST</t>
  </si>
  <si>
    <t>[('CREATED', '2016-04-05 07:39 EDT'), ('stalebug', '2019-11-10 15:37:33 EST', 'genie')]</t>
  </si>
  <si>
    <t>2016-04-05 07:43 EDT</t>
  </si>
  <si>
    <t>2019-10-26 16:13:29 EDT</t>
  </si>
  <si>
    <t>[('CREATED', '2016-04-05 07:43 EDT'), ('stalebug', '2019-10-26 16:13:29 EDT', 'genie')]</t>
  </si>
  <si>
    <t>2019-11-05 02:29:02 EST</t>
  </si>
  <si>
    <t>2019-11-20 12:16:15 EST</t>
  </si>
  <si>
    <t>2016-04-12 15:23 EDT</t>
  </si>
  <si>
    <t>2016-04-12 15:23:41 EDT</t>
  </si>
  <si>
    <t>[('CREATED', '2016-04-12 15:23 EDT'), ('jongwook.kim', '2016-04-12 15:23:41 EDT', 'jongwook.kim'), ('https://git.eclipse.org/r/147733', '2019-08-14 14:59:52 EDT', 'genie'), ('rgrunber', '2019-10-31 12:34:42 EDT', 'rgrunber'), ('kenneth', '2019-10-31 12:34:42 EDT', 'rgrunber'), ('rgrunber', '2019-10-31 12:34:42 EDT', 'rgrunber'), ('ASSIGNED', '2019-10-31 12:34:42 EDT', 'rgrunber'), ('https://git.eclipse.org/c/jdt/eclipse.jdt.ui.git/commit/?id=5332259e2165d5dc44a0ca90a306a885c540c170', '2019-11-04 17:05:37 EST', 'genie'), ('FIXED', '2019-11-05 02:29:02 EST', 'kenneth'), ('RESOLVED', '2019-11-05 02:29:02 EST', 'kenneth'), ('4.14 M3', '2019-11-05 02:29:02 EST', 'kenneth'), ('VERIFIED', '2019-11-20 12:16:15 EST', 'rgrunber')]</t>
  </si>
  <si>
    <t>2016-04-15 08:42:40 EDT</t>
  </si>
  <si>
    <t>2016-04-15 10:26:12 EDT</t>
  </si>
  <si>
    <t>2016-04-14 09:37 EDT</t>
  </si>
  <si>
    <t>2016-04-14 10:02:39 EDT</t>
  </si>
  <si>
    <t>2019-05-30 11:29:18 EDT</t>
  </si>
  <si>
    <t>[('CREATED', '2016-04-14 09:37 EDT'), ('UI', '2016-04-14 10:02:39 EDT', 'jarthana'), ('jdt-ui-inbox', '2016-04-14 10:02:39 EDT', 'jarthana'), ('jarthana', '2016-04-14 10:02:39 EDT', 'jarthana'), ('RESOLVED', '2016-04-15 08:42:40 EDT', 'daniel_megert'), ('daniel_megert', '2016-04-15 08:42:40 EDT', 'daniel_megert'), ('INVALID', '2016-04-15 08:42:40 EDT', 'daniel_megert'), ('REOPENED', '2016-04-15 10:26:12 EDT', 'daniel_megert'), ('---', '2016-04-15 10:26:12 EDT', 'daniel_megert'), ('Rename in workspace does not update matching JavaDoc reference', '2016-04-15 10:26:12 EDT', 'daniel_megert'), ('stalebug', '2019-05-17 05:02:35 EDT', 'genie'), (nan, '2019-05-30 11:28:59 EDT', 'daniel_megert'), ('ASSIGNED', '2019-05-30 11:28:59 EDT', 'daniel_megert'), ('Rename in workspace does not update matching Javadoc reference', '2019-05-30 11:29:18 EDT', 'daniel_megert')]</t>
  </si>
  <si>
    <t>2016-06-09 06:12:22 EDT</t>
  </si>
  <si>
    <t>2016-04-29 18:05 EDT</t>
  </si>
  <si>
    <t>2016-05-05 05:14:36 EDT</t>
  </si>
  <si>
    <t>[('CREATED', '2016-04-29 18:05 EDT'), ('https://git.eclipse.org/r/72134', '2016-05-05 05:14:36 EDT', 'genie'), ('All', '2016-05-05 07:08:38 EDT', 'noopur_gupta'), ('noopur_gupta', '2016-05-05 07:08:38 EDT', 'noopur_gupta'), ('4.7', '2016-05-05 07:08:38 EDT', 'noopur_gupta'), ('All', '2016-05-05 07:08:38 EDT', 'noopur_gupta'), ('ASSIGNED', '2016-05-05 07:08:38 EDT', 'noopur_gupta'), ('noopur_gupta', '2016-05-05 07:08:38 EDT', 'noopur_gupta'), ('https://git.eclipse.org/c/jdt/eclipse.jdt.ui.git/commit/?id=26b974f4bff8756ada45e75a9e323977ea1b639e', '2016-06-09 06:11:41 EDT', 'genie'), ('RESOLVED', '2016-06-09 06:12:22 EDT', 'noopur_gupta'), ('FIXED', '2016-06-09 06:12:22 EDT', 'noopur_gupta'), ('4.7 M1', '2016-06-09 06:12:22 EDT', 'noopur_gupta')]</t>
  </si>
  <si>
    <t>2020-03-17 18:04:12 EDT</t>
  </si>
  <si>
    <t>2016-05-01 07:13 EDT</t>
  </si>
  <si>
    <t>2016-05-01 07:13:32 EDT</t>
  </si>
  <si>
    <t>[('CREATED', '2016-05-01 07:13 EDT'), ('ruediger.herrmann', '2016-05-01 07:13:32 EDT', 'ruediger.herrmann'), ('stalebug', '2020-03-17 18:04:12 EDT', 'genie'), ('CLOSED', '2020-03-17 18:04:12 EDT', 'genie'), ('WONTFIX', '2020-03-17 18:04:12 EDT', 'genie')]</t>
  </si>
  <si>
    <t>2016-05-06 07:06 EDT</t>
  </si>
  <si>
    <t>2016-05-06 08:04:05 EDT</t>
  </si>
  <si>
    <t>2016-05-06 08:06:38 EDT</t>
  </si>
  <si>
    <t>[('CREATED', '2016-05-06 07:06 EDT'), ('jarthana', '2016-05-06 08:04:05 EDT', 'jarthana'), ('UI', '2016-05-06 08:04:05 EDT', 'jarthana'), ('jdt-ui-inbox', '2016-05-06 08:04:05 EDT', 'jarthana'), ('daniel_megert', '2016-05-06 08:06:38 EDT', 'daniel_megert'), ('[refactoring] Support refactoring to generate generic utility methods', '2016-05-06 08:06:38 EDT', 'daniel_megert')]</t>
  </si>
  <si>
    <t>561301 (view as bug list)</t>
  </si>
  <si>
    <t>2020-02-22 07:13:49 EST</t>
  </si>
  <si>
    <t>2020-03-20 11:18:36 EDT</t>
  </si>
  <si>
    <t>2016-05-09 04:46 EDT</t>
  </si>
  <si>
    <t>2016-05-11 06:49:21 EDT</t>
  </si>
  <si>
    <t>lukas.eder</t>
  </si>
  <si>
    <t>[('CREATED', '2016-05-09 04:46 EDT'), ('jarthana', '2016-05-11 06:49:21 EDT', 'jarthana'), ('UI', '2016-05-11 06:49:21 EDT', 'jarthana'), ('jdt-ui-inbox', '2016-05-11 06:49:21 EDT', 'jarthana'), ('WONTFIX', '2020-02-22 07:13:49 EST', 'genie'), ('CLOSED', '2020-02-22 07:13:49 EST', 'genie'), ('stalebug', '2020-02-22 07:13:49 EST', 'genie'), ('---', '2020-03-20 11:18:36 EDT', 'lukas.eder'), ('REOPENED', '2020-03-20 11:18:36 EDT', 'lukas.eder')]</t>
  </si>
  <si>
    <t>2016-05-13 09:42 EDT</t>
  </si>
  <si>
    <t>2016-05-18 23:23:29 EDT</t>
  </si>
  <si>
    <t>2019-11-02 16:51:26 EDT</t>
  </si>
  <si>
    <t>[('CREATED', '2016-05-13 09:42 EDT'), ('rkhatchadourian', '2016-05-18 23:23:29 EDT', 'raffi.khatchadourian'), ('ASSIGNED', '2016-05-19 02:51:58 EDT', 'noopur_gupta'), ('noopur_gupta', '2016-05-19 02:51:58 EDT', 'noopur_gupta'), ('All', '2016-05-19 02:51:58 EDT', 'noopur_gupta'), ('3.8.1', '2016-05-19 02:51:58 EDT', 'noopur_gupta'), ('[pull up] Pulling up a method that returns this results in a compile-time error', '2016-05-19 02:51:58 EDT', 'noopur_gupta'), ('All', '2016-05-19 02:51:58 EDT', 'noopur_gupta'), ('stalebug', '2019-11-02 16:51:26 EDT', 'genie')]</t>
  </si>
  <si>
    <t>2016-07-03 15:09:52 EDT</t>
  </si>
  <si>
    <t>2016-06-15 02:43:41 EDT</t>
  </si>
  <si>
    <t>2016-05-29 14:02 EDT</t>
  </si>
  <si>
    <t>2016-05-29 15:03:17 EDT</t>
  </si>
  <si>
    <t>[('CREATED', '2016-05-29 14:02 EDT'), ('stephan.herrmann', '2016-05-29 15:03:17 EDT', 'stephan.herrmann'), ('ASSIGNED', '2016-06-11 16:26:04 EDT', 'stephan.herrmann'), ('Core', '2016-06-11 16:26:04 EDT', 'stephan.herrmann'), ('stephan.herrmann', '2016-06-11 16:26:04 EDT', 'stephan.herrmann'), ('4.7 M1', '2016-06-11 16:26:04 EDT', 'stephan.herrmann'), ('https://git.eclipse.org/r/75125', '2016-06-11 17:35:45 EDT', 'genie'), ('https://git.eclipse.org/c/jdt/eclipse.jdt.core.git/commit/?id=4679cfc88b090086f45785ceed234351e475034f', '2016-06-12 04:25:03 EDT', 'genie'), ('FIXED', '2016-06-12 04:29:35 EDT', 'stephan.herrmann'), ('RESOLVED', '2016-06-12 04:29:35 EDT', 'stephan.herrmann'), ('REOPENED', '2016-06-15 02:43:41 EDT', 'noopur_gupta'), ('noopur_gupta', '2016-06-15 02:43:41 EDT', 'noopur_gupta'), ('---', '2016-06-15 02:43:41 EDT', 'noopur_gupta'), ('https://git.eclipse.org/r/75369', '2016-06-15 19:52:30 EDT', 'genie'), ('markus_keller', '2016-06-20 07:18:56 EDT', 'noopur_gupta'), ('UI', '2016-06-23 10:51:14 EDT', 'stephan.herrmann'), ('https://git.eclipse.org/r/76381', '2016-06-30 16:14:04 EDT', 'genie'), ('https://git.eclipse.org/c/jdt/eclipse.jdt.ui.git/commit/?id=441dad800f4d6d2b2237468dae68222cd53e6dd7', '2016-07-03 15:04:59 EDT', 'genie'), ('RESOLVED', '2016-07-03 15:09:52 EDT', 'stephan.herrmann'), ('FIXED', '2016-07-03 15:09:52 EDT', 'stephan.herrmann')]</t>
  </si>
  <si>
    <t>2016-06-02 15:46 EDT</t>
  </si>
  <si>
    <t>2016-06-03 11:05:15 EDT</t>
  </si>
  <si>
    <t>2016-06-03 16:59:39 EDT</t>
  </si>
  <si>
    <t>raffi.khatchadourian</t>
  </si>
  <si>
    <t>[('CREATED', '2016-06-02 15:46 EDT'), ('jarthana', '2016-06-03 11:05:15 EDT', 'jarthana'), ('UI', '2016-06-03 11:05:15 EDT', 'jarthana'), ('jdt-ui-inbox', '2016-06-03 11:05:15 EDT', 'jarthana'), ('rkhatchadourian', '2016-06-03 16:59:39 EDT', 'raffi.khatchadourian')]</t>
  </si>
  <si>
    <t>2020-04-12 15:42:54 EDT</t>
  </si>
  <si>
    <t>2016-06-02 18:18 EDT</t>
  </si>
  <si>
    <t>2016-06-03 18:32:28 EDT</t>
  </si>
  <si>
    <t>[('CREATED', '2016-06-02 18:18 EDT'), ('stephan.herrmann', '2016-06-03 18:32:28 EDT', 'stephan.herrmann'), ('UI', '2016-06-03 18:32:28 EDT', 'stephan.herrmann'), ('jdt-ui-inbox', '2016-06-03 18:32:28 EDT', 'stephan.herrmann'), ('WONTFIX', '2020-04-12 15:42:54 EDT', 'genie'), ('stalebug', '2020-04-12 15:42:54 EDT', 'genie'), ('CLOSED', '2020-04-12 15:42:54 EDT', 'genie')]</t>
  </si>
  <si>
    <t>549873 (view as bug list)</t>
  </si>
  <si>
    <t>74892</t>
  </si>
  <si>
    <t>2016-06-03 05:48 EDT</t>
  </si>
  <si>
    <t>2016-06-03 06:42:25 EDT</t>
  </si>
  <si>
    <t>2020-05-13 04:17:44 EDT</t>
  </si>
  <si>
    <t>[('CREATED', '2016-06-03 05:48 EDT'), ('74892', '2016-06-03 06:42:25 EDT', 'daniel_megert'), ('All', '2016-06-03 06:42:25 EDT', 'daniel_megert'), ('enhancement', '2016-06-03 06:42:25 EDT', 'daniel_megert'), ('ASSIGNED', '2016-06-03 06:42:25 EDT', 'daniel_megert'), ('daniel_megert', '2016-06-03 06:42:25 EDT', 'daniel_megert'), ('All', '2016-06-03 06:42:25 EDT', 'daniel_megert'), ('4.6', '2016-06-03 06:42:25 EDT', 'daniel_megert'), ('Lars.Vogel, psuzzi', '2016-07-03 16:34:20 EDT', 'Lars.Vogel'), ('aobuchow', '2019-06-24 12:02:21 EDT', 'andrew'), ('loskutov', '2019-06-24 12:03:12 EDT', 'loskutov'), ('Project Explorer - Rename resource should be inline', '2019-12-05 05:53:14 EST', 'Lars.Vogel'), ('4.15', '2019-12-05 05:53:40 EST', 'Lars.Vogel'), ('Project Explorer - Rename Java files should be inline', '2019-12-05 05:53:40 EST', 'Lars.Vogel'), ('zulus', '2020-01-10 05:23:55 EST', 'zulus'), ('4.16', '2020-02-17 01:14:36 EST', 'noopur_gupta'), ('---', '2020-05-13 04:17:44 EDT', 'noopur_gupta')]</t>
  </si>
  <si>
    <t>2016-06-10 08:50 EDT</t>
  </si>
  <si>
    <t>2019-12-14 11:21:44 EST</t>
  </si>
  <si>
    <t>[('CREATED', '2016-06-10 08:50 EDT'), ('stalebug', '2019-12-14 11:21:44 EST', 'genie')]</t>
  </si>
  <si>
    <t>2020-02-06 16:34:18 EST</t>
  </si>
  <si>
    <t>2016-06-10 09:12 EDT</t>
  </si>
  <si>
    <t>[('CREATED', '2016-06-10 09:12 EDT'), ('stalebug', '2020-02-06 16:34:18 EST', 'genie'), ('WONTFIX', '2020-02-06 16:34:18 EST', 'genie'), ('CLOSED', '2020-02-06 16:34:18 EST', 'genie')]</t>
  </si>
  <si>
    <t>2020-01-29 15:29:57 EST</t>
  </si>
  <si>
    <t>2016-06-10 14:00 EDT</t>
  </si>
  <si>
    <t>2016-06-10 14:00:34 EDT</t>
  </si>
  <si>
    <t>[('CREATED', '2016-06-10 14:00 EDT'), ('jongwook.kim', '2016-06-10 14:00:34 EDT', 'jongwook.kim'), ('WONTFIX', '2020-01-29 15:29:57 EST', 'genie'), ('stalebug', '2020-01-29 15:29:57 EST', 'genie'), ('CLOSED', '2020-01-29 15:29:57 EST', 'genie')]</t>
  </si>
  <si>
    <t>2019-01-16 11:12:48 EST</t>
  </si>
  <si>
    <t>2019-01-16 10:58:06 EST</t>
  </si>
  <si>
    <t>2019-01-16 11:21:21 EST</t>
  </si>
  <si>
    <t>2016-06-10 14:06 EDT</t>
  </si>
  <si>
    <t>2016-06-10 14:06:58 EDT</t>
  </si>
  <si>
    <t>2021-01-06 14:09:44 EST</t>
  </si>
  <si>
    <t>[('CREATED', '2016-06-10 14:06 EDT'), ('jongwook.kim', '2016-06-10 14:06:58 EDT', 'jongwook.kim'), ('stalebug', '2019-01-16 07:10:31 EST', 'genie'), (nan, '2019-01-16 10:48:57 EST', 'daniel_megert'), ('WORKSFORME', '2019-01-16 10:48:57 EST', 'daniel_megert'), ('[introduce parameter object] adding a new parameter may have a default value with side effects', '2019-01-16 10:48:57 EST', 'daniel_megert'), ('daniel_megert', '2019-01-16 10:48:57 EST', 'daniel_megert'), ('RESOLVED', '2019-01-16 10:48:57 EST', 'daniel_megert'), ('REOPENED', '2019-01-16 10:55:29 EST', 'jongwook.kim'), ('---', '2019-01-16 10:55:29 EST', 'jongwook.kim'), ('RESOLVED', '2019-01-16 10:58:06 EST', 'daniel_megert'), ('WORKSFORME', '2019-01-16 10:58:06 EST', 'daniel_megert'), ('---', '2019-01-16 11:04:23 EST', 'jongwook.kim'), ('REOPENED', '2019-01-16 11:04:23 EST', 'jongwook.kim'), ('INVALID', '2019-01-16 11:12:48 EST', 'daniel_megert'), ('RESOLVED', '2019-01-16 11:12:48 EST', 'daniel_megert'), ('---', '2019-01-16 11:21:21 EST', 'jongwook.kim'), ('REOPENED', '2019-01-16 11:21:21 EST', 'jongwook.kim'), ('All', '2019-01-16 11:29:24 EST', 'daniel_megert'), ('[change method signature] adding a new parameter may have a default value with side effects', '2019-01-16 11:29:24 EST', 'daniel_megert'), ('ASSIGNED', '2019-01-16 11:29:24 EST', 'daniel_megert'), ('All', '2019-01-16 11:29:24 EST', 'daniel_megert'), ('stephan.herrmann', '2019-01-16 12:45:14 EST', 'stephan.herrmann'), ('stalebug', '2021-01-06 14:09:44 EST', 'genie')]</t>
  </si>
  <si>
    <t>2016-12-15 09:11:00 EST</t>
  </si>
  <si>
    <t>2016-07-01 07:17 EDT</t>
  </si>
  <si>
    <t>2016-12-15 02:53:11 EST</t>
  </si>
  <si>
    <t>[('CREATED', '2016-07-01 07:17 EDT'), ('register.eclipse', '2016-12-15 02:53:11 EST', 'register.eclipse'), ('https://git.eclipse.org/r/87201', '2016-12-15 02:56:32 EST', 'genie'), ('register.eclipse', '2016-12-15 03:04:05 EST', 'register.eclipse'), ('4.7 M5', '2016-12-15 03:04:05 EST', 'register.eclipse'), ('noopur_gupta', '2016-12-15 03:04:05 EST', 'register.eclipse'), ('[1.8][quick assist] Convert anonymous to nested class does not capture effectively final argument', '2016-12-15 07:38:06 EST', 'noopur_gupta'), ('https://git.eclipse.org/c/jdt/eclipse.jdt.ui.git/commit/?id=04ae6f952902543430830ef2d2c18b76e0fa9aed', '2016-12-15 09:09:53 EST', 'genie'), ('RESOLVED', '2016-12-15 09:11:00 EST', 'noopur_gupta'), ('FIXED', '2016-12-15 09:11:00 EST', 'noopur_gupta')]</t>
  </si>
  <si>
    <t>CLOSED  DUPLICATE  of bug 522378</t>
  </si>
  <si>
    <t>2017-09-15 14:05:32 EDT</t>
  </si>
  <si>
    <t>2016-07-03 13:29 EDT</t>
  </si>
  <si>
    <t>2016-07-03 13:41:36 EDT</t>
  </si>
  <si>
    <t>[('CREATED', '2016-07-03 13:29 EDT'), ('https://git.eclipse.org/r/75633', '2016-07-03 13:41:36 EDT', 'genie'), ('CLOSED', '2017-09-15 14:05:32 EDT', 'noopur_gupta'), ('noopur_gupta', '2017-09-15 14:05:32 EDT', 'noopur_gupta'), ('DUPLICATE', '2017-09-15 14:05:32 EDT', 'noopur_gupta')]</t>
  </si>
  <si>
    <t>2016-07-05 09:40 EDT</t>
  </si>
  <si>
    <t>2016-07-05 15:11:32 EDT</t>
  </si>
  <si>
    <t>2016-07-06 03:51:53 EDT</t>
  </si>
  <si>
    <t>[('CREATED', '2016-07-05 09:40 EDT'), ('stephan.herrmann', '2016-07-05 15:11:32 EDT', 'stephan.herrmann'), ('UI', '2016-07-05 15:11:32 EDT', 'stephan.herrmann'), ('jdt-ui-inbox', '2016-07-05 15:11:32 EDT', 'stephan.herrmann'), ('gautier.desaintmartinlacaze', '2016-07-06 03:51:53 EDT', 'gautier.desaintmartinlacaze')]</t>
  </si>
  <si>
    <t>35167 444002 (view as bug list)</t>
  </si>
  <si>
    <t>2016-07-18 04:19:12 EDT</t>
  </si>
  <si>
    <t>2016-07-06 04:45 EDT</t>
  </si>
  <si>
    <t>2016-07-13 06:43:04 EDT</t>
  </si>
  <si>
    <t>2016-07-18 04:19:34 EDT</t>
  </si>
  <si>
    <t>[('CREATED', '2016-07-06 04:45 EDT'), ('ASSIGNED', '2016-07-13 06:43:04 EDT', 'noopur_gupta'), ('noopur_gupta', '2016-07-13 06:43:04 EDT', 'noopur_gupta'), ('[1.8][pull up] Pull Up refactoring to interface generates broken code', '2016-07-13 06:43:04 EDT', 'noopur_gupta'), ('[pull up] Pull Up refactoring to interface generates broken code', '2016-07-15 07:51:27 EDT', 'noopur_gupta'), ('zorzella', '2016-07-15 07:52:36 EDT', 'noopur_gupta'), ('patrice_kerremans', '2016-07-15 08:03:24 EDT', 'noopur_gupta'), ('https://git.eclipse.org/r/77384', '2016-07-15 08:10:07 EDT', 'genie'), ('https://git.eclipse.org/c/jdt/eclipse.jdt.ui.git/commit/?id=a2db02a5370121790fc04dfd719f54f39ad664e0', '2016-07-18 04:07:03 EDT', 'genie'), ('RESOLVED', '2016-07-18 04:19:12 EDT', 'noopur_gupta'), ('FIXED', '2016-07-18 04:19:12 EDT', 'noopur_gupta'), ('4.7 M1', '2016-07-18 04:19:12 EDT', 'noopur_gupta'), ('noopur_gupta', '2016-07-18 04:19:34 EDT', 'noopur_gupta')]</t>
  </si>
  <si>
    <t>2020-02-01 10:30:37 EST</t>
  </si>
  <si>
    <t>2016-08-06 13:27 EDT</t>
  </si>
  <si>
    <t>[('CREATED', '2016-08-06 13:27 EDT'), ('stalebug', '2020-02-01 10:30:37 EST', 'genie'), ('WONTFIX', '2020-02-01 10:30:37 EST', 'genie'), ('CLOSED', '2020-02-01 10:30:37 EST', 'genie')]</t>
  </si>
  <si>
    <t>2020-03-09 15:35:50 EDT</t>
  </si>
  <si>
    <t>2016-08-06 13:36 EDT</t>
  </si>
  <si>
    <t>[('CREATED', '2016-08-06 13:36 EDT'), ('CLOSED', '2020-03-09 15:35:50 EDT', 'genie'), ('WONTFIX', '2020-03-09 15:35:50 EDT', 'genie'), ('stalebug', '2020-03-09 15:35:50 EDT', 'genie')]</t>
  </si>
  <si>
    <t>2016-08-06 13:42 EDT</t>
  </si>
  <si>
    <t>2019-12-09 19:39:08 EST</t>
  </si>
  <si>
    <t>[('CREATED', '2016-08-06 13:42 EDT'), ('stalebug', '2019-12-09 19:39:08 EST', 'genie')]</t>
  </si>
  <si>
    <t>2016-08-06 14:11 EDT</t>
  </si>
  <si>
    <t>2019-10-25 19:03:20 EDT</t>
  </si>
  <si>
    <t>[('CREATED', '2016-08-06 14:11 EDT'), ('stalebug', '2019-10-25 19:03:20 EDT', 'genie')]</t>
  </si>
  <si>
    <t>2020-05-03 00:58:53 EDT</t>
  </si>
  <si>
    <t>2016-08-06 18:56 EDT</t>
  </si>
  <si>
    <t>[('CREATED', '2016-08-06 18:56 EDT'), ('stalebug', '2020-05-03 00:58:53 EDT', 'genie'), ('WONTFIX', '2020-05-03 00:58:53 EDT', 'genie'), ('CLOSED', '2020-05-03 00:58:53 EDT', 'genie')]</t>
  </si>
  <si>
    <t>2020-04-13 17:49:25 EDT</t>
  </si>
  <si>
    <t>2016-08-06 19:02 EDT</t>
  </si>
  <si>
    <t>[('CREATED', '2016-08-06 19:02 EDT'), ('CLOSED', '2020-04-13 17:49:25 EDT', 'genie'), ('WONTFIX', '2020-04-13 17:49:25 EDT', 'genie'), ('stalebug', '2020-04-13 17:49:25 EDT', 'genie')]</t>
  </si>
  <si>
    <t>2020-03-29 05:41:30 EDT</t>
  </si>
  <si>
    <t>2016-08-06 19:04 EDT</t>
  </si>
  <si>
    <t>[('CREATED', '2016-08-06 19:04 EDT'), ('stalebug', '2020-03-29 05:41:30 EDT', 'genie'), ('WONTFIX', '2020-03-29 05:41:30 EDT', 'genie'), ('CLOSED', '2020-03-29 05:41:30 EDT', 'genie')]</t>
  </si>
  <si>
    <t>2019-04-10 04:07:35 EDT</t>
  </si>
  <si>
    <t>2016-08-06 19:06 EDT</t>
  </si>
  <si>
    <t>2019-04-09 15:32:41 EDT</t>
  </si>
  <si>
    <t>[('CREATED', '2016-08-06 19:06 EDT'), ('jjohnstn', '2019-04-09 15:32:41 EDT', 'jjohnstn'), ('daniel_megert', '2019-04-10 04:07:35 EDT', 'daniel_megert'), ('RESOLVED', '2019-04-10 04:07:35 EDT', 'daniel_megert'), ('WORKSFORME', '2019-04-10 04:07:35 EDT', 'daniel_megert')]</t>
  </si>
  <si>
    <t>2016-08-06 19:09 EDT</t>
  </si>
  <si>
    <t>2019-11-07 12:14:52 EST</t>
  </si>
  <si>
    <t>[('CREATED', '2016-08-06 19:09 EDT'), ('stalebug', '2019-11-07 12:14:52 EST', 'genie')]</t>
  </si>
  <si>
    <t>2016-08-06 19:11 EDT</t>
  </si>
  <si>
    <t>2019-12-14 15:24:50 EST</t>
  </si>
  <si>
    <t>[('CREATED', '2016-08-06 19:11 EDT'), ('stalebug', '2019-12-14 15:24:50 EST', 'genie')]</t>
  </si>
  <si>
    <t>2020-05-15 13:21:57 EDT</t>
  </si>
  <si>
    <t>2016-08-06 19:13 EDT</t>
  </si>
  <si>
    <t>[('CREATED', '2016-08-06 19:13 EDT'), ('CLOSED', '2020-05-15 13:21:57 EDT', 'genie'), ('WONTFIX', '2020-05-15 13:21:57 EDT', 'genie'), ('stalebug', '2020-05-15 13:21:57 EDT', 'genie')]</t>
  </si>
  <si>
    <t>2016-08-06 19:20 EDT</t>
  </si>
  <si>
    <t>2018-12-14 16:20:33 EST</t>
  </si>
  <si>
    <t>2018-12-16 12:36:25 EST</t>
  </si>
  <si>
    <t>[('CREATED', '2016-08-06 19:20 EDT'), ('stalebug', '2018-12-14 16:20:33 EST', 'genie'), ('kalyan_prasad', '2018-12-16 12:36:25 EST', 'daniel_megert'), ('daniel_megert', '2018-12-16 12:36:25 EST', 'daniel_megert')]</t>
  </si>
  <si>
    <t>2018-12-13 02:21:30 EST</t>
  </si>
  <si>
    <t>2016-08-06 19:23 EDT</t>
  </si>
  <si>
    <t>2018-12-12 17:51:27 EST</t>
  </si>
  <si>
    <t>[('CREATED', '2016-08-06 19:23 EDT'), ('stalebug', '2018-12-12 17:51:27 EST', 'genie'), ('WORKSFORME', '2018-12-13 02:21:30 EST', 'daniel_megert'), ('RESOLVED', '2018-12-13 02:21:30 EST', 'daniel_megert'), ('daniel_megert', '2018-12-13 02:21:30 EST', 'daniel_megert')]</t>
  </si>
  <si>
    <t>2020-04-23 16:42:31 EDT</t>
  </si>
  <si>
    <t>2016-08-06 19:26 EDT</t>
  </si>
  <si>
    <t>[('CREATED', '2016-08-06 19:26 EDT'), ('CLOSED', '2020-04-23 16:42:31 EDT', 'genie'), ('stalebug', '2020-04-23 16:42:31 EDT', 'genie'), ('WONTFIX', '2020-04-23 16:42:31 EDT', 'genie')]</t>
  </si>
  <si>
    <t>2019-12-17 05:06:30 EST</t>
  </si>
  <si>
    <t>2016-08-13 12:29 EDT</t>
  </si>
  <si>
    <t>2016-08-13 12:30:43 EDT</t>
  </si>
  <si>
    <t>[('CREATED', '2016-08-13 12:29 EDT'), ('The Refactor &gt; Rename feature does not work any longer in eclipse neon', '2016-08-13 12:30:43 EDT', 'bkinlaw'), ('psuzzi', '2016-08-13 13:11:44 EDT', 'psuzzi'), ('needinfo', '2016-08-13 14:13:57 EDT', 'psuzzi'), ('major', '2016-09-19 20:03:53 EDT', 'psuzzi'), ('rooneyp', '2017-03-28 05:22:27 EDT', 'rooneyp'), ('UI', '2017-03-28 05:35:04 EDT', 'Lars.Vogel'), ('jdt-ui-inbox', '2017-03-28 05:35:04 EDT', 'Lars.Vogel'), ('JDT', '2017-03-28 05:35:04 EDT', 'Lars.Vogel'), ('daniel_megert', '2017-03-28 09:22:10 EDT', 'daniel_megert'), ('stalebug', '2019-12-16 12:20:04 EST', 'genie'), ('RESOLVED', '2019-12-17 05:06:30 EST', 'daniel_megert'), ('WORKSFORME', '2019-12-17 05:06:30 EST', 'daniel_megert'), (nan, '2019-12-17 05:06:30 EST', 'daniel_megert')]</t>
  </si>
  <si>
    <t>510793</t>
  </si>
  <si>
    <t>2017-01-21 20:42:35 EST</t>
  </si>
  <si>
    <t>2016-08-16 03:52 EDT</t>
  </si>
  <si>
    <t>2016-08-16 04:04:48 EDT</t>
  </si>
  <si>
    <t>[('CREATED', '2016-08-16 03:52 EDT'), ('jarthana, stephan.herrmann', '2016-08-16 04:04:48 EDT', 'jarthana'), ('UI', '2016-08-16 04:04:48 EDT', 'jarthana'), ('jdt-ui-inbox', '2016-08-16 04:04:48 EDT', 'jarthana'), ('ASSIGNED', '2016-08-20 19:27:30 EDT', 'stephan.herrmann'), ('stephan.herrmann', '2016-08-20 19:27:30 EDT', 'stephan.herrmann'), ('4.7 M3', '2016-08-20 19:27:30 EDT', 'stephan.herrmann'), ('4.7 M4', '2016-10-24 14:28:20 EDT', 'stephan.herrmann'), ('markus_keller', '2016-12-06 08:26:11 EST', 'markus.kell.r'), ('4.7 M5', '2016-12-06 08:26:11 EST', 'markus.kell.r'), ('needinfo', '2017-01-17 12:02:10 EST', 'stephan.herrmann'), ('4.7', '2017-01-17 12:02:10 EST', 'stephan.herrmann'), ('4.6', '2017-01-20 16:33:39 EST', 'stephan.herrmann'), ('510793', '2017-01-20 19:54:35 EST', 'stephan.herrmann'), (nan, '2017-01-20 19:59:08 EST', 'stephan.herrmann'), ('https://git.eclipse.org/r/89282', '2017-01-21 12:05:57 EST', 'genie'), ('https://git.eclipse.org/c/jdt/eclipse.jdt.ui.git/commit/?id=aee701d580d37da2b24bd1f0fa4226fca6e8b1a3', '2017-01-21 13:37:21 EST', 'genie'), ('https://git.eclipse.org/r/89290', '2017-01-21 19:00:43 EST', 'genie'), ('https://git.eclipse.org/r/89291', '2017-01-21 19:00:46 EST', 'genie'), ('4.7 M5', '2017-01-21 19:21:17 EST', 'stephan.herrmann'), ('https://git.eclipse.org/c/jdt/eclipse.jdt.ui.git/commit/?id=ede97fab2d427a9f784dcc73eedd0c5807b65260', '2017-01-21 20:41:07 EST', 'genie'), ('https://git.eclipse.org/c/jdt/eclipse.jdt.ui.git/commit/?id=d8e34f0f4632e03968fe8385bb2eea8d8331077e', '2017-01-21 20:41:10 EST', 'genie'), ('FIXED', '2017-01-21 20:42:35 EST', 'stephan.herrmann'), ('RESOLVED', '2017-01-21 20:42:35 EST', 'stephan.herrmann')]</t>
  </si>
  <si>
    <t>520434 (view as bug list)</t>
  </si>
  <si>
    <t>353759</t>
  </si>
  <si>
    <t>2016-08-17 16:51 EDT</t>
  </si>
  <si>
    <t>2016-08-17 16:52:38 EDT</t>
  </si>
  <si>
    <t>2020-09-08 12:21:08 EDT</t>
  </si>
  <si>
    <t>[('CREATED', '2016-08-17 16:51 EDT'), ('viliam', '2016-08-17 16:52:38 EDT', 'viliam'), ('stephan.herrmann', '2016-08-17 17:03:48 EDT', 'stephan.herrmann'), ('UI', '2016-08-17 17:03:48 EDT', 'stephan.herrmann'), ('jdt-ui-inbox', '2016-08-17 17:03:48 EDT', 'stephan.herrmann'), ('ASSIGNED', '2016-12-21 12:19:29 EST', 'markus.kell.r'), ('markus_keller, noopur_gupta', '2016-12-21 12:19:29 EST', 'markus.kell.r'), ('353759', '2016-12-21 12:19:29 EST', 'markus.kell.r'), ('449106', '2016-12-21 12:26:06 EST', 'markus.kell.r'), ('daniel_megert', '2017-04-18 12:43:54 EDT', 'daniel_megert'), ('shorttail', '2017-08-02 09:44:17 EDT', 'noopur_gupta'), ('stalebug', '2020-09-08 12:21:08 EDT', 'genie')]</t>
  </si>
  <si>
    <t>2020-06-05 18:25:52 EDT</t>
  </si>
  <si>
    <t>2020-06-10 03:34:12 EDT</t>
  </si>
  <si>
    <t>2016-08-24 09:57 EDT</t>
  </si>
  <si>
    <t>2016-08-24 11:41:27 EDT</t>
  </si>
  <si>
    <t>[('CREATED', '2016-08-24 09:57 EDT'), ('UI', '2016-08-24 11:41:27 EDT', 'stephan.herrmann'), ('jdt-ui-inbox', '2016-08-24 11:41:27 EDT', 'stephan.herrmann'), ('[null] Refactoring ignores @NonNullByDefault', '2016-08-24 11:41:27 EDT', 'stephan.herrmann'), ('stephan.herrmann', '2016-08-24 11:41:27 EDT', 'stephan.herrmann'), ('register.eclipse', '2017-03-15 15:05:34 EDT', 'register.eclipse'), ('WONTFIX', '2020-02-01 16:10:36 EST', 'genie'), ('stalebug', '2020-02-01 16:10:36 EST', 'genie'), ('CLOSED', '2020-02-01 16:10:36 EST', 'genie'), ('stephan.herrmann', '2020-02-02 08:16:38 EST', 'stephan.herrmann'), ('---', '2020-02-02 08:16:38 EST', 'stephan.herrmann'), ('REOPENED', '2020-02-02 08:16:38 EST', 'stephan.herrmann'), ('helpwanted', '2020-02-02 08:16:38 EST', 'stephan.herrmann'), (nan, '2020-02-02 08:16:38 EST', 'stephan.herrmann'), ('enhancement', '2020-02-02 08:16:38 EST', 'stephan.herrmann'), (nan, '2020-06-04 11:16:30 EDT', 'register.eclipse'), (nan, '2020-06-05 18:25:52 EDT', 'stephan.herrmann'), ('WONTFIX', '2020-06-05 18:25:52 EDT', 'stephan.herrmann'), ('CLOSED', '2020-06-05 18:25:52 EDT', 'stephan.herrmann'), ('REOPENED', '2020-06-10 03:34:12 EDT', 'stephan.herrmann'), ('---', '2020-06-10 03:34:12 EDT', 'stephan.herrmann')]</t>
  </si>
  <si>
    <t>2019-03-22 13:22:13 EDT</t>
  </si>
  <si>
    <t>2016-09-12 22:39 EDT</t>
  </si>
  <si>
    <t>2016-09-13 00:02:43 EDT</t>
  </si>
  <si>
    <t>[('CREATED', '2016-09-12 22:39 EDT'), ('UI not showing all errors in relation to refactoring ltk', '2016-09-13 00:02:43 EDT', 'mr.sunny.narula'), ('jdt-ui-inbox', '2016-09-14 19:43:59 EDT', 'psuzzi'), ('JDT', '2016-09-14 19:43:59 EDT', 'psuzzi'), ('needinfo', '2016-09-14 19:43:59 EDT', 'psuzzi'), ('psuzzi', '2016-09-14 19:43:59 EDT', 'psuzzi'), ('UI', '2016-09-14 19:43:59 EDT', 'psuzzi'), ('stalebug', '2019-03-13 12:31:14 EDT', 'genie'), (nan, '2019-03-22 13:22:13 EDT', 'daniel_megert'), ('INVALID', '2019-03-22 13:22:13 EDT', 'daniel_megert'), ('RESOLVED', '2019-03-22 13:22:13 EDT', 'daniel_megert'), ('daniel_megert', '2019-03-22 13:22:13 EDT', 'daniel_megert')]</t>
  </si>
  <si>
    <t>2016-09-23 08:59:01 EDT</t>
  </si>
  <si>
    <t>2016-09-16 05:49 EDT</t>
  </si>
  <si>
    <t>2016-09-16 05:49:41 EDT</t>
  </si>
  <si>
    <t>[('CREATED', '2016-09-16 05:49 EDT'), ('[HighDPI] org.eclipse.ltk.ui.refactoring still uses GIFs', '2016-09-16 05:49:41 EDT', 'ma.becker'), ('https://git.eclipse.org/r/81222', '2016-09-16 05:51:25 EDT', 'genie'), ('https://git.eclipse.org/c/jdt/eclipse.jdt.ui.git/commit/?id=6a60a8e637bb106b2efc2986d123bf562f3d6e05', '2016-09-23 08:57:38 EDT', 'genie'), ('4.7 M3', '2016-09-23 08:59:01 EDT', 'noopur_gupta'), ('All', '2016-09-23 08:59:01 EDT', 'noopur_gupta'), ('RESOLVED', '2016-09-23 08:59:01 EDT', 'noopur_gupta'), ('noopur_gupta', '2016-09-23 08:59:01 EDT', 'noopur_gupta'), ('All', '2016-09-23 08:59:01 EDT', 'noopur_gupta'), ('FIXED', '2016-09-23 08:59:01 EDT', 'noopur_gupta'), ('ma.becker', '2016-09-23 08:59:01 EDT', 'noopur_gupta')]</t>
  </si>
  <si>
    <t>2016-09-19 02:03:06 EDT</t>
  </si>
  <si>
    <t>2016-09-17 07:05 EDT</t>
  </si>
  <si>
    <t>[('CREATED', '2016-09-17 07:05 EDT'), ('RESOLVED', '2016-09-19 02:03:06 EDT', 'noopur_gupta'), ('All', '2016-09-19 02:03:06 EDT', 'noopur_gupta'), ('noopur_gupta', '2016-09-19 02:03:06 EDT', 'noopur_gupta'), ('noopur_gupta', '2016-09-19 02:03:06 EDT', 'noopur_gupta'), ('FIXED', '2016-09-19 02:03:06 EDT', 'noopur_gupta'), ('[refactoring] "Introduce Redirection" dialog should use error icon on invalid method name', '2016-09-19 02:03:06 EDT', 'noopur_gupta'), ('4.7 M3', '2016-09-19 02:03:06 EDT', 'noopur_gupta'), ('All', '2016-09-19 02:03:06 EDT', 'noopur_gupta')]</t>
  </si>
  <si>
    <t>2020-04-23 16:42:04 EDT</t>
  </si>
  <si>
    <t>2016-09-27 10:20 EDT</t>
  </si>
  <si>
    <t>[('CREATED', '2016-09-27 10:20 EDT'), ('WONTFIX', '2020-04-23 16:42:04 EDT', 'genie'), ('stalebug', '2020-04-23 16:42:04 EDT', 'genie'), ('CLOSED', '2020-04-23 16:42:04 EDT', 'genie')]</t>
  </si>
  <si>
    <t>2020-05-05 14:50:22 EDT</t>
  </si>
  <si>
    <t>2016-10-14 08:51 EDT</t>
  </si>
  <si>
    <t>2016-10-14 09:51:04 EDT</t>
  </si>
  <si>
    <t>[('CREATED', '2016-10-14 08:51 EDT'), ('needinfo', '2016-10-14 09:51:04 EDT', 'daniel_megert'), ('daniel_megert', '2016-10-14 09:51:04 EDT', 'daniel_megert'), ('P5', '2016-10-14 10:22:24 EDT', 'daniel_megert'), ('ASSIGNED', '2016-10-14 10:22:24 EDT', 'daniel_megert'), ('WONTFIX', '2020-05-05 14:50:22 EDT', 'genie'), ('stalebug', '2020-05-05 14:50:22 EDT', 'genie'), ('CLOSED', '2020-05-05 14:50:22 EDT', 'genie')]</t>
  </si>
  <si>
    <t>460589 519582 520234 529387 529730 (view as bug list)</t>
  </si>
  <si>
    <t>2018-01-04 10:58:30 EST</t>
  </si>
  <si>
    <t>2016-10-14 16:13 EDT</t>
  </si>
  <si>
    <t>2016-10-14 16:14:34 EDT</t>
  </si>
  <si>
    <t>2019-06-18 10:35:07 EDT</t>
  </si>
  <si>
    <t>[('CREATED', '2016-10-14 16:13 EDT'), ('https://git.eclipse.org/r/83269', '2016-10-14 16:14:34 EDT', 'genie'), ('jarthana', '2016-10-16 23:51:17 EDT', 'jarthana'), ('review?(jarthana)', '2016-10-16 23:51:17 EDT', 'jarthana'), ('Lars.Vogel', '2016-12-15 12:37:56 EST', 'Lars.Vogel'), ('ASSIGNED', '2017-05-09 01:51:03 EDT', 'jarthana'), ('sxenos', '2017-05-09 01:51:03 EDT', 'jarthana'), ('4.7', '2017-05-09 01:51:03 EDT', 'jarthana'), ('review+', '2017-05-10 05:05:09 EDT', 'jarthana'), ('loskutov', '2017-05-17 17:41:14 EDT', 'loskutov'), ('https://git.eclipse.org/r/97434', '2017-05-18 07:58:16 EDT', 'genie'), ('manpalat', '2017-05-25 01:01:04 EDT', 'manpalat'), ('4.8', '2017-05-25 01:01:04 EDT', 'manpalat'), ('4.8 M1', '2017-05-25 01:01:04 EDT', 'manpalat'), ('https://git.eclipse.org/r/100637', '2017-07-04 10:10:28 EDT', 'genie'), ('a701440', '2017-07-24 13:52:48 EDT', 'loskutov'), ('4.8 M1', '2017-07-25 11:55:24 EDT', 'jarthana'), ('4.7.1 candidate', '2017-07-25 11:55:24 EDT', 'jarthana'), ('dvt', '2017-07-27 03:17:28 EDT', 'loskutov'), ('mark.hagan', '2017-07-27 03:20:02 EDT', 'loskutov'), ('eclipse', '2017-07-27 06:42:08 EDT', 'eclipse'), ('4.8 M2', '2017-08-03 05:40:46 EDT', 'manpalat'), ('4.7.2 candidate', '2017-08-14 02:10:33 EDT', 'manpalat'), ('4.8 M3', '2017-09-12 06:04:07 EDT', 'manpalat'), ('udo.walker', '2017-09-13 05:22:34 EDT', 'udo.walker'), ('4.8 M4', '2017-10-10 06:13:12 EDT', 'manpalat'), (nan, '2017-10-10 06:13:12 EDT', 'manpalat'), ('4.7.2', '2017-10-10 06:17:08 EDT', 'manpalat'), ('simeon.danailov.andreev', '2017-10-13 11:21:33 EDT', 'simeon.danailov.andreev'), ('4.7.3', '2017-11-15 03:42:54 EST', 'loskutov'), ('https://git.eclipse.org/r/111704', '2017-11-16 08:10:08 EST', 'genie'), ('https://git.eclipse.org/c/jdt/eclipse.jdt.ui.git/commit/?id=56d3426a06406a65656cfde951c141e6b288d9b0', '2017-11-16 10:01:24 EST', 'genie'), ('https://git.eclipse.org/r/111714', '2017-11-16 10:14:26 EST', 'genie'), ('mistria', '2017-11-16 14:49:56 EST', 'mistria'), ('performance', '2017-11-16 14:49:56 EST', 'mistria'), ('UI', '2017-11-16 15:04:04 EST', 'loskutov'), ('All', '2017-11-16 15:04:04 EST', 'loskutov'), ('All', '2017-11-16 15:04:34 EST', 'loskutov'), ('loskutov', '2017-11-16 15:04:34 EST', 'loskutov'), ('https://bugs.eclipse.org/bugs/show_bug.cgi?id=528108', '2017-12-04 11:37:21 EST', 'loskutov'), ('https://git.eclipse.org/c/jdt/eclipse.jdt.ui.git/commit/?id=e37c2f79e0c31afe012ca847ada228b05b4d974c', '2018-01-04 10:57:49 EST', 'genie'), ('simeon.danailov.andreev', '2018-01-04 10:58:30 EST', 'loskutov'), ('FIXED', '2018-01-04 10:58:30 EST', 'loskutov'), ('RESOLVED', '2018-01-04 10:58:30 EST', 'loskutov'), ('https://git.eclipse.org/r/115274', '2018-01-12 02:36:49 EST', 'genie'), ('https://git.eclipse.org/c/jdt/eclipse.jdt.ui.git/commit/?id=4c451ae0e077b4223f48c9a767e2a541e73e011b', '2018-01-12 02:38:04 EST', 'genie'), ('ppalaga', '2018-01-12 17:34:45 EST', 'loskutov'), ('nivaldoribeirofilho', '2018-07-20 10:33:44 EDT', 'nivaldoribeirofilho'), ('https://bugs.eclipse.org/bugs/show_bug.cgi?id=539470', '2018-10-01 08:22:19 EDT', 'loskutov'), ('George.Lindholm', '2019-06-18 10:35:07 EDT', 'loskutov')]</t>
  </si>
  <si>
    <t>2016-12-18 13:25:28 EST</t>
  </si>
  <si>
    <t>2016-10-17 16:18 EDT</t>
  </si>
  <si>
    <t>2016-10-17 16:23:55 EDT</t>
  </si>
  <si>
    <t>[('CREATED', '2016-10-17 16:18 EDT'), ('https://git.eclipse.org/r/83389', '2016-10-17 16:23:55 EDT', 'genie'), ('stephan.herrmann', '2016-11-09 14:45:15 EST', 'register.eclipse'), ('4.7 M4', '2016-11-09 14:45:15 EST', 'register.eclipse'), ('stephan.herrmann', '2016-11-09 14:45:15 EST', 'register.eclipse'), ('register.eclipse', '2016-11-29 16:35:07 EST', 'register.eclipse'), ('4.7 M5', '2016-12-06 01:17:23 EST', 'register.eclipse'), ('https://git.eclipse.org/c/jdt/eclipse.jdt.ui.git/commit/?id=fb2f5d78f09f9c68e06bac4034c3e60cd34baac1', '2016-12-18 13:24:40 EST', 'genie'), ('FIXED', '2016-12-18 13:25:28 EST', 'stephan.herrmann'), ('RESOLVED', '2016-12-18 13:25:28 EST', 'stephan.herrmann')]</t>
  </si>
  <si>
    <t>547572</t>
  </si>
  <si>
    <t>2019-05-23 02:03:00 EDT</t>
  </si>
  <si>
    <t>2019-05-23 04:47:37 EDT</t>
  </si>
  <si>
    <t>2019-05-22 14:24:28 EDT</t>
  </si>
  <si>
    <t>2016-10-19 12:46 EDT</t>
  </si>
  <si>
    <t>2018-11-19 05:21:07 EST</t>
  </si>
  <si>
    <t>[('CREATED', '2016-10-19 12:46 EDT'), ('stalebug', '2018-11-19 05:21:07 EST', 'genie'), ('4.12 M3', '2019-04-17 06:00:48 EDT', 'noopur_gupta'), ('noopur_gupta', '2019-04-17 06:00:48 EDT', 'noopur_gupta'), ('ASSIGNED', '2019-04-17 06:00:48 EDT', 'noopur_gupta'), (nan, '2019-04-17 06:00:48 EDT', 'noopur_gupta'), ('https://git.eclipse.org/r/140747', '2019-04-17 07:44:09 EDT', 'genie'), ('https://git.eclipse.org/c/jdt/eclipse.jdt.ui.git/commit/?id=eabd059a8747d8a367a9daf461d5ab0c0979eda1', '2019-04-19 02:25:11 EDT', 'genie'), ('FIXED', '2019-04-19 02:27:48 EDT', 'noopur_gupta'), ('RESOLVED', '2019-04-19 02:27:48 EDT', 'noopur_gupta'), ('---', '2019-05-22 14:24:28 EDT', 'rgrunber'), ('REOPENED', '2019-05-22 14:24:28 EDT', 'rgrunber'), ('rgrunber', '2019-05-22 14:24:28 EDT', 'rgrunber'), ('RESOLVED', '2019-05-23 02:03:00 EDT', 'noopur_gupta'), ('FIXED', '2019-05-23 02:03:00 EDT', 'noopur_gupta'), ('547572', '2019-05-23 02:05:06 EDT', 'noopur_gupta'), ('VERIFIED', '2019-05-23 04:47:37 EDT', 'noopur_gupta')]</t>
  </si>
  <si>
    <t>530298 544931</t>
  </si>
  <si>
    <t>2018-03-15 09:38:56 EDT</t>
  </si>
  <si>
    <t>2018-03-13 11:39:53 EDT</t>
  </si>
  <si>
    <t>2016-10-19 14:59 EDT</t>
  </si>
  <si>
    <t>2016-10-20 02:21:24 EDT</t>
  </si>
  <si>
    <t>2019-03-01 01:43:58 EST</t>
  </si>
  <si>
    <t>[('CREATED', '2016-10-19 14:59 EDT'), ('jarthana', '2016-10-20 02:21:24 EDT', 'jarthana'), ('manpalat', '2016-10-20 02:21:24 EDT', 'jarthana'), ('api', '2016-10-20 04:54:11 EDT', 'daniel_megert'), ('daniel_megert', '2016-10-20 04:54:11 EDT', 'daniel_megert'), ('enhancement', '2016-10-20 04:54:11 EDT', 'daniel_megert'), ('akurtakov', '2017-11-20 14:28:55 EST', 'akurtakov'), ('rgrunber', '2017-12-08 14:44:55 EST', 'rgrunber'), ('https://git.eclipse.org/r/113181', '2017-12-11 12:39:42 EST', 'genie'), ('https://git.eclipse.org/r/113182', '2017-12-11 12:41:57 EST', 'genie'), ('scela', '2017-12-11 13:59:33 EST', 'scela'), ('gautier.desaintmartinlacaze', '2017-12-20 20:24:22 EST', 'gautier.desaintmartinlacaze'), ('4.8 M6', '2018-01-23 08:25:59 EST', 'jarthana'), ('Lars.Vogel', '2018-01-23 11:30:57 EST', 'Lars.Vogel'), ('noopur_gupta, register.eclipse', '2018-01-31 18:26:43 EST', 'register.eclipse'), ('jdt-ui-inbox', '2018-01-31 23:08:31 EST', 'jarthana'), ('UI', '2018-01-31 23:08:31 EST', 'jarthana'), ('manpalat', '2018-02-02 04:10:11 EST', 'noopur_gupta'), (nan, '2018-02-06 04:16:06 EST', 'manpalat'), ('rgrunber', '2018-02-06 05:52:47 EST', 'noopur_gupta'), ('ASSIGNED', '2018-02-06 05:52:47 EST', 'noopur_gupta'), ('All', '2018-02-06 05:52:47 EST', 'noopur_gupta'), ('All', '2018-02-06 05:52:47 EST', 'noopur_gupta'), ('review?(noopur_gupta)', '2018-02-07 09:05:58 EST', 'daniel_megert'), ('530298', '2018-02-09 03:04:10 EST', 'noopur_gupta'), ('https://git.eclipse.org/c/jdt/eclipse.jdt.ui.git/commit/?id=9869ef43d1f4e82d161654a5a04f2afd7db6fef3', '2018-02-20 04:08:55 EST', 'genie'), ('review+', '2018-02-20 04:12:17 EST', 'noopur_gupta'), ('FIXED', '2018-02-20 04:12:17 EST', 'noopur_gupta'), ('RESOLVED', '2018-02-20 04:12:17 EST', 'noopur_gupta'), ('https://git.eclipse.org/r/118209', '2018-02-26 14:34:03 EST', 'genie'), ('https://git.eclipse.org/c/jdt/eclipse.jdt.ui.git/commit/?id=27c0b5e57387d0df160a523e6315bdde431f2857', '2018-03-02 17:55:48 EST', 'genie'), ('4.8 M7', '2018-03-13 11:39:53 EDT', 'daniel_megert'), ('---', '2018-03-13 11:39:53 EDT', 'daniel_megert'), ('REOPENED', '2018-03-13 11:39:53 EDT', 'daniel_megert'), ('https://git.eclipse.org/r/119433', '2018-03-14 15:04:54 EDT', 'genie'), ('https://git.eclipse.org/c/jdt/eclipse.jdt.ui.git/commit/?id=4c731bc9cc7e1cfd2e67746171aede8d7719e9c1', '2018-03-15 09:38:39 EDT', 'genie'), ('RESOLVED', '2018-03-15 09:38:56 EDT', 'daniel_megert'), ('FIXED', '2018-03-15 09:38:56 EDT', 'daniel_megert'), ('544931', '2019-03-01 01:43:58 EST', 'noopur_gupta')]</t>
  </si>
  <si>
    <t>2016-11-16 16:57:27 EST</t>
  </si>
  <si>
    <t>2016-11-18 14:15:34 EST</t>
  </si>
  <si>
    <t>2016-11-16 16:45:40 EST</t>
  </si>
  <si>
    <t>2016-11-03 23:00 EDT</t>
  </si>
  <si>
    <t>2016-11-03 23:02:00 EDT</t>
  </si>
  <si>
    <t>[('CREATED', '2016-11-03 23:00 EDT'), ('ASSIGNED', '2016-11-03 23:02:00 EDT', 'eclipse.sprigogin'), ('eclipse.sprigogin', '2016-11-03 23:02:00 EDT', 'eclipse.sprigogin'), ('4.7 M4', '2016-11-03 23:02:09 EDT', 'eclipse.sprigogin'), ('https://git.eclipse.org/r/84632', '2016-11-07 19:49:50 EST', 'genie'), ('RESOLVED', '2016-11-08 05:53:24 EST', 'noopur_gupta'), ('noopur_gupta', '2016-11-08 05:53:24 EST', 'noopur_gupta'), ('FIXED', '2016-11-08 05:53:24 EST', 'noopur_gupta'), ('REOPENED', '2016-11-16 16:45:40 EST', 'sxenos'), ('sxenos', '2016-11-16 16:45:40 EST', 'sxenos'), ('---', '2016-11-16 16:45:40 EST', 'sxenos'), ('https://git.eclipse.org/r/85176', '2016-11-16 16:46:40 EST', 'genie'), ('FIXED', '2016-11-16 16:57:27 EST', 'sxenos'), ('RESOLVED', '2016-11-16 16:57:27 EST', 'sxenos'), (nan, '2016-11-16 16:58:50 EST', 'eclipse.sprigogin'), ('VERIFIED', '2016-11-18 14:15:34 EST', 'eclipse.sprigogin')]</t>
  </si>
  <si>
    <t>CLOSED  DUPLICATE  of bug 197850</t>
  </si>
  <si>
    <t>2016-11-07 09:21:48 EST</t>
  </si>
  <si>
    <t>2016-11-05 18:41 EDT</t>
  </si>
  <si>
    <t>2016-11-05 18:43:52 EDT</t>
  </si>
  <si>
    <t>[('CREATED', '2016-11-05 18:41 EDT'), ('ruediger.herrmann', '2016-11-05 18:43:52 EDT', 'ruediger.herrmann'), ('CLOSED', '2016-11-07 09:21:48 EST', 'noopur_gupta'), ('noopur_gupta', '2016-11-07 09:21:48 EST', 'noopur_gupta'), ('DUPLICATE', '2016-11-07 09:21:48 EST', 'noopur_gupta')]</t>
  </si>
  <si>
    <t>2016-11-16 02:20 EST</t>
  </si>
  <si>
    <t>2016-11-16 02:20:55 EST</t>
  </si>
  <si>
    <t>2018-04-16 10:03:53 EDT</t>
  </si>
  <si>
    <t>[('CREATED', '2016-11-16 02:20 EST'), ('Lars.Vogel, mistria', '2016-11-16 02:20:55 EST', 'Lars.Vogel'), ('sxenos', '2016-11-16 02:21:09 EST', 'Lars.Vogel'), ('loskutov', '2016-11-16 02:34:30 EST', 'loskutov'), ('All', '2016-11-16 02:34:44 EST', 'loskutov'), ('All', '2016-11-16 02:34:44 EST', 'loskutov'), ('enhancement', '2016-11-16 02:34:44 EST', 'loskutov'), ('gautier.desaintmartinlacaze', '2016-11-16 03:55:41 EST', 'gautier.desaintmartinlacaze'), ('4.8', '2017-04-23 16:18:57 EDT', 'Lars.Vogel'), ('4.7.1', '2017-05-04 07:54:32 EDT', 'Lars.Vogel'), ('JDT', '2017-07-19 02:30:45 EDT', 'Lars.Vogel'), ('4.8', '2017-07-19 02:30:45 EDT', 'Lars.Vogel'), ('noopur_gupta', '2017-07-19 02:30:45 EDT', 'Lars.Vogel'), ('UI', '2017-07-19 02:30:45 EDT', 'Lars.Vogel'), ('jdt-ui-inbox', '2017-07-19 02:30:45 EDT', 'Lars.Vogel'), ('---', '2018-04-16 08:33:20 EDT', 'noopur_gupta'), ('ASSIGNED', '2018-04-16 10:03:53 EDT', 'daniel_megert'), ('daniel_megert', '2018-04-16 10:03:53 EDT', 'daniel_megert'), ('helpwanted', '2018-04-16 10:03:53 EDT', 'daniel_megert')]</t>
  </si>
  <si>
    <t>2016-11-16 09:36 EST</t>
  </si>
  <si>
    <t>2017-04-20 12:39:13 EDT</t>
  </si>
  <si>
    <t>2019-08-05 13:17:32 EDT</t>
  </si>
  <si>
    <t>[('CREATED', '2016-11-16 09:36 EST'), ('ASSIGNED', '2017-04-20 12:39:13 EDT', 'daniel_megert'), ('daniel_megert', '2017-04-20 12:39:13 EDT', 'daniel_megert'), ('kenneth', '2019-08-05 13:17:32 EDT', 'kenneth')]</t>
  </si>
  <si>
    <t>2016-11-16 09:39 EST</t>
  </si>
  <si>
    <t>2019-04-28 15:29:27 EDT</t>
  </si>
  <si>
    <t>2019-04-29 04:37:05 EDT</t>
  </si>
  <si>
    <t>[('CREATED', '2016-11-16 09:39 EST'), ('stalebug', '2019-04-28 15:29:27 EDT', 'genie'), ('daniel_megert', '2019-04-29 04:37:05 EDT', 'daniel_megert'), ('ASSIGNED', '2019-04-29 04:37:05 EDT', 'daniel_megert'), (nan, '2019-04-29 04:37:05 EDT', 'daniel_megert')]</t>
  </si>
  <si>
    <t>2017-04-19 11:53:36 EDT</t>
  </si>
  <si>
    <t>2016-11-17 05:41 EST</t>
  </si>
  <si>
    <t>[('CREATED', '2016-11-17 05:41 EST'), ('RESOLVED', '2017-04-19 11:53:36 EDT', 'daniel_megert'), ('daniel_megert', '2017-04-19 11:53:36 EDT', 'daniel_megert'), ('INVALID', '2017-04-19 11:53:36 EDT', 'daniel_megert')]</t>
  </si>
  <si>
    <t>2016-11-21 05:55 EST</t>
  </si>
  <si>
    <t>2016-11-22 03:43:25 EST</t>
  </si>
  <si>
    <t>2019-06-10 10:59:41 EDT</t>
  </si>
  <si>
    <t>[('CREATED', '2016-11-21 05:55 EST'), ('jarthana', '2016-11-22 03:43:25 EST', 'jarthana'), ('UI', '2016-11-22 03:43:25 EST', 'jarthana'), ('jdt-ui-inbox', '2016-11-22 03:43:25 EST', 'jarthana'), ('stalebug', '2019-06-09 20:08:36 EDT', 'genie'), ('[extract interface] Extract interface ignores deprecations', '2019-06-10 10:59:06 EDT', 'daniel_megert'), (nan, '2019-06-10 10:59:06 EDT', 'daniel_megert'), ('daniel_megert', '2019-06-10 10:59:06 EDT', 'daniel_megert'), ('ASSIGNED', '2019-06-10 10:59:06 EDT', 'daniel_megert'), ('[extract interface] Extract interface looses @Deprecated', '2019-06-10 10:59:41 EDT', 'daniel_megert')]</t>
  </si>
  <si>
    <t>2020-04-02 08:54:42 EDT</t>
  </si>
  <si>
    <t>2020-04-07 01:41:56 EDT</t>
  </si>
  <si>
    <t>2016-11-21 05:58 EST</t>
  </si>
  <si>
    <t>2016-11-21 07:54:52 EST</t>
  </si>
  <si>
    <t>[('CREATED', '2016-11-21 05:58 EST'), ('gautier.desaintmartinlacaze', '2016-11-21 07:54:52 EST', 'gautier.desaintmartinlacaze'), ('jarthana', '2016-11-21 08:33:56 EST', 'jarthana'), ('UI', '2016-11-21 08:33:56 EST', 'jarthana'), ('jdt-ui-inbox', '2016-11-21 08:33:56 EST', 'jarthana'), ('stalebug', '2020-04-02 08:54:42 EDT', 'genie'), ('CLOSED', '2020-04-02 08:54:42 EDT', 'genie'), ('WONTFIX', '2020-04-02 08:54:42 EDT', 'genie'), ('---', '2020-04-07 01:41:56 EDT', 'eclipse'), ('REOPENED', '2020-04-07 01:41:56 EDT', 'eclipse')]</t>
  </si>
  <si>
    <t>516450</t>
  </si>
  <si>
    <t>2016-11-27 14:34 EST</t>
  </si>
  <si>
    <t>2016-11-27 14:36:54 EST</t>
  </si>
  <si>
    <t>2020-05-10 06:28:34 EDT</t>
  </si>
  <si>
    <t>[('CREATED', '2016-11-27 14:34 EST'), ('https://git.eclipse.org/r/85838', '2016-11-27 14:36:54 EST', 'genie'), ('sxenos', '2016-11-27 14:49:46 EST', 'eclipse.sprigogin'), ('ASSIGNED', '2016-11-27 14:50:07 EST', 'eclipse.sprigogin'), ('eclipse.sprigogin', '2016-11-27 14:50:07 EST', 'eclipse.sprigogin'), ('4.7 M4', '2016-11-27 14:50:07 EST', 'eclipse.sprigogin'), ('https://git.eclipse.org/r/85840', '2016-11-27 14:54:02 EST', 'genie'), ('https://git.eclipse.org/c/platform/eclipse.platform.team.git/commit/?id=3faf9a6c45cf2d8f3f7dfca712ef31c70a964826', '2016-11-28 13:01:46 EST', 'genie'), ('markus_keller', '2016-12-05 09:30:12 EST', 'markus.kell.r'), ('4.7 M5', '2016-12-05 09:30:12 EST', 'markus.kell.r'), ('daniel_megert', '2016-12-05 12:04:54 EST', 'daniel_megert'), ('https://git.eclipse.org/r/86543', '2016-12-06 16:35:35 EST', 'genie'), ('504474', '2016-12-06 16:44:17 EST', 'eclipse.sprigogin'), ('https://git.eclipse.org/c/platform/eclipse.platform.team.git/commit/?id=97118c23b0193698f0b34f1468117c4070a797dc', '2016-12-07 08:14:05 EST', 'genie'), ('4.7 M6', '2017-01-23 16:11:14 EST', 'markus.kell.r'), ('gautier.desaintmartinlacaze', '2017-01-24 07:55:14 EST', 'gautier.desaintmartinlacaze'), ('4.7 M7', '2017-03-06 09:11:58 EST', 'markus.kell.r'), ('sxenos', '2017-04-13 10:09:56 EDT', 'daniel_megert'), ('4.8', '2017-04-14 04:48:25 EDT', 'daniel_megert'), ('516450', '2017-05-11 09:16:17 EDT', 'daniel_megert'), ('jdt-ui-inbox', '2018-04-20 06:12:36 EDT', 'noopur_gupta'), ('helpwanted', '2018-04-20 06:12:36 EDT', 'noopur_gupta'), ('---', '2018-04-20 06:12:36 EDT', 'noopur_gupta'), ('https://bugs.eclipse.org/bugs/show_bug.cgi?id=557993', '2020-05-10 06:28:34 EDT', 'stephan.herrmann')]</t>
  </si>
  <si>
    <t>2016-12-19 19:37:12 EST</t>
  </si>
  <si>
    <t>2016-12-06 12:13 EST</t>
  </si>
  <si>
    <t>2016-12-06 12:15:07 EST</t>
  </si>
  <si>
    <t>2017-11-30 19:52:33 EST</t>
  </si>
  <si>
    <t>tony.homer</t>
  </si>
  <si>
    <t>[('CREATED', '2016-12-06 12:13 EST'), ('markus_keller', '2016-12-06 12:15:07 EST', 'Olivier_Thomann'), ('Olivier_Thomann', '2016-12-06 16:14:08 EST', 'Olivier_Thomann'), ('https://git.eclipse.org/r/86544', '2016-12-06 16:46:18 EST', 'genie'), ('Move some corext packages/types to org.eclipse.jdt.core.manipulation bundle', '2016-12-07 15:10:46 EST', 'markus.kell.r'), ('review?', '2016-12-07 15:10:46 EST', 'markus.kell.r'), ('4.7 M5', '2016-12-07 15:10:46 EST', 'markus.kell.r'), (nan, '2016-12-07 15:17:57 EST', 'markus.kell.r'), ('gorkem.ercan', '2016-12-13 15:46:06 EST', 'gorkem.ercan'), ('noopur_gupta', '2016-12-14 09:59:11 EST', 'Olivier_Thomann'), ('blocker', '2016-12-15 10:27:50 EST', 'Olivier_Thomann'), ('jdt-ui-inbox', '2016-12-15 10:56:11 EST', 'Olivier_Thomann'), ('daniel_megert', '2016-12-15 11:32:14 EST', 'daniel_megert'), ('normal', '2016-12-15 11:32:14 EST', 'daniel_megert'), ('Olivier_Thomann', '2016-12-15 12:45:42 EST', 'daniel_megert'), ('All', '2016-12-15 18:29:50 EST', 'markus.kell.r'), ('All', '2016-12-15 18:29:50 EST', 'markus.kell.r'), ('enhancement', '2016-12-15 18:29:50 EST', 'markus.kell.r'), ('https://git.eclipse.org/c/jdt/eclipse.jdt.ui.git/commit/?id=e11f7938c07dc50c5370136649c39b3e838b3c30', '2016-12-19 18:27:32 EST', 'genie'), ('RESOLVED', '2016-12-19 19:37:12 EST', 'markus.kell.r'), ('FIXED', '2016-12-19 19:37:12 EST', 'markus.kell.r'), ('tony.homer', '2017-11-30 19:52:33 EST', 'tony.homer')]</t>
  </si>
  <si>
    <t>2020-03-07 09:38:26 EST</t>
  </si>
  <si>
    <t>2016-12-08 23:50 EST</t>
  </si>
  <si>
    <t>[('CREATED', '2016-12-08 23:50 EST'), ('stalebug', '2020-03-07 09:38:26 EST', 'genie'), ('WONTFIX', '2020-03-07 09:38:26 EST', 'genie'), ('CLOSED', '2020-03-07 09:38:26 EST', 'genie')]</t>
  </si>
  <si>
    <t>2016-12-14 07:14:00 EST</t>
  </si>
  <si>
    <t>2016-12-13 12:17 EST</t>
  </si>
  <si>
    <t>[('CREATED', '2016-12-13 12:17 EST'), ('noopur_gupta', '2016-12-14 07:14:00 EST', 'noopur_gupta'), ('All', '2016-12-14 07:14:00 EST', 'noopur_gupta'), ('FIXED', '2016-12-14 07:14:00 EST', 'noopur_gupta'), ('Olivier_Thomann', '2016-12-14 07:14:00 EST', 'noopur_gupta'), ('4.7 M5', '2016-12-14 07:14:00 EST', 'noopur_gupta'), ('All', '2016-12-14 07:14:00 EST', 'noopur_gupta'), ('RESOLVED', '2016-12-14 07:14:00 EST', 'noopur_gupta')]</t>
  </si>
  <si>
    <t>2016-12-22 10:33:15 EST</t>
  </si>
  <si>
    <t>2016-12-22 04:29 EST</t>
  </si>
  <si>
    <t>2016-12-22 04:47:29 EST</t>
  </si>
  <si>
    <t>2017-04-06 05:13:18 EDT</t>
  </si>
  <si>
    <t>[('CREATED', '2016-12-22 04:29 EST'), ('register.eclipse, stephan.herrmann', '2016-12-22 04:47:29 EST', 'stephan.herrmann'), ('4.7', '2016-12-22 04:47:29 EST', 'stephan.herrmann'), ('[null][quick fix] Refactor string literal equals calls', '2016-12-22 04:47:29 EST', 'stephan.herrmann'), ('stephan.herrmann', '2016-12-22 04:47:29 EST', 'stephan.herrmann'), ('enhancement', '2016-12-22 04:47:29 EST', 'stephan.herrmann'), ('noopur_gupta', '2016-12-22 07:55:18 EST', 'noopur_gupta'), ('daniel_megert', '2016-12-22 09:01:34 EST', 'daniel_megert'), ('Core', '2016-12-22 09:01:34 EST', 'daniel_megert'), ('jdt-core-inbox', '2016-12-22 09:01:34 EST', 'daniel_megert'), ('---', '2016-12-22 09:01:34 EST', 'daniel_megert'), (nan, '2016-12-22 09:17:18 EST', 'stephan.herrmann'), ('UI', '2016-12-22 09:27:29 EST', 'daniel_megert'), ('jdt-ui-inbox', '2016-12-22 09:27:29 EST', 'daniel_megert'), ('CLOSED', '2016-12-22 10:33:15 EST', 'frank.rene.benoit'), ('INVALID', '2016-12-22 10:33:15 EST', 'frank.rene.benoit'), ('gautier.desaintmartinlacaze', '2017-04-06 05:13:18 EDT', 'gautier.desaintmartinlacaze')]</t>
  </si>
  <si>
    <t>2017-01-12 20:23 EST</t>
  </si>
  <si>
    <t>2017-01-12 20:24:13 EST</t>
  </si>
  <si>
    <t>2020-06-03 17:24:30 EDT</t>
  </si>
  <si>
    <t>[('CREATED', '2017-01-12 20:23 EST'), ('fbricon, gorkem.ercan', '2017-01-12 20:24:13 EST', 'Olivier_Thomann'), ('stalebug', '2020-06-03 17:24:30 EDT', 'genie')]</t>
  </si>
  <si>
    <t>2017-01-31 06:53 EST</t>
  </si>
  <si>
    <t>2017-01-31 07:13:45 EST</t>
  </si>
  <si>
    <t>2018-04-17 09:37:37 EDT</t>
  </si>
  <si>
    <t>[('CREATED', '2017-01-31 06:53 EST'), ('david.weiser, Lars.Vogel', '2017-01-31 07:13:45 EST', 'Lars.Vogel'), ('Lars.Vogel', '2017-01-31 07:14:20 EST', 'Lars.Vogel'), ('4.7 M6', '2017-01-31 07:14:20 EST', 'Lars.Vogel'), ('All', '2017-01-31 07:14:20 EST', 'Lars.Vogel'), ('david.weiser', '2017-01-31 07:14:38 EST', 'Lars.Vogel'), ('https://git.eclipse.org/r/90058', '2017-02-01 07:00:23 EST', 'genie'), ('platform-text-inbox', '2017-02-09 10:41:38 EST', 'Lars.Vogel'), ('---', '2017-02-09 10:41:48 EST', 'Lars.Vogel'), ('enhancement', '2017-02-09 11:10:46 EST', 'daniel_megert'), ('ASSIGNED', '2017-02-09 11:10:46 EST', 'daniel_megert'), ('daniel_megert', '2017-02-09 11:10:46 EST', 'daniel_megert'), ('UI', '2017-02-09 11:10:46 EST', 'daniel_megert'), ('jdt-ui-inbox', '2017-02-09 11:10:46 EST', 'daniel_megert'), ('JDT', '2017-02-09 11:10:46 EST', 'daniel_megert'), ('[ltk] Resource deletion dialog should use "Delete" instead of "OK"', '2017-02-09 11:10:46 EST', 'daniel_megert'), ('4.8', '2017-05-30 16:43:39 EDT', 'Lars.Vogel'), ('[ltk] RefactoringWizardDialog2 dialog should use descriptive verbs instead of "OK"', '2017-05-30 16:44:17 EDT', 'Lars.Vogel'), ('david.weiser', '2017-05-30 16:51:55 EDT', 'Lars.Vogel'), ('---', '2018-04-17 07:29:13 EDT', 'noopur_gupta'), ('noopur_gupta', '2018-04-17 07:29:13 EDT', 'noopur_gupta'), ('api', '2018-04-17 09:37:37 EDT', 'daniel_megert')]</t>
  </si>
  <si>
    <t>2017-04-14 09:21:40 EDT</t>
  </si>
  <si>
    <t>2017-02-06 05:53 EST</t>
  </si>
  <si>
    <t>2017-02-06 05:53:22 EST</t>
  </si>
  <si>
    <t>[('CREATED', '2017-02-06 05:53 EST'), ('Lars.Vogel', '2017-02-06 05:53:22 EST', 'Lars.Vogel'), ('[Inline] Inline method does not remove unnecessary import', '2017-02-06 05:53:22 EST', 'Lars.Vogel'), ('DUPLICATE', '2017-04-14 09:21:40 EDT', 'daniel_megert'), ('[inline] Inline method does not remove unnecessary import', '2017-04-14 09:21:40 EDT', 'daniel_megert'), ('CLOSED', '2017-04-14 09:21:40 EDT', 'daniel_megert'), ('daniel_megert', '2017-04-14 09:21:40 EDT', 'daniel_megert')]</t>
  </si>
  <si>
    <t>2020-05-18 16:46:12 EDT</t>
  </si>
  <si>
    <t>2017-03-01 10:54 EST</t>
  </si>
  <si>
    <t>[('CREATED', '2017-03-01 10:54 EST'), ('CLOSED', '2020-05-18 16:46:12 EDT', 'genie'), ('stalebug', '2020-05-18 16:46:12 EDT', 'genie'), ('WONTFIX', '2020-05-18 16:46:12 EDT', 'genie')]</t>
  </si>
  <si>
    <t>2019-10-31 07:22:06 EDT</t>
  </si>
  <si>
    <t>2017-03-19 05:52 EDT</t>
  </si>
  <si>
    <t>2017-03-19 09:45:37 EDT</t>
  </si>
  <si>
    <t>[('CREATED', '2017-03-19 05:52 EDT'), ('stephan.herrmann', '2017-03-19 09:45:37 EDT', 'stephan.herrmann'), ('UI', '2017-03-19 09:45:37 EDT', 'stephan.herrmann'), ('jdt-ui-inbox', '2017-03-19 09:45:37 EDT', 'stephan.herrmann'), ('gautier.desaintmartinlacaze', '2017-03-23 08:23:10 EDT', 'gautier.desaintmartinlacaze'), ('needinfo', '2017-05-02 02:57:14 EDT', 'noopur_gupta'), ('noopur_gupta', '2017-05-02 02:57:14 EDT', 'noopur_gupta'), ('stalebug', '2019-10-30 12:34:02 EDT', 'genie'), (nan, '2019-10-31 07:22:06 EDT', 'noopur_gupta'), ('WORKSFORME', '2019-10-31 07:22:06 EDT', 'noopur_gupta'), ('RESOLVED', '2019-10-31 07:22:06 EDT', 'noopur_gupta'), (nan, '2019-10-31 07:22:06 EDT', 'noopur_gupta')]</t>
  </si>
  <si>
    <t>2020-03-24 11:43:19 EDT</t>
  </si>
  <si>
    <t>2017-04-07 06:15 EDT</t>
  </si>
  <si>
    <t>2017-04-07 06:15:30 EDT</t>
  </si>
  <si>
    <t>[('CREATED', '2017-04-07 06:15 EDT'), ('ruediger.herrmann', '2017-04-07 06:15:30 EDT', 'ruediger.herrmann'), ('stalebug', '2020-03-24 11:43:19 EDT', 'genie'), ('WONTFIX', '2020-03-24 11:43:19 EDT', 'genie'), ('CLOSED', '2020-03-24 11:43:19 EDT', 'genie')]</t>
  </si>
  <si>
    <t>2017-04-30 15:16:50 EDT</t>
  </si>
  <si>
    <t>2017-04-08 11:46 EDT</t>
  </si>
  <si>
    <t>2017-04-08 11:50:37 EDT</t>
  </si>
  <si>
    <t>[('CREATED', '2017-04-08 11:46 EDT'), ('https://git.eclipse.org/r/94712', '2017-04-08 11:50:37 EDT', 'genie'), ('register.eclipse', '2017-04-08 11:51:27 EDT', 'register.eclipse'), ('4.7 M7', '2017-04-08 11:51:27 EDT', 'register.eclipse'), ('stephan.herrmann', '2017-04-08 11:51:27 EDT', 'register.eclipse'), ('https://bugs.eclipse.org/bugs/show_bug.cgi?id=443146', '2017-04-08 14:26:19 EDT', 'register.eclipse'), ('https://git.eclipse.org/c/jdt/eclipse.jdt.ui.git/commit/?id=a62f8b9702a58e61a61970c539c8935549aa7970', '2017-04-30 15:15:19 EDT', 'genie'), ('RESOLVED', '2017-04-30 15:16:50 EDT', 'stephan.herrmann'), ('FIXED', '2017-04-30 15:16:50 EDT', 'stephan.herrmann')]</t>
  </si>
  <si>
    <t>2017-04-21 14:49 EDT</t>
  </si>
  <si>
    <t>2020-08-16 14:02:28 EDT</t>
  </si>
  <si>
    <t>2020-08-17 02:39:30 EDT</t>
  </si>
  <si>
    <t>[('CREATED', '2017-04-21 14:49 EDT'), ('stalebug', '2020-08-16 14:02:28 EDT', 'genie'), ('kalyan_prasad', '2020-08-17 02:39:30 EDT', 'kalyan_prasad'), ('ASSIGNED', '2020-08-17 02:39:30 EDT', 'kalyan_prasad'), ('needinfo', '2020-08-17 02:39:30 EDT', 'kalyan_prasad')]</t>
  </si>
  <si>
    <t>ColorInfoApi 531869</t>
  </si>
  <si>
    <t>LinuxIDEColorTracker</t>
  </si>
  <si>
    <t>2018-03-01 14:38:16 EST</t>
  </si>
  <si>
    <t>2018-03-12 04:09:11 EDT</t>
  </si>
  <si>
    <t>2017-04-25 06:16 EDT</t>
  </si>
  <si>
    <t>2017-04-25 06:17:11 EDT</t>
  </si>
  <si>
    <t>[('CREATED', '2017-04-25 06:16 EDT'), ('Lars.Vogel, lufimtse', '2017-04-25 06:17:11 EDT', 'Lars.Vogel'), ('daniel_megert', '2017-04-25 06:28:02 EDT', 'daniel_megert'), ('507072', '2017-04-26 14:37:31 EDT', 'lufimtse'), ('https://git.eclipse.org/r/96069', '2017-04-28 17:04:05 EDT', 'genie'), ('ASSIGNED', '2017-04-28 17:05:35 EDT', 'lufimtse'), ('lufimtse', '2017-04-28 17:05:35 EDT', 'lufimtse'), ('2017-05-02', '2017-04-28 17:09:07 EDT', 'lufimtse'), ('Need to fix on dark theme', '2017-05-01 10:27:28 EDT', 'lufimtse'), ('508819', '2017-05-02 09:35:30 EDT', 'lufimtse'), ('1) Awaiting INFORMATION_ patch, 2) Need to fix on dark theme,', '2017-05-02 09:36:04 EDT', 'lufimtse'), (nan, '2017-05-02 15:47:12 EDT', 'lufimtse'), ('Pending.dependents', '2017-05-02 15:47:12 EDT', 'lufimtse'), ('darkThmRefactorPopup', '2017-05-29 12:29:47 EDT', 'lufimtse'), ('ThmRefactorPopupDark', '2017-05-29 12:30:13 EDT', 'lufimtse'), ('refactorPopupBlackBg', '2017-05-29 12:32:41 EDT', 'lufimtse'), ('todo', '2017-10-12 11:50:15 EDT', 'lufimtse'), ('jdt-ui-inbox', '2018-02-06 14:59:27 EST', 'lufimtse'), ('NEW', '2018-02-06 14:59:27 EST', 'lufimtse'), ('rgrunber', '2018-02-06 14:59:27 EST', 'lufimtse'), ('rgrunber', '2018-02-07 02:40:36 EST', 'Lars.Vogel'), ('4.8 M6', '2018-02-07 02:40:36 EST', 'Lars.Vogel'), ('noopur_gupta', '2018-02-12 06:50:44 EST', 'noopur_gupta'), ('4.8 M7', '2018-02-27 06:49:50 EST', 'sarika.sinha'), ('sarika.sinha', '2018-02-27 06:49:50 EST', 'sarika.sinha'), ('4.8 M6', '2018-02-28 14:29:13 EST', 'Lars.Vogel'), ('register.eclipse', '2018-02-28 15:55:11 EST', 'register.eclipse'), ('https://git.eclipse.org/c/jdt/eclipse.jdt.ui.git/commit/?id=4d3519b39713d0a7190674c8ce5e23339eccc9ae', '2018-03-01 14:33:30 EST', 'genie'), ('register.eclipse', '2018-03-01 14:38:16 EST', 'register.eclipse'), ('531869', '2018-03-01 14:38:16 EST', 'register.eclipse'), ('FIXED', '2018-03-01 14:38:16 EST', 'register.eclipse'), ('RESOLVED', '2018-03-01 14:38:16 EST', 'register.eclipse'), (nan, '2018-03-01 14:38:16 EST', 'register.eclipse'), ('VERIFIED', '2018-03-12 04:09:11 EDT', 'noopur_gupta')]</t>
  </si>
  <si>
    <t>2017-09-21 13:49:18 EDT</t>
  </si>
  <si>
    <t>2017-04-27 13:42 EDT</t>
  </si>
  <si>
    <t>2017-04-28 04:51:45 EDT</t>
  </si>
  <si>
    <t>[('CREATED', '2017-04-27 13:42 EDT'), ('markus_keller', '2017-04-28 04:51:45 EDT', 'daniel_megert'), ('daniel_megert', '2017-04-28 04:51:45 EDT', 'daniel_megert'), ('noopur_gupta', '2017-08-23 07:18:18 EDT', 'noopur_gupta'), ('kalyan_prasad', '2017-08-23 07:18:18 EDT', 'noopur_gupta'), ('https://git.eclipse.org/r/103598', '2017-08-24 03:51:53 EDT', 'genie'), ('ASSIGNED', '2017-09-20 22:36:11 EDT', 'noopur_gupta'), ('manpalat', '2017-09-20 22:36:11 EDT', 'noopur_gupta'), ('All', '2017-09-20 22:36:11 EDT', 'noopur_gupta'), ('4.7.1a', '2017-09-20 22:36:11 EDT', 'noopur_gupta'), ('review?(manpalat)', '2017-09-20 22:36:11 EDT', 'noopur_gupta'), ('All', '2017-09-20 22:36:11 EDT', 'noopur_gupta'), ('review+', '2017-09-21 13:41:32 EDT', 'manpalat'), ('https://git.eclipse.org/c/jdt/eclipse.jdt.ui.git/commit/?id=4598e22dc6825024f7b3f2856c2d617bcd20a854', '2017-09-21 13:48:01 EDT', 'genie'), ('https://git.eclipse.org/r/105585', '2017-09-21 13:48:14 EDT', 'genie'), ('https://git.eclipse.org/c/jdt/eclipse.jdt.ui.git/commit/?id=479bcec11f31d4b4dc0907ceedbf78501ad535fc', '2017-09-21 13:48:36 EDT', 'genie'), ('RESOLVED', '2017-09-21 13:49:18 EDT', 'noopur_gupta'), ('FIXED', '2017-09-21 13:49:18 EDT', 'noopur_gupta')]</t>
  </si>
  <si>
    <t>2017-05-01 11:53 EDT</t>
  </si>
  <si>
    <t>2017-05-01 11:53:35 EDT</t>
  </si>
  <si>
    <t>2019-02-07 03:18:37 EST</t>
  </si>
  <si>
    <t>[('CREATED', '2017-05-01 11:53 EDT'), ('ASSIGNED', '2017-05-01 11:53:35 EDT', 'lufimtse'), ('lufimtse', '2017-05-01 11:53:35 EDT', 'lufimtse'), ('https://bugs.eclipse.org/bugs/show_bug.cgi?id=515972', '2017-05-02 10:00:09 EDT', 'lufimtse'), ('All', '2017-05-02 10:36:15 EDT', 'daniel_megert'), ('4.8', '2017-05-02 10:36:15 EDT', 'daniel_megert'), ('All', '2017-05-02 10:36:15 EDT', 'daniel_megert'), ('enhancement', '2017-05-02 10:36:15 EDT', 'daniel_megert'), ('api', '2017-05-02 10:36:15 EDT', 'daniel_megert'), ('daniel_megert', '2017-05-02 10:36:15 EDT', 'daniel_megert'), ('Pending.Oxygen', '2017-05-02 15:40:17 EDT', 'lufimtse'), (nan, '2017-08-02 12:05:36 EDT', 'lufimtse'), ('jdt-ui-inbox', '2018-02-06 15:02:49 EST', 'lufimtse'), ('NEW', '2018-02-06 15:02:49 EST', 'lufimtse'), ('lufimtse, rgrunber', '2018-02-06 15:02:49 EST', 'lufimtse'), ('Lars.Vogel', '2018-02-06 15:40:23 EST', 'lufimtse'), ('507072', '2018-02-06 15:40:23 EST', 'lufimtse'), ('https://bugs.eclipse.org/bugs/show_bug.cgi?id=516364', '2018-02-08 09:27:24 EST', 'lufimtse'), ('gautier.desaintmartinlacaze', '2018-02-28 14:30:45 EST', 'gautier.desaintmartinlacaze'), ('noopur_gupta', '2018-04-13 07:07:34 EDT', 'noopur_gupta'), ('4.9', '2018-04-13 07:07:34 EDT', 'noopur_gupta'), (nan, '2018-07-13 17:37:48 EDT', 'lufimtse'), ('kalyan_prasad', '2018-08-27 02:38:23 EDT', 'kalyan_prasad'), ('4.10', '2018-08-27 02:38:23 EDT', 'kalyan_prasad'), ('4.11', '2018-11-19 04:19:32 EST', 'noopur_gupta'), ('---', '2019-02-07 03:18:37 EST', 'noopur_gupta')]</t>
  </si>
  <si>
    <t>2020-03-02 11:47:19 EST</t>
  </si>
  <si>
    <t>2017-05-09 11:42 EDT</t>
  </si>
  <si>
    <t>2017-05-09 11:42:58 EDT</t>
  </si>
  <si>
    <t>[('CREATED', '2017-05-09 11:42 EDT'), ('ASSIGNED', '2017-05-09 11:42:58 EDT', 'noopur_gupta'), ('All', '2017-05-09 11:42:58 EDT', 'noopur_gupta'), ('All', '2017-05-09 11:42:58 EDT', 'noopur_gupta'), ('stalebug', '2020-03-02 11:47:19 EST', 'genie'), ('CLOSED', '2020-03-02 11:47:19 EST', 'genie'), ('WONTFIX', '2020-03-02 11:47:19 EST', 'genie')]</t>
  </si>
  <si>
    <t>2020-01-22 04:14:46 EST</t>
  </si>
  <si>
    <t>2017-05-19 02:05 EDT</t>
  </si>
  <si>
    <t>2017-05-22 12:17:20 EDT</t>
  </si>
  <si>
    <t>[('CREATED', '2017-05-19 02:05 EDT'), ('daniel_megert', '2017-05-22 12:17:20 EDT', 'daniel_megert'), ('WONTFIX', '2020-01-22 04:14:46 EST', 'genie'), ('stalebug', '2020-01-22 04:14:46 EST', 'genie'), ('CLOSED', '2020-01-22 04:14:46 EST', 'genie')]</t>
  </si>
  <si>
    <t>CLOSED  DUPLICATE  of bug 351410</t>
  </si>
  <si>
    <t>2017-05-23 04:42:08 EDT</t>
  </si>
  <si>
    <t>2017-05-23 04:22 EDT</t>
  </si>
  <si>
    <t>2017-05-23 04:23:47 EDT</t>
  </si>
  <si>
    <t>[('CREATED', '2017-05-23 04:22 EDT'), ('loskutov', '2017-05-23 04:23:47 EDT', 'simeon.danailov.andreev'), ('CLOSED', '2017-05-23 04:42:08 EDT', 'daniel_megert'), ('daniel_megert', '2017-05-23 04:42:08 EDT', 'daniel_megert'), ('DUPLICATE', '2017-05-23 04:42:08 EDT', 'daniel_megert')]</t>
  </si>
  <si>
    <t>2020-04-16 13:39:57 EDT</t>
  </si>
  <si>
    <t>2017-06-08 05:33 EDT</t>
  </si>
  <si>
    <t>2017-06-08 06:04:59 EDT</t>
  </si>
  <si>
    <t>[('CREATED', '2017-06-08 05:33 EDT'), ('needinfo', '2017-06-08 06:04:59 EDT', 'daniel_megert'), ('daniel_megert', '2017-06-08 06:04:59 EDT', 'daniel_megert'), ('noopur_gupta', '2017-06-08 12:17:40 EDT', 'daniel_megert'), ('4.8', '2017-06-08 12:17:40 EDT', 'daniel_megert'), ('jdt-ui-inbox', '2018-04-13 06:56:13 EDT', 'noopur_gupta'), ('---', '2018-04-13 06:56:13 EDT', 'noopur_gupta'), ('CLOSED', '2020-04-16 13:39:57 EDT', 'genie'), ('stalebug', '2020-04-16 13:39:57 EDT', 'genie'), ('WONTFIX', '2020-04-16 13:39:57 EDT', 'genie')]</t>
  </si>
  <si>
    <t>2020-01-29 15:29:43 EST</t>
  </si>
  <si>
    <t>2017-06-13 01:23 EDT</t>
  </si>
  <si>
    <t>[('CREATED', '2017-06-13 01:23 EDT'), ('WONTFIX', '2020-01-29 15:29:43 EST', 'genie'), ('stalebug', '2020-01-29 15:29:43 EST', 'genie'), ('CLOSED', '2020-01-29 15:29:43 EST', 'genie')]</t>
  </si>
  <si>
    <t>2017-06-22 10:31:39 EDT</t>
  </si>
  <si>
    <t>2017-06-15 10:17 EDT</t>
  </si>
  <si>
    <t>2017-06-15 10:18:29 EDT</t>
  </si>
  <si>
    <t>[('CREATED', '2017-06-15 10:17 EDT'), ('olivier.grassaud', '2017-06-15 10:18:29 EDT', 'olivier.grassaud'), ('ui, usability', '2017-06-15 10:21:18 EDT', 'olivier.grassaud'), (nan, '2017-06-15 10:22:34 EDT', 'daniel_megert'), ('daniel_megert', '2017-06-15 10:22:34 EDT', 'daniel_megert'), ('RESOLVED', '2017-06-22 10:31:39 EDT', 'daniel_megert'), ('NOT_ECLIPSE', '2017-06-22 10:31:39 EDT', 'daniel_megert')]</t>
  </si>
  <si>
    <t>521355 (view as bug list)</t>
  </si>
  <si>
    <t>520300</t>
  </si>
  <si>
    <t>2017-08-31 06:39:29 EDT</t>
  </si>
  <si>
    <t>2017-07-11 05:19:26 EDT</t>
  </si>
  <si>
    <t>2017-07-11 06:08:10 EDT</t>
  </si>
  <si>
    <t>2017-07-10 06:04 EDT</t>
  </si>
  <si>
    <t>2018-07-19 07:41:34 EDT</t>
  </si>
  <si>
    <t>[('CREATED', '2017-07-10 06:04 EDT'), ('RESOLVED', '2017-07-11 05:19:26 EDT', 'sasikanth.bharadwaj'), ('INVALID', '2017-07-11 05:19:26 EDT', 'sasikanth.bharadwaj'), ('BETA J9', '2017-07-11 05:19:26 EDT', 'sasikanth.bharadwaj'), ('---', '2017-07-11 06:08:10 EDT', 'w.zitzelsberger'), ('REOPENED', '2017-07-11 06:08:10 EDT', 'w.zitzelsberger'), ('[9] Add --add-exports support in IDE', '2017-07-11 06:30:45 EDT', 'sasikanth.bharadwaj'), ('jarthana, noopur_gupta', '2017-07-11 11:22:04 EDT', 'jarthana'), ('UI', '2017-07-11 11:22:04 EDT', 'jarthana'), ('jdt-ui-inbox', '2017-07-11 11:22:04 EDT', 'jarthana'), ('daniel_megert', '2017-07-11 11:53:45 EDT', 'daniel_megert'), ('stephan.herrmann', '2017-07-11 16:11:22 EDT', 'stephan.herrmann'), ('https://git.eclipse.org/r/102490', '2017-08-03 16:09:16 EDT', 'genie'), ('stephan.herrmann', '2017-08-03 16:13:25 EDT', 'stephan.herrmann'), ('https://git.eclipse.org/r/102544', '2017-08-04 10:22:53 EDT', 'genie'), ('https://git.eclipse.org/c/jdt/eclipse.jdt.core.git/commit/?id=2382903d523e8107d8ced048a61b925ed1fbb620', '2017-08-04 11:41:02 EDT', 'genie'), ('sarika.sinha', '2017-08-05 03:36:31 EDT', 'daniel_megert'), ('https://git.eclipse.org/r/102568', '2017-08-05 08:53:32 EDT', 'genie'), ('https://git.eclipse.org/c/jdt/eclipse.jdt.core.git/commit/?id=8af65b1cffd9d89bcc44847f7f1f3b58a5b432e5', '2017-08-05 10:42:54 EDT', 'genie'), ('sasikanth.bharadwaj', '2017-08-07 01:45:42 EDT', 'sasikanth.bharadwaj'), ('sarika.sinha', '2017-08-09 04:01:53 EDT', 'daniel_megert'), ('520300', '2017-08-12 08:59:23 EDT', 'stephan.herrmann'), ('https://git.eclipse.org/r/103733', '2017-08-26 15:37:18 EDT', 'genie'), ('https://git.eclipse.org/c/jdt/eclipse.jdt.core.git/commit/?id=10dd02010dd61fe266fb956c77e9e4e93f61367c', '2017-08-26 17:10:06 EDT', 'genie'), ('eugen.rabii', '2017-08-29 10:20:21 EDT', 'stephan.herrmann'), ('521662', '2017-08-31 06:29:03 EDT', 'stephan.herrmann'), ('521663', '2017-08-31 06:29:16 EDT', 'stephan.herrmann'), ('https://git.eclipse.org/c/jdt/eclipse.jdt.ui.git/commit/?id=46485a8139ffed6862fd7742c179a71cf2e34a20', '2017-08-31 06:37:59 EDT', 'genie'), ('RESOLVED', '2017-08-31 06:39:29 EDT', 'stephan.herrmann'), ('FIXED', '2017-08-31 06:39:29 EDT', 'stephan.herrmann'), ('521675', '2017-08-31 08:27:32 EDT', 'noopur_gupta'), ('521676', '2017-08-31 08:38:09 EDT', 'noopur_gupta'), ('521677', '2017-08-31 08:46:49 EDT', 'noopur_gupta'), ('521666', '2017-08-31 08:48:58 EDT', 'noopur_gupta'), ('521680', '2017-08-31 08:55:59 EDT', 'noopur_gupta'), ('521683', '2017-08-31 09:02:17 EDT', 'noopur_gupta'), ('521687', '2017-08-31 09:38:31 EDT', 'noopur_gupta'), ('521690', '2017-08-31 09:51:17 EDT', 'noopur_gupta'), ('521691', '2017-08-31 10:05:21 EDT', 'noopur_gupta'), ('521699', '2017-08-31 10:52:35 EDT', 'noopur_gupta'), ('521702', '2017-08-31 11:07:34 EDT', 'noopur_gupta'), ('535267', '2018-05-29 06:39:18 EDT', 'daniel_megert'), ('https://bugs.eclipse.org/bugs/show_bug.cgi?id=487421', '2018-07-19 07:41:34 EDT', 'stephan.herrmann')]</t>
  </si>
  <si>
    <t>2017-07-13 09:43:02 EDT</t>
  </si>
  <si>
    <t>2017-07-10 07:42 EDT</t>
  </si>
  <si>
    <t>2017-07-10 11:10:05 EDT</t>
  </si>
  <si>
    <t>[('CREATED', '2017-07-10 07:42 EDT'), ('jdt-ui-inbox', '2017-07-10 11:10:05 EDT', 'kitlo'), ('JDT', '2017-07-10 11:10:05 EDT', 'kitlo'), ('kitlo', '2017-07-10 11:10:05 EDT', 'kitlo'), ('UI', '2017-07-10 11:10:05 EDT', 'kitlo'), ('4.7', '2017-07-10 11:10:05 EDT', 'kitlo'), ('RESOLVED', '2017-07-13 09:43:02 EDT', 'noopur_gupta'), ('noopur_gupta', '2017-07-13 09:43:02 EDT', 'noopur_gupta'), ('All', '2017-07-13 09:43:02 EDT', 'noopur_gupta'), ('FIXED', '2017-07-13 09:43:02 EDT', 'noopur_gupta'), ('Vikas.Chandra', '2017-07-13 09:43:02 EDT', 'noopur_gupta'), ('4.8 M1', '2017-07-13 09:43:02 EDT', 'noopur_gupta'), ('All', '2017-07-13 09:43:02 EDT', 'noopur_gupta')]</t>
  </si>
  <si>
    <t>2017-07-13 13:32 EDT</t>
  </si>
  <si>
    <t>2017-07-13 13:36:10 EDT</t>
  </si>
  <si>
    <t>2017-12-04 01:20:01 EST</t>
  </si>
  <si>
    <t>[('CREATED', '2017-07-13 13:32 EDT'), ('bugday, helpwanted', '2017-07-13 13:36:10 EDT', 'Lars.Vogel'), ('david.weiser, Lars.Vogel', '2017-07-13 13:36:10 EDT', 'Lars.Vogel'), ('4.8 M1', '2017-07-13 13:36:10 EDT', 'Lars.Vogel'), ('All', '2017-07-13 13:36:10 EDT', 'Lars.Vogel'), ('usability', '2017-07-13 13:37:05 EDT', 'Lars.Vogel'), ('david.weiser', '2017-07-27 06:53:14 EDT', 'Lars.Vogel'), ('4.8 M2', '2017-07-27 06:53:14 EDT', 'Lars.Vogel'), ('mistria', '2017-09-11 05:34:50 EDT', 'mistria'), ('---', '2017-09-11 05:34:50 EDT', 'mistria'), ('enhancement', '2017-09-11 05:34:50 EDT', 'mistria'), ('4.8 M3', '2017-09-11 06:01:14 EDT', 'Lars.Vogel'), ('UI', '2017-09-27 09:28:19 EDT', 'david.eclipse000'), ('4.8', '2017-09-27 09:28:19 EDT', 'david.eclipse000'), ('JDT', '2017-09-27 09:28:19 EDT', 'david.eclipse000'), ('https://git.eclipse.org/r/105857', '2017-09-27 09:29:33 EDT', 'genie'), ('noopur_gupta', '2017-10-17 06:24:15 EDT', 'noopur_gupta'), ('4.8 M4', '2017-10-17 06:24:15 EDT', 'noopur_gupta'), ('---', '2017-12-04 01:20:01 EST', 'noopur_gupta')]</t>
  </si>
  <si>
    <t>522001 (view as bug list)</t>
  </si>
  <si>
    <t>2017-09-19 11:15:33 EDT</t>
  </si>
  <si>
    <t>2017-09-29 01:52:57 EDT</t>
  </si>
  <si>
    <t>2017-09-14 09:04:24 EDT</t>
  </si>
  <si>
    <t>2017-07-28 07:34 EDT</t>
  </si>
  <si>
    <t>2017-07-28 07:35:28 EDT</t>
  </si>
  <si>
    <t>Vikas.Chandra</t>
  </si>
  <si>
    <t>[('CREATED', '2017-07-28 07:34 EDT'), ('Vikas.Chandra', '2017-07-28 07:35:28 EDT', 'noopur_gupta'), ('BETA J9', '2017-07-28 08:21:07 EDT', 'Vikas.Chandra'), ('register.eclipse', '2017-08-08 15:46:53 EDT', 'register.eclipse'), ('stephan.herrmann', '2017-08-08 16:31:38 EDT', 'stephan.herrmann'), ('sarika.sinha', '2017-08-09 04:01:35 EDT', 'daniel_megert'), ('519444', '2017-08-12 08:59:23 EDT', 'stephan.herrmann'), ('https://git.eclipse.org/r/104807', '2017-09-10 04:10:29 EDT', 'genie'), ('https://git.eclipse.org/r/105072', '2017-09-13 09:14:39 EDT', 'genie'), ('https://git.eclipse.org/c/jdt/eclipse.jdt.ui.git/commit/?id=7ed13eaf0e1dfd4818fcaabb7b14fba718584882', '2017-09-14 05:49:24 EDT', 'genie'), ('RESOLVED', '2017-09-14 05:49:56 EDT', 'sarika.sinha'), ('FIXED', '2017-09-14 05:49:56 EDT', 'sarika.sinha'), ('https://git.eclipse.org/r/105137', '2017-09-14 06:51:29 EDT', 'genie'), ('https://git.eclipse.org/c/jdt/eclipse.jdt.ui.git/commit/?id=e2244d9cd55df86c27c01bfbe5daad5db9ab18d0', '2017-09-14 06:59:35 EDT', 'genie'), ('https://bugs.eclipse.org/bugs/show_bug.cgi?id=522286', '2017-09-14 07:05:37 EDT', 'Vikas.Chandra'), ('REOPENED', '2017-09-14 09:04:24 EDT', 'stephan.herrmann'), ('---', '2017-09-14 09:04:24 EDT', 'stephan.herrmann'), ('fbricon', '2017-09-16 14:48:59 EDT', 'stephan.herrmann'), ('https://git.eclipse.org/r/105273', '2017-09-17 04:50:17 EDT', 'genie'), ('https://git.eclipse.org/c/jdt/eclipse.jdt.ui.git/commit/?id=42436b71a7d306a986f020cca7476a0932e9fd47', '2017-09-18 09:58:15 EDT', 'genie'), ('FIXED', '2017-09-19 11:15:33 EDT', 'Vikas.Chandra'), ('RESOLVED', '2017-09-19 11:15:33 EDT', 'Vikas.Chandra'), ('522562, 522353, 522286', '2017-09-21 11:10:48 EDT', 'noopur_gupta'), ('522592', '2017-09-21 11:22:53 EDT', 'noopur_gupta'), ('522593', '2017-09-21 11:30:02 EDT', 'noopur_gupta'), ('522608', '2017-09-21 15:15:13 EDT', 'noopur_gupta'), (nan, '2017-09-25 07:54:10 EDT', 'Vikas.Chandra'), ('https://git.eclipse.org/r/105850', '2017-09-27 07:17:14 EDT', 'genie'), ('https://git.eclipse.org/c/jdt/eclipse.jdt.ui.git/commit/?id=97249a51bf3b5e50f79abb93dfa72bead835505f', '2017-09-27 07:30:03 EDT', 'genie'), ('https://git.eclipse.org/r/105852', '2017-09-27 07:30:26 EDT', 'genie'), ('https://git.eclipse.org/c/jdt/eclipse.jdt.ui.git/commit/?id=b57817c073ed5b0431208066b51bf3a092df7750', '2017-09-27 08:05:13 EDT', 'genie'), ('VERIFIED', '2017-09-29 01:52:57 EDT', 'Vikas.Chandra')]</t>
  </si>
  <si>
    <t>519444 521896 522073 522293 522328</t>
  </si>
  <si>
    <t>522599 522603 522605</t>
  </si>
  <si>
    <t>2017-09-19 19:18:49 EDT</t>
  </si>
  <si>
    <t>2017-08-31 07:11 EDT</t>
  </si>
  <si>
    <t>2017-08-31 07:12:42 EDT</t>
  </si>
  <si>
    <t>2017-09-21 13:42:21 EDT</t>
  </si>
  <si>
    <t>[('CREATED', '2017-08-31 07:11 EDT'), ('stephan.herrmann', '2017-08-31 07:12:42 EDT', 'sarika.sinha'), ('[9] Add --add-reads and --limit-modules support in IDE', '2017-08-31 07:13:26 EDT', 'sarika.sinha'), ('BETA J9', '2017-08-31 08:07:42 EDT', 'stephan.herrmann'), ('daniel_megert', '2017-08-31 08:44:46 EDT', 'daniel_megert'), ('519444', '2017-08-31 08:48:58 EDT', 'noopur_gupta'), ('[9] Add --add-reads,--patch-module and --limit-modules support in IDE', '2017-08-31 23:36:22 EDT', 'sarika.sinha'), ('https://git.eclipse.org/r/104237', '2017-09-03 14:57:31 EDT', 'genie'), ('521896', '2017-09-05 15:53:01 EDT', 'stephan.herrmann'), ('noopur_gupta, sarika.sinha', '2017-09-07 15:36:16 EDT', 'stephan.herrmann'), ('stephan.herrmann', '2017-09-07 15:36:16 EDT', 'stephan.herrmann'), ('522073', '2017-09-08 18:35:10 EDT', 'stephan.herrmann'), ('522293', '2017-09-14 08:23:40 EDT', 'stephan.herrmann'), ('ASSIGNED', '2017-09-14 17:55:08 EDT', 'stephan.herrmann'), ('https://git.eclipse.org/c/jdt/eclipse.jdt.ui.git/commit/?id=8362220c2bf1e277c0bf682fdd1d0d3624bb63ec', '2017-09-16 08:18:07 EDT', 'genie'), ('522328', '2017-09-17 10:49:06 EDT', 'stephan.herrmann'), ('RESOLVED', '2017-09-19 19:18:49 EDT', 'stephan.herrmann'), ('https://git.eclipse.org/c/jdt/eclipse.jdt.ui.git/commit/?h=BETA_JAVA9&amp;id=14a07e573299dcad5bb197a2c99f1dd80a8cd80b', '2017-09-19 19:18:49 EDT', 'stephan.herrmann'), ('FIXED', '2017-09-19 19:18:49 EDT', 'stephan.herrmann'), ('Vikas.Chandra', '2017-09-20 11:52:26 EDT', 'Vikas.Chandra'), ('522599', '2017-09-21 12:42:13 EDT', 'noopur_gupta'), ('522603', '2017-09-21 13:18:49 EDT', 'noopur_gupta'), ('522605', '2017-09-21 13:42:21 EDT', 'noopur_gupta')]</t>
  </si>
  <si>
    <t>2020-01-31 03:26:17 EST</t>
  </si>
  <si>
    <t>2017-09-07 01:32 EDT</t>
  </si>
  <si>
    <t>2017-11-13 10:25:04 EST</t>
  </si>
  <si>
    <t>[('CREATED', '2017-09-07 01:32 EDT'), ('needinfo', '2017-11-13 10:25:04 EST', 'daniel_megert'), ('daniel_megert', '2017-11-13 10:25:04 EST', 'daniel_megert'), ('WONTFIX', '2020-01-31 03:26:17 EST', 'genie'), ('stalebug', '2020-01-31 03:26:17 EST', 'genie'), ('CLOSED', '2020-01-31 03:26:17 EST', 'genie')]</t>
  </si>
  <si>
    <t>529654</t>
  </si>
  <si>
    <t>2018-01-16 02:28:54 EST</t>
  </si>
  <si>
    <t>2018-02-08 06:43:54 EST</t>
  </si>
  <si>
    <t>2017-09-07 18:11 EDT</t>
  </si>
  <si>
    <t>2017-09-07 18:12:22 EDT</t>
  </si>
  <si>
    <t>[('CREATED', '2017-09-07 18:11 EDT'), ('4.8 M5', '2017-09-07 18:12:22 EDT', 'stephan.herrmann'), ('jarthana', '2017-10-24 11:28:29 EDT', 'jarthana'), ('noopur_gupta', '2017-11-16 06:08:12 EST', 'noopur_gupta'), ('daniel_megert', '2017-11-16 10:41:54 EST', 'daniel_megert'), ('kalyan_prasad', '2017-11-16 10:41:54 EST', 'daniel_megert'), ('529654', '2018-01-11 03:22:47 EST', 'noopur_gupta'), ('kalyan_prasad', '2018-01-11 06:48:28 EST', 'noopur_gupta'), ('ASSIGNED', '2018-01-11 06:48:28 EST', 'noopur_gupta'), ('noopur_gupta', '2018-01-11 06:48:28 EST', 'noopur_gupta'), ('https://git.eclipse.org/r/115378', '2018-01-15 06:27:37 EST', 'genie'), ('https://git.eclipse.org/c/jdt/eclipse.jdt.ui.git/commit/?id=d1a13bdf5e2266e22b7bd041967442287de5dd6e', '2018-01-15 08:05:08 EST', 'genie'), ('4.7.3', '2018-01-15 08:05:44 EST', 'noopur_gupta'), ('https://git.eclipse.org/r/115426', '2018-01-16 02:09:45 EST', 'genie'), ('https://git.eclipse.org/c/jdt/eclipse.jdt.ui.git/commit/?id=7794f531e53d5560f2b6e6a528dcfd4135e306b9', '2018-01-16 02:28:00 EST', 'genie'), ('RESOLVED', '2018-01-16 02:28:54 EST', 'noopur_gupta'), ('FIXED', '2018-01-16 02:28:54 EST', 'noopur_gupta'), ('https://bugs.eclipse.org/bugs/show_bug.cgi?id=530096', '2018-01-21 09:23:24 EST', 'manpalat'), ('manpalat', '2018-01-21 09:27:54 EST', 'manpalat'), ('VERIFIED', '2018-02-08 06:43:54 EST', 'noopur_gupta')]</t>
  </si>
  <si>
    <t>521691 (view as bug list)</t>
  </si>
  <si>
    <t>520300 525208 525213</t>
  </si>
  <si>
    <t>2017-09-26 16:59:31 EDT</t>
  </si>
  <si>
    <t>2017-09-27 06:55:05 EDT</t>
  </si>
  <si>
    <t>2017-09-14 06:55 EDT</t>
  </si>
  <si>
    <t>2017-09-14 07:04:06 EDT</t>
  </si>
  <si>
    <t>[('CREATED', '2017-09-14 06:55 EDT'), ('sarika.sinha', '2017-09-14 07:04:06 EDT', 'Vikas.Chandra'), ('https://bugs.eclipse.org/bugs/show_bug.cgi?id=520300', '2017-09-14 07:05:37 EDT', 'Vikas.Chandra'), ('stephan.herrmann', '2017-09-14 08:46:36 EDT', 'stephan.herrmann'), ('Vikas.Chandra', '2017-09-15 10:52:16 EDT', 'Vikas.Chandra'), ('Refresh Classpath and Module path elements if non-modular element is made modular or vice versa', '2017-09-18 12:44:51 EDT', 'Vikas.Chandra'), ('https://git.eclipse.org/r/105331', '2017-09-18 12:47:25 EDT', 'genie'), ('[9] Refresh Classpath and Module path elements if non-modular element is made modular or vice versa', '2017-09-18 13:09:46 EDT', 'Vikas.Chandra'), ('https://bugs.eclipse.org/bugs/show_bug.cgi?id=521691', '2017-09-18 13:22:53 EDT', 'Vikas.Chandra'), ('BETA J9', '2017-09-19 10:43:03 EDT', 'sarika.sinha'), ('520300', '2017-09-21 11:10:48 EDT', 'noopur_gupta'), ('https://git.eclipse.org/r/105687', '2017-09-25 06:23:09 EDT', 'genie'), ('noopur_gupta', '2017-09-25 07:11:24 EDT', 'noopur_gupta'), ('525208', '2017-09-26 08:50:59 EDT', 'stephan.herrmann'), ('daniel_megert', '2017-09-26 09:10:06 EDT', 'daniel_megert'), ('4.8 M3', '2017-09-26 09:41:03 EDT', 'Vikas.Chandra'), ('525213', '2017-09-26 09:42:03 EDT', 'stephan.herrmann'), (nan, '2017-09-26 09:44:14 EDT', 'noopur_gupta'), ('https://git.eclipse.org/r/105787', '2017-09-26 10:21:40 EDT', 'genie'), ('https://git.eclipse.org/c/jdt/eclipse.jdt.ui.git/commit/?id=9b4bdc5f4bcdfd8c8016a31f4acf374f8c3a1856', '2017-09-26 12:56:17 EDT', 'genie'), ('4.7.1a', '2017-09-26 13:04:39 EDT', 'Vikas.Chandra'), ('RESOLVED', '2017-09-26 16:59:31 EDT', 'stephan.herrmann'), ('https://git.eclipse.org/c/jdt/eclipse.jdt.ui.git/commit/?h=R4_7_maintenance&amp;id=37a355f9cb4d49b8bed9d2c55e64bc9536ca5346, https://git.eclipse.org/c/jdt/eclipse.jdt.ui.git/commit/?id=294c7387c27527ffba8def342984bb941ab13845', '2017-09-26 16:59:31 EDT', 'stephan.herrmann'), ('FIXED', '2017-09-26 16:59:31 EDT', 'stephan.herrmann'), ('noopur_gupta', '2017-09-26 17:02:14 EDT', 'stephan.herrmann'), (nan, '2017-09-27 01:23:21 EDT', 'noopur_gupta'), ('VERIFIED', '2017-09-27 06:55:05 EDT', 'Vikas.Chandra')]</t>
  </si>
  <si>
    <t>525469</t>
  </si>
  <si>
    <t>2017-10-18 14:04:31 EDT</t>
  </si>
  <si>
    <t>2017-10-01 17:35 EDT</t>
  </si>
  <si>
    <t>2017-10-01 17:37:40 EDT</t>
  </si>
  <si>
    <t>2017-10-26 13:01:03 EDT</t>
  </si>
  <si>
    <t>[('CREATED', '2017-10-01 17:35 EDT'), ('https://git.eclipse.org/r/106066', '2017-10-01 17:37:40 EDT', 'genie'), ('register.eclipse', '2017-10-01 17:47:05 EDT', 'register.eclipse'), ('4.8 M3', '2017-10-01 17:47:05 EDT', 'register.eclipse'), ('stephan.herrmann', '2017-10-01 17:47:05 EDT', 'register.eclipse'), ('525469', '2017-10-02 14:56:06 EDT', 'register.eclipse'), ('noopur_gupta', '2017-10-11 09:49:11 EDT', 'register.eclipse'), ('https://git.eclipse.org/c/jdt/eclipse.jdt.ui.git/commit/?id=f50229cd0a4156ed3b557903ef0aec57726779ea', '2017-10-16 02:31:15 EDT', 'genie'), ('https://git.eclipse.org/r/110339', '2017-10-18 14:03:29 EDT', 'genie'), ('https://git.eclipse.org/c/www.eclipse.org/eclipse/news.git/commit/?id=eea0ac49aeac3e85fe3ea4363c2cf5e5e04b7cd0', '2017-10-18 14:04:20 EDT', 'genie'), ('RESOLVED', '2017-10-18 14:04:31 EDT', 'register.eclipse'), ('FIXED', '2017-10-18 14:04:31 EDT', 'register.eclipse'), ('Vikas.Chandra', '2017-10-26 11:35:31 EDT', 'Vikas.Chandra'), ('https://bugs.eclipse.org/bugs/show_bug.cgi?id=526525', '2017-10-26 13:01:03 EDT', 'stephan.herrmann')]</t>
  </si>
  <si>
    <t>2020-01-03 15:35:45 EST</t>
  </si>
  <si>
    <t>2020-01-07 14:29:18 EST</t>
  </si>
  <si>
    <t>2017-10-12 06:59 EDT</t>
  </si>
  <si>
    <t>2019-11-13 15:27:10 EST</t>
  </si>
  <si>
    <t>[('CREATED', '2017-10-12 06:59 EDT'), ('4.14 M3', '2019-11-13 15:27:10 EST', 'jjohnstn'), ('jjohnstn', '2019-11-13 15:27:10 EST', 'jjohnstn'), ('jjohnstn', '2019-11-13 15:27:10 EST', 'jjohnstn'), ('https://git.eclipse.org/r/152616', '2019-11-13 15:54:01 EST', 'genie'), ('4.14', '2019-11-14 03:43:26 EST', 'manpalat'), ('UI', '2019-11-18 01:18:39 EST', 'noopur_gupta'), ('4.15 M1', '2019-11-18 01:18:39 EST', 'noopur_gupta'), ('ASSIGNED', '2019-11-18 01:18:39 EST', 'noopur_gupta'), ('All', '2019-11-18 01:18:39 EST', 'noopur_gupta'), ('All', '2019-11-18 01:18:39 EST', 'noopur_gupta'), ('https://git.eclipse.org/c/jdt/eclipse.jdt.ui.git/commit/?id=6ff255082694dff064e6c69de236fa31ba6de6b6', '2020-01-03 15:35:08 EST', 'genie'), ('RESOLVED', '2020-01-03 15:35:45 EST', 'jjohnstn'), ('FIXED', '2020-01-03 15:35:45 EST', 'jjohnstn'), ('jjohnstn', '2020-01-03 15:35:45 EST', 'jjohnstn'), ('VERIFIED', '2020-01-07 14:29:18 EST', 'jjohnstn')]</t>
  </si>
  <si>
    <t>2017-11-20 14:08:07 EST</t>
  </si>
  <si>
    <t>2017-10-13 11:50 EDT</t>
  </si>
  <si>
    <t>2017-10-18 05:33:17 EDT</t>
  </si>
  <si>
    <t>[('CREATED', '2017-10-13 11:50 EDT'), ('https://git.eclipse.org/r/110287', '2017-10-18 05:33:17 EDT', 'genie'), ('https://git.eclipse.org/c/jdt/eclipse.jdt.ui.git/commit/?id=897e76691a6504bc655310fa5b7dc607b147ed8b', '2017-10-18 16:43:54 EDT', 'genie'), ('loskutov', '2017-10-18 16:46:29 EDT', 'loskutov'), ('All', '2017-10-18 16:46:29 EDT', 'loskutov'), ('3.8.2', '2017-10-18 16:46:29 EDT', 'loskutov'), ('All', '2017-10-18 16:46:29 EDT', 'loskutov'), ('https://bugs.eclipse.org/bugs/show_bug.cgi?id=506009', '2017-10-19 07:02:27 EDT', 'simeon.danailov.andreev'), ('Vikas.Chandra', '2017-10-20 05:48:31 EDT', 'Vikas.Chandra'), ('https://git.eclipse.org/r/110958', '2017-11-03 04:52:50 EDT', 'genie'), ('https://git.eclipse.org/r/111467', '2017-11-13 10:48:58 EST', 'genie'), ('Lars.Vogel', '2017-11-14 04:33:39 EST', 'Lars.Vogel'), ('https://git.eclipse.org/c/jdt/eclipse.jdt.ui.git/commit/?id=c39ff15b934ca6efa821fbade4b99f936f0c0a7a', '2017-11-16 11:08:23 EST', 'genie'), ('https://git.eclipse.org/c/jdt/eclipse.jdt.ui.git/commit/?id=db20eab9eb5463341bb34d0b8c391fefb240b170', '2017-11-16 13:31:34 EST', 'genie'), ('https://git.eclipse.org/r/111801', '2017-11-17 09:19:40 EST', 'genie'), ('ASSIGNED', '2017-11-17 10:52:40 EST', 'loskutov'), ('simeon.danailov.andreev', '2017-11-17 10:52:40 EST', 'loskutov'), ('4.8 M4', '2017-11-17 10:52:40 EST', 'loskutov'), ('https://git.eclipse.org/c/jdt/eclipse.jdt.ui.git/commit/?id=49bdee6223f87c53ebc7be94f32a6ac2a52a88f0', '2017-11-17 10:53:11 EST', 'genie'), ('https://git.eclipse.org/r/111909', '2017-11-20 10:34:59 EST', 'genie'), ('https://git.eclipse.org/c/jdt/eclipse.jdt.core.git/commit/?id=1d54ca2128dfdd09e1fd47d7659e35cfc56cf532', '2017-11-20 14:02:22 EST', 'genie'), ('RESOLVED', '2017-11-20 14:08:07 EST', 'loskutov'), ('FIXED', '2017-11-20 14:08:07 EST', 'loskutov')]</t>
  </si>
  <si>
    <t>2020-01-23 15:43:55 EST</t>
  </si>
  <si>
    <t>2020-01-23 16:06:21 EST</t>
  </si>
  <si>
    <t>2017-11-05 02:29 EST</t>
  </si>
  <si>
    <t>2017-11-06 07:50:17 EST</t>
  </si>
  <si>
    <t>Stefan.Mandel</t>
  </si>
  <si>
    <t>[('CREATED', '2017-11-05 02:29 EST'), ('jarthana', '2017-11-06 07:50:17 EST', 'jarthana'), ('UI', '2017-11-06 07:50:17 EST', 'jarthana'), ('jdt-ui-inbox', '2017-11-06 07:50:17 EST', 'jarthana'), ('stalebug', '2020-01-23 15:43:55 EST', 'genie'), ('CLOSED', '2020-01-23 15:43:55 EST', 'genie'), ('WONTFIX', '2020-01-23 15:43:55 EST', 'genie'), ('REOPENED', '2020-01-23 16:06:21 EST', 'Stefan.Mandel'), ('4.15', '2020-01-23 16:06:21 EST', 'Stefan.Mandel'), ('---', '2020-01-23 16:06:21 EST', 'Stefan.Mandel')]</t>
  </si>
  <si>
    <t>2020-06-04 12:14:08 EDT</t>
  </si>
  <si>
    <t>2017-11-25 17:42 EST</t>
  </si>
  <si>
    <t>2017-11-25 17:43:09 EST</t>
  </si>
  <si>
    <t>[('CREATED', '2017-11-25 17:42 EST'), ('igor', '2017-11-25 17:43:09 EST', 'register.eclipse'), ('4.8', '2017-11-25 17:43:09 EST', 'register.eclipse'), ('https://bugs.eclipse.org/bugs/show_bug.cgi?id=527755, https://bugs.eclipse.org/bugs/show_bug.cgi?id=527756', '2017-11-25 17:48:00 EST', 'register.eclipse'), ('https://bugs.eclipse.org/bugs/show_bug.cgi?id=526502', '2017-11-26 03:30:36 EST', 'register.eclipse'), ('enhancement', '2017-11-28 09:13:50 EST', 'daniel_megert'), ('api', '2017-11-28 09:13:50 EST', 'daniel_megert'), ('All', '2017-11-28 09:13:50 EST', 'daniel_megert'), ('daniel_megert', '2017-11-28 09:13:50 EST', 'daniel_megert'), ('All', '2017-11-28 09:13:50 EST', 'daniel_megert'), ('---', '2018-04-13 06:33:50 EDT', 'noopur_gupta'), ('CLOSED', '2020-06-04 12:14:08 EDT', 'register.eclipse'), ('WONTFIX', '2020-06-04 12:14:08 EDT', 'register.eclipse')]</t>
  </si>
  <si>
    <t>2020-02-18 13:32:26 EST</t>
  </si>
  <si>
    <t>2017-11-28 06:24 EST</t>
  </si>
  <si>
    <t>[('CREATED', '2017-11-28 06:24 EST'), ('CLOSED', '2020-02-18 13:32:26 EST', 'genie'), ('WONTFIX', '2020-02-18 13:32:26 EST', 'genie'), ('stalebug', '2020-02-18 13:32:26 EST', 'genie')]</t>
  </si>
  <si>
    <t>2017-12-01 09:34:35 EST</t>
  </si>
  <si>
    <t>2017-12-01 04:28 EST</t>
  </si>
  <si>
    <t>[('CREATED', '2017-12-01 04:28 EST'), ('WORKSFORME', '2017-12-01 09:34:35 EST', 'daniel_megert'), ('RESOLVED', '2017-12-01 09:34:35 EST', 'daniel_megert'), ('daniel_megert', '2017-12-01 09:34:35 EST', 'daniel_megert')]</t>
  </si>
  <si>
    <t>2018-01-02 04:53:48 EST</t>
  </si>
  <si>
    <t>2018-02-08 06:39:09 EST</t>
  </si>
  <si>
    <t>2017-12-05 04:29 EST</t>
  </si>
  <si>
    <t>2017-12-18 09:48:11 EST</t>
  </si>
  <si>
    <t>[('CREATED', '2017-12-05 04:29 EST'), ('[9] Java... option is missing in Search menu when editing module-info.java', '2017-12-18 09:48:11 EST', 'noopur_gupta'), ('All', '2017-12-18 09:48:11 EST', 'noopur_gupta'), ('All', '2017-12-18 09:48:11 EST', 'noopur_gupta'), ('noopur_gupta', '2017-12-18 09:48:11 EST', 'noopur_gupta'), ('ASSIGNED', '2017-12-18 09:48:11 EST', 'noopur_gupta'), ('noopur_gupta', '2017-12-18 10:27:29 EST', 'noopur_gupta'), ('4.8 M5', '2017-12-18 10:27:29 EST', 'noopur_gupta'), ('[9] Several menu and tool items missing from module-info files', '2017-12-18 11:25:50 EST', 'noopur_gupta'), ('https://git.eclipse.org/r/113640', '2017-12-18 11:27:11 EST', 'genie'), ('4.7.3', '2017-12-18 11:35:13 EST', 'noopur_gupta'), ('https://git.eclipse.org/c/jdt/eclipse.jdt.ui.git/commit/?id=4f11be49b48de1f36a1ba15ec6536a82285a6bf6', '2017-12-19 10:48:43 EST', 'genie'), ('https://git.eclipse.org/r/114668', '2017-12-22 07:14:22 EST', 'genie'), ('https://git.eclipse.org/c/jdt/eclipse.jdt.ui.git/commit/?id=e555d13a8b787de999a2ccaa2b88888bc033f882', '2018-01-02 04:52:36 EST', 'genie'), ('FIXED', '2018-01-02 04:53:48 EST', 'noopur_gupta'), ('RESOLVED', '2018-01-02 04:53:48 EST', 'noopur_gupta'), ('VERIFIED', '2018-02-08 06:39:09 EST', 'noopur_gupta')]</t>
  </si>
  <si>
    <t>2017-12-11 23:58:33 EST</t>
  </si>
  <si>
    <t>2017-12-07 07:43 EST</t>
  </si>
  <si>
    <t>[('CREATED', '2017-12-07 07:43 EST'), ('WORKSFORME', '2017-12-11 23:58:33 EST', 'noopur_gupta'), ('RESOLVED', '2017-12-11 23:58:33 EST', 'noopur_gupta')]</t>
  </si>
  <si>
    <t>2018-06-15 03:32:32 EDT</t>
  </si>
  <si>
    <t>2017-12-15 04:31 EST</t>
  </si>
  <si>
    <t>2017-12-15 04:32:23 EST</t>
  </si>
  <si>
    <t>[('CREATED', '2017-12-15 04:31 EST'), ('https://git.eclipse.org/r/113460', '2017-12-15 04:32:23 EST', 'genie'), ('Lars.Vogel', '2018-06-15 03:32:32 EDT', 'Lars.Vogel'), ('WONTFIX', '2018-06-15 03:32:32 EDT', 'Lars.Vogel'), ('RESOLVED', '2018-06-15 03:32:32 EDT', 'Lars.Vogel')]</t>
  </si>
  <si>
    <t>345477</t>
  </si>
  <si>
    <t>2017-12-20 11:24:48 EST</t>
  </si>
  <si>
    <t>2017-12-21 05:08:49 EST</t>
  </si>
  <si>
    <t>2017-12-20 03:53 EST</t>
  </si>
  <si>
    <t>2017-12-20 10:15:15 EST</t>
  </si>
  <si>
    <t>ansgar.radermacher</t>
  </si>
  <si>
    <t>[('CREATED', '2017-12-20 03:53 EST'), ('jdt-ui-inbox', '2017-12-20 10:15:15 EST', 'loskutov'), ('normal', '2017-12-20 10:15:15 EST', 'loskutov'), ('UI', '2017-12-20 10:15:15 EST', 'loskutov'), ('3.8.2', '2017-12-20 10:15:15 EST', 'loskutov'), ('JDT', '2017-12-20 10:15:15 EST', 'loskutov'), ('loskutov', '2017-12-20 10:15:15 EST', 'loskutov'), ('loskutov', '2017-12-20 10:22:27 EST', 'loskutov'), ('4.8 M5', '2017-12-20 10:22:27 EST', 'loskutov'), ('https://git.eclipse.org/r/114490', '2017-12-20 10:22:31 EST', 'genie'), ('daniel_megert', '2017-12-20 10:27:47 EST', 'daniel_megert'), ('https://git.eclipse.org/c/jdt/eclipse.jdt.ui.git/commit/?id=03e799643dd537e5abbc77b0dfead1a6c547892e', '2017-12-20 11:09:36 EST', 'genie'), ('RESOLVED', '2017-12-20 11:24:48 EST', 'loskutov'), ('FIXED', '2017-12-20 11:24:48 EST', 'loskutov'), ('345477', '2017-12-21 04:12:06 EST', 'ansgar.radermacher'), ('VERIFIED', '2017-12-21 05:08:49 EST', 'ansgar.radermacher')]</t>
  </si>
  <si>
    <t>519783</t>
  </si>
  <si>
    <t>2017-12-22 02:57:53 EST</t>
  </si>
  <si>
    <t>2018-01-24 00:36:12 EST</t>
  </si>
  <si>
    <t>2017-12-21 17:34 EST</t>
  </si>
  <si>
    <t>2017-12-21 17:39:56 EST</t>
  </si>
  <si>
    <t>[('CREATED', '2017-12-21 17:34 EST'), ('519783', '2017-12-21 17:39:56 EST', 'karsten.thoms'), ('karsten.thoms', '2017-12-21 17:39:56 EST', 'karsten.thoms'), ('ASSIGNED', '2017-12-21 17:39:56 EST', 'karsten.thoms'), ('4.8 M5', '2017-12-21 17:39:56 EST', 'karsten.thoms'), ('https://git.eclipse.org/r/114616', '2017-12-21 17:42:05 EST', 'genie'), ('https://git.eclipse.org/c/jdt/eclipse.jdt.ui.git/commit/?id=06724f84b47664985437506ca52a23af61316a06', '2017-12-22 00:52:02 EST', 'genie'), ('RESOLVED', '2017-12-22 02:57:53 EST', 'karsten.thoms'), ('FIXED', '2017-12-22 02:57:53 EST', 'karsten.thoms'), ('kalyan_prasad', '2018-01-24 00:36:12 EST', 'kalyan_prasad'), ('VERIFIED', '2018-01-24 00:36:12 EST', 'kalyan_prasad')]</t>
  </si>
  <si>
    <t>525732</t>
  </si>
  <si>
    <t>2018-02-15 07:14:59 EST</t>
  </si>
  <si>
    <t>2018-01-08 04:54:23 EST</t>
  </si>
  <si>
    <t>2018-01-04 18:42 EST</t>
  </si>
  <si>
    <t>2018-01-05 09:05:32 EST</t>
  </si>
  <si>
    <t>[('CREATED', '2018-01-04 18:42 EST'), ('525732', '2018-01-05 09:05:32 EST', 'jesper'), ('ASSIGNED', '2018-01-05 09:05:51 EST', 'jesper'), ('sasikanth.bharadwaj', '2018-01-05 09:59:51 EST', 'jesper'), ('review?(sasikanth.bharadwaj)', '2018-01-05 09:59:51 EST', 'jesper'), ('RESOLVED', '2018-01-05 09:59:51 EST', 'jesper'), ('FIXED', '2018-01-05 09:59:51 EST', 'jesper'), ('https://git.eclipse.org/r/115025', '2018-01-06 15:55:55 EST', 'genie'), ('https://git.eclipse.org/r/115028', '2018-01-06 17:55:43 EST', 'genie'), ('https://git.eclipse.org/r/115044', '2018-01-08 04:50:10 EST', 'genie'), ('REOPENED', '2018-01-08 04:54:23 EST', 'jesper'), ('---', '2018-01-08 04:54:23 EST', 'jesper'), ('noopur_gupta', '2018-01-09 05:46:11 EST', 'sasikanth.bharadwaj'), ('BETA J18.3', '2018-02-01 03:41:32 EST', 'noopur_gupta'), ('ASSIGNED', '2018-02-12 08:34:58 EST', 'noopur_gupta'), (nan, '2018-02-12 08:34:58 EST', 'noopur_gupta'), ('[10] Allow JDT UI to target Java 10', '2018-02-12 08:34:58 EST', 'noopur_gupta'), ('noopur_gupta', '2018-02-14 08:01:45 EST', 'noopur_gupta'), ('jesper', '2018-02-14 08:01:45 EST', 'noopur_gupta'), ('FIXED', '2018-02-15 07:14:59 EST', 'noopur_gupta'), ('daniel_megert', '2018-02-15 07:14:59 EST', 'noopur_gupta'), ('RESOLVED', '2018-02-15 07:14:59 EST', 'noopur_gupta')]</t>
  </si>
  <si>
    <t>528031</t>
  </si>
  <si>
    <t>2018-01-24 04:13:13 EST</t>
  </si>
  <si>
    <t>2018-01-25 02:05:09 EST</t>
  </si>
  <si>
    <t>2018-01-23 09:21 EST</t>
  </si>
  <si>
    <t>2018-01-23 10:15:53 EST</t>
  </si>
  <si>
    <t>2019-01-29 12:21:05 EST</t>
  </si>
  <si>
    <t>[('CREATED', '2018-01-23 09:21 EST'), ('All', '2018-01-23 10:15:53 EST', 'noopur_gupta'), ('noopur_gupta', '2018-01-23 10:15:53 EST', 'noopur_gupta'), ('All', '2018-01-23 10:15:53 EST', 'noopur_gupta'), ('4.8', '2018-01-23 10:15:53 EST', 'noopur_gupta'), ('4.8 M6', '2018-01-23 15:10:03 EST', 'loskutov'), ('528031', '2018-01-23 15:10:03 EST', 'loskutov'), ('daniel_megert', '2018-01-23 15:27:58 EST', 'daniel_megert'), ('Lars.Vogel', '2018-01-23 16:38:08 EST', 'Lars.Vogel'), ('RESOLVED', '2018-01-24 04:13:13 EST', 'daniel_megert'), ('4.8 M5', '2018-01-24 04:13:13 EST', 'daniel_megert'), ('FIXED', '2018-01-24 04:13:13 EST', 'daniel_megert'), ('loskutov', '2018-01-24 05:27:57 EST', 'loskutov'), ('VERIFIED', '2018-01-25 02:05:09 EST', 'kalyan_prasad'), ('kalyan_prasad', '2018-01-25 02:05:09 EST', 'kalyan_prasad'), ('https://bugs.eclipse.org/bugs/show_bug.cgi?id=543951', '2019-01-29 12:21:05 EST', 'Lars.Vogel')]</t>
  </si>
  <si>
    <t>2018-02-15 08:08:22 EST</t>
  </si>
  <si>
    <t>2018-01-24 16:45 EST</t>
  </si>
  <si>
    <t>2018-01-25 09:44:26 EST</t>
  </si>
  <si>
    <t>[('CREATED', '2018-01-24 16:45 EST'), ('UI', '2018-01-25 09:44:26 EST', 'stephan.herrmann'), ('jdt-ui-inbox', '2018-01-25 09:44:26 EST', 'stephan.herrmann'), ('stephan.herrmann', '2018-01-25 09:44:26 EST', 'stephan.herrmann'), ('stephan.herrmann', '2018-02-15 08:08:22 EST', 'stephan.herrmann'), ('WONTFIX', '2018-02-15 08:08:22 EST', 'stephan.herrmann'), ('4.8 M6', '2018-02-15 08:08:22 EST', 'stephan.herrmann'), ('RESOLVED', '2018-02-15 08:08:22 EST', 'stephan.herrmann')]</t>
  </si>
  <si>
    <t>2019-01-23 15:16:10 EST</t>
  </si>
  <si>
    <t>2018-02-09 13:30 EST</t>
  </si>
  <si>
    <t>2019-01-23 15:51:57 EST</t>
  </si>
  <si>
    <t>[('CREATED', '2018-02-09 13:30 EST'), ('WORKSFORME', '2019-01-23 15:16:10 EST', 'jjohnstn'), ('jjohnstn', '2019-01-23 15:16:10 EST', 'jjohnstn'), ('4.11 M3', '2019-01-23 15:16:10 EST', 'jjohnstn'), ('jjohnstn', '2019-01-23 15:16:10 EST', 'jjohnstn'), ('RESOLVED', '2019-01-23 15:16:10 EST', 'jjohnstn'), ('CLOSED', '2019-01-23 15:51:57 EST', 'jjohnstn')]</t>
  </si>
  <si>
    <t>536940 (view as bug list)</t>
  </si>
  <si>
    <t>544529 251156 538630 538656 553577 558247 558921 559251</t>
  </si>
  <si>
    <t>2020-01-07 11:18:43 EST</t>
  </si>
  <si>
    <t>2018-02-12 17:31:06 EST</t>
  </si>
  <si>
    <t>2018-02-13 03:01:12 EST</t>
  </si>
  <si>
    <t>2018-02-12 11:21 EST</t>
  </si>
  <si>
    <t>2018-02-12 11:21:52 EST</t>
  </si>
  <si>
    <t>2020-03-26 04:26:42 EDT</t>
  </si>
  <si>
    <t>[('CREATED', '2018-02-12 11:21 EST'), ('https://git.eclipse.org/r/#/c/86644/', '2018-02-12 11:21:52 EST', 'mistria'), ('rgrunber', '2018-02-12 11:21:52 EST', 'mistria'), ('performance', '2018-02-12 11:27:51 EST', 'mistria'), ('4.8 M6', '2018-02-12 17:31:06 EST', 'stephan.herrmann'), ('stephan.herrmann', '2018-02-12 17:31:06 EST', 'stephan.herrmann'), ('RESOLVED', '2018-02-12 17:31:06 EST', 'stephan.herrmann'), ('WONTFIX', '2018-02-12 17:31:06 EST', 'stephan.herrmann'), ('---', '2018-02-13 03:01:12 EST', 'mistria'), ('REOPENED', '2018-02-13 03:01:12 EST', 'mistria'), ('gautier.desaintmartinlacaze', '2018-02-15 18:09:51 EST', 'gautier.desaintmartinlacaze'), ('4.8 M7', '2018-02-27 06:52:02 EST', 'sarika.sinha'), ('sarika.sinha', '2018-02-27 06:52:02 EST', 'sarika.sinha'), ('4.9', '2018-05-02 08:43:58 EDT', 'noopur_gupta'), ('---', '2018-08-24 07:43:50 EDT', 'sarika.sinha'), ('538630', '2018-09-05 05:20:26 EDT', 'mistria'), ('538656', '2018-09-05 11:41:24 EDT', 'mistria'), ('https://git.eclipse.org/r/129022', '2018-09-10 06:32:13 EDT', 'genie'), (nan, '2018-09-10 06:39:11 EDT', 'mistria'), ('daniel_megert', '2018-09-11 08:17:32 EDT', 'daniel_megert'), ('251156', '2018-09-11 08:17:32 EDT', 'daniel_megert'), ('https://bugs.eclipse.org/bugs/show_bug.cgi?id=508789', '2018-10-05 07:47:44 EDT', 'mistria'), ('https://bugs.eclipse.org/bugs/show_bug.cgi?id=547217', '2019-05-20 15:19:46 EDT', 'loskutov'), ('427971', '2019-05-20 16:41:54 EDT', 'loskutov'), ('Lars.Vogel, paul-eclipse', '2019-05-21 03:50:31 EDT', 'Lars.Vogel'), ('julian.honnen', '2019-05-21 03:50:41 EDT', 'Lars.Vogel'), ('helpwanted', '2019-05-21 03:51:17 EDT', 'Lars.Vogel'), ('544529', '2019-05-23 04:12:57 EDT', 'Lars.Vogel'), ('547740', '2019-05-28 12:27:29 EDT', 'Lars.Vogel'), ('101420', '2019-05-28 12:31:58 EDT', 'mistria'), (nan, '2019-05-28 12:43:26 EDT', 'daniel_megert'), ('akurtakov', '2019-05-28 13:56:39 EDT', 'akurtakov'), ('101420', '2019-05-29 03:46:00 EDT', 'daniel_megert'), ('https://bugs.eclipse.org/bugs/show_bug.cgi?id=544108', '2019-06-03 09:33:59 EDT', 'Lars.Vogel'), ('pyvesdev', '2019-06-03 11:43:15 EDT', 'pyvesdev'), ('Non-blocking Java completion', '2019-06-28 05:26:51 EDT', 'mistria'), ('mlippert', '2019-07-01 03:57:03 EDT', 'mlippert'), ('4.15 RC1', '2019-11-18 04:28:55 EST', 'mistria'), ('pmc_approved?', '2019-11-18 04:28:55 EST', 'mistria'), (nan, '2019-11-18 04:28:55 EST', 'mistria'), ('4.14 RC1', '2019-11-18 04:29:06 EST', 'mistria'), ('4.15', '2019-11-28 06:43:55 EST', 'mistria'), ('553577', '2019-11-28 07:01:36 EST', 'mistria'), ('sw', '2019-12-04 07:28:57 EST', 'sw'), ('558247', '2019-12-12 03:14:11 EST', 'mistria'), (nan, '2019-12-12 03:21:46 EST', 'mistria'), ('553533', '2019-12-19 07:04:10 EST', 'Lars.Vogel'), ('plan', '2020-01-06 05:14:50 EST', 'mistria'), ('https://git.eclipse.org/c/jdt/eclipse.jdt.ui.git/commit/?id=c80a0ed5358fd6caf3f92e129276abba94329c19', '2020-01-06 16:11:55 EST', 'genie'), ('https://git.eclipse.org/r/155384', '2020-01-07 05:58:54 EST', 'genie'), ('https://git.eclipse.org/c/platform/eclipse.platform.common.git/commit/?id=1ab76c426e6d97fa9070e50aac1a7b89f2571699', '2020-01-07 11:16:17 EST', 'genie'), ('noopur_gupta', '2020-01-07 11:18:43 EST', 'noopur_gupta'), ('FIXED', '2020-01-07 11:18:43 EST', 'noopur_gupta'), ('RESOLVED', '2020-01-07 11:18:43 EST', 'noopur_gupta'), ('4.15 M1', '2020-01-07 11:18:43 EST', 'noopur_gupta'), ('mistria', '2020-01-07 11:18:43 EST', 'noopur_gupta'), ('noteworthy', '2020-01-07 11:19:33 EST', 'mistria'), (nan, '2020-01-07 11:20:34 EST', 'noopur_gupta'), ('558893', '2020-01-07 12:45:56 EST', 'mistria'), ('558921', '2020-01-08 08:10:45 EST', 'julian.honnen'), ('559135', '2020-01-13 18:33:11 EST', 'wim.jongman'), ('559251', '2020-01-16 07:34:20 EST', 'julian.honnen'), ('https://bugs.eclipse.org/bugs/show_bug.cgi?id=559357', '2020-01-21 03:30:57 EST', 'mistria'), ('561474', '2020-03-26 04:26:42 EDT', 'Lars.Vogel')]</t>
  </si>
  <si>
    <t>2018-04-17 04:18:58 EDT</t>
  </si>
  <si>
    <t>2018-02-15 12:44 EST</t>
  </si>
  <si>
    <t>2018-02-15 12:45:39 EST</t>
  </si>
  <si>
    <t>[('CREATED', '2018-02-15 12:44 EST'), ('RefactorStatusDialog message pane has black background on light theme on Linux', '2018-02-15 12:45:39 EST', 'rgrunber'), ('507072', '2018-02-15 16:45:16 EST', 'rgrunber'), ('lufimtse', '2018-02-15 16:48:02 EST', 'lufimtse'), ('Lars.Vogel', '2018-02-15 16:59:06 EST', 'Lars.Vogel'), ('https://git.eclipse.org/r/117488', '2018-02-15 17:12:36 EST', 'genie'), ('RefactorStatusDialog', '2018-02-16 10:54:55 EST', 'rgrunber'), ('gautier.desaintmartinlacaze', '2018-02-28 14:30:53 EST', 'gautier.desaintmartinlacaze'), ('4.8 M7', '2018-03-19 06:39:55 EDT', 'Lars.Vogel'), ('rgrunber', '2018-03-19 06:39:55 EDT', 'Lars.Vogel'), ('https://git.eclipse.org/c/jdt/eclipse.jdt.ui.git/commit/?id=8d4f5c81cd1f9d73e22fa0e3616244b47db91fe6', '2018-04-17 04:18:37 EDT', 'genie'), ('noopur_gupta', '2018-04-17 04:18:58 EDT', 'noopur_gupta'), ('RESOLVED', '2018-04-17 04:18:58 EDT', 'noopur_gupta'), ('FIXED', '2018-04-17 04:18:58 EDT', 'noopur_gupta')]</t>
  </si>
  <si>
    <t>2018-07-30 02:56:53 EDT</t>
  </si>
  <si>
    <t>2018-08-01 06:56:07 EDT</t>
  </si>
  <si>
    <t>2018-06-11 06:30:09 EDT</t>
  </si>
  <si>
    <t>2018-06-11 13:17:24 EDT</t>
  </si>
  <si>
    <t>2018-02-26 12:31 EST</t>
  </si>
  <si>
    <t>2018-02-26 12:32:36 EST</t>
  </si>
  <si>
    <t>[('CREATED', '2018-02-26 12:31 EST'), ('sravankumarl', '2018-02-26 12:32:36 EST', 'daniel_megert'), ('daniel_megert', '2018-02-26 12:32:36 EST', 'daniel_megert'), ('stephan.herrmann', '2018-02-26 18:53:22 EST', 'stephan.herrmann'), ('register.eclipse', '2018-02-27 01:17:05 EST', 'register.eclipse'), ('4.8 M7', '2018-03-02 08:15:03 EST', 'daniel_megert'), ('noopur_gupta', '2018-05-02 08:43:17 EDT', 'noopur_gupta'), ('4.9', '2018-05-08 02:12:56 EDT', 'noopur_gupta'), ('RESOLVED', '2018-06-11 06:30:09 EDT', 'sravankumarl'), ('WORKSFORME', '2018-06-11 06:30:09 EDT', 'sravankumarl'), ('4.9 M2', '2018-06-11 06:30:25 EDT', 'sravankumarl'), ('---', '2018-06-11 13:17:24 EDT', 'register.eclipse'), ('REOPENED', '2018-06-11 13:17:24 EDT', 'register.eclipse'), ('https://git.eclipse.org/r/124359', '2018-06-11 13:20:45 EDT', 'genie'), ('kalyan_prasad', '2018-06-12 01:15:28 EDT', 'sravankumarl'), ('[quick assist][quick fix] [Mac] configure problem severity gives no indication of which preference', '2018-06-12 01:15:28 EDT', 'sravankumarl'), ('register.eclipse', '2018-07-20 15:45:37 EDT', 'register.eclipse'), ('https://bugs.eclipse.org/bugs/show_bug.cgi?id=537480', '2018-07-30 02:49:35 EDT', 'register.eclipse'), ('https://bugs.eclipse.org/bugs/show_bug.cgi?id=537481', '2018-07-30 02:49:49 EDT', 'register.eclipse'), ('https://git.eclipse.org/c/jdt/eclipse.jdt.ui.git/commit/?id=f5f7336dbc45f021c8fde70ba0ec152b053f82a5', '2018-07-30 02:56:33 EDT', 'genie'), ('FIXED', '2018-07-30 02:56:53 EDT', 'register.eclipse'), ('RESOLVED', '2018-07-30 02:56:53 EDT', 'register.eclipse'), ('VERIFIED', '2018-08-01 06:56:07 EDT', 'register.eclipse')]</t>
  </si>
  <si>
    <t>2020-02-28 02:53:50 EST</t>
  </si>
  <si>
    <t>2018-03-02 12:35 EST</t>
  </si>
  <si>
    <t>2018-03-02 16:08:57 EST</t>
  </si>
  <si>
    <t>[('CREATED', '2018-03-02 12:35 EST'), ('[refactoring] Pull Up Field changes the accessibility of the field', '2018-03-02 16:08:57 EST', 'jonhnanthan'), ('stalebug', '2020-02-28 02:53:50 EST', 'genie'), ('WONTFIX', '2020-02-28 02:53:50 EST', 'genie'), ('CLOSED', '2020-02-28 02:53:50 EST', 'genie')]</t>
  </si>
  <si>
    <t>2019-01-22 05:55:13 EST</t>
  </si>
  <si>
    <t>2018-03-02 13:41 EST</t>
  </si>
  <si>
    <t>2018-03-02 16:44:35 EST</t>
  </si>
  <si>
    <t>2019-01-22 05:55:30 EST</t>
  </si>
  <si>
    <t>[('CREATED', '2018-03-02 13:41 EST'), ('Push Down Field yields a transformation issue.', '2018-03-02 16:44:35 EST', 'jonhnanthan'), ('DUPLICATE', '2019-01-22 05:55:13 EST', 'daniel_megert'), ('CLOSED', '2019-01-22 05:55:13 EST', 'daniel_megert'), ('daniel_megert', '2019-01-22 05:55:13 EST', 'daniel_megert'), ('[push down] Push Down Field yields a transformation issue.', '2019-01-22 05:55:30 EST', 'daniel_megert')]</t>
  </si>
  <si>
    <t>2018-03-07 15:11:59 EST</t>
  </si>
  <si>
    <t>2018-03-07 15:11:09 EST</t>
  </si>
  <si>
    <t>2018-03-06 14:00 EST</t>
  </si>
  <si>
    <t>[('CREATED', '2018-03-06 14:00 EST'), ('CLOSED', '2018-03-07 15:11:09 EST', 'register.eclipse'), ('register.eclipse', '2018-03-07 15:11:09 EST', 'register.eclipse'), ('WORKSFORME', '2018-03-07 15:11:09 EST', 'register.eclipse'), ('RESOLVED', '2018-03-07 15:11:59 EST', 'register.eclipse'), ('register.eclipse', '2018-03-07 15:11:59 EST', 'register.eclipse'), ('4.8 M7', '2018-03-07 15:11:59 EST', 'register.eclipse')]</t>
  </si>
  <si>
    <t>2018-03-07 15:12:40 EST</t>
  </si>
  <si>
    <t>2018-03-06 14:37 EST</t>
  </si>
  <si>
    <t>2018-03-06 15:24:32 EST</t>
  </si>
  <si>
    <t>[('CREATED', '2018-03-06 14:37 EST'), ('register.eclipse', '2018-03-06 15:24:32 EST', 'register.eclipse'), ('INVALID', '2018-03-07 15:12:40 EST', 'register.eclipse'), ('4.8 M7', '2018-03-07 15:12:40 EST', 'register.eclipse'), ('register.eclipse', '2018-03-07 15:12:40 EST', 'register.eclipse'), ('RESOLVED', '2018-03-07 15:12:40 EST', 'register.eclipse')]</t>
  </si>
  <si>
    <t>CLOSED  DUPLICATE  of bug 527320</t>
  </si>
  <si>
    <t>2018-03-10 00:49:59 EST</t>
  </si>
  <si>
    <t>2018-03-09 09:55 EST</t>
  </si>
  <si>
    <t>[('CREATED', '2018-03-09 09:55 EST'), ('DUPLICATE', '2018-03-10 00:49:59 EST', 'noopur_gupta'), ('CLOSED', '2018-03-10 00:49:59 EST', 'noopur_gupta'), ('noopur_gupta', '2018-03-10 00:49:59 EST', 'noopur_gupta')]</t>
  </si>
  <si>
    <t>2018-05-07 12:06:05 EDT</t>
  </si>
  <si>
    <t>2018-03-14 07:55 EDT</t>
  </si>
  <si>
    <t>2018-03-14 07:57:25 EDT</t>
  </si>
  <si>
    <t>2018-05-07 12:06:41 EDT</t>
  </si>
  <si>
    <t>[('CREATED', '2018-03-14 07:55 EDT'), ('enhancement', '2018-03-14 07:57:25 EDT', 'marko.zajc'), ('sigmund.brotbeck', '2018-03-14 07:57:25 EDT', 'marko.zajc'), ('All', '2018-05-05 18:16:33 EDT', 'marko.zajc'), ('All', '2018-05-05 18:16:33 EDT', 'marko.zajc'), ('CLOSED', '2018-05-07 12:06:05 EDT', 'daniel_megert'), ('DUPLICATE', '2018-05-07 12:06:05 EDT', 'daniel_megert'), ('daniel_megert', '2018-05-07 12:06:05 EDT', 'daniel_megert'), ("[quick fix] Quick fix &gt; Change method won't adapt uses of that method", '2018-05-07 12:06:41 EDT', 'daniel_megert')]</t>
  </si>
  <si>
    <t>2020-05-12 07:58:29 EDT</t>
  </si>
  <si>
    <t>2018-03-19 13:41 EDT</t>
  </si>
  <si>
    <t>2018-03-19 19:05:28 EDT</t>
  </si>
  <si>
    <t>[('CREATED', '2018-03-19 13:41 EDT'), ('UI', '2018-03-19 19:05:28 EDT', 'stephan.herrmann'), ('stephan.herrmann', '2018-03-19 19:05:28 EDT', 'stephan.herrmann'), ('jdt-ui-inbox', '2018-03-19 19:05:28 EDT', 'stephan.herrmann'), ('needinfo', '2018-03-19 19:05:28 EDT', 'stephan.herrmann'), ('daniel_megert', '2018-03-20 11:50:18 EDT', 'daniel_megert'), ('WONTFIX', '2020-05-12 07:58:29 EDT', 'genie'), ('stalebug', '2020-05-12 07:58:29 EDT', 'genie'), ('CLOSED', '2020-05-12 07:58:29 EDT', 'genie')]</t>
  </si>
  <si>
    <t>532997</t>
  </si>
  <si>
    <t>2018-03-29 03:47:22 EDT</t>
  </si>
  <si>
    <t>2018-03-29 12:08:39 EDT</t>
  </si>
  <si>
    <t>2018-03-28 07:27 EDT</t>
  </si>
  <si>
    <t>2018-03-28 07:27:54 EDT</t>
  </si>
  <si>
    <t>[('CREATED', '2018-03-28 07:27 EDT'), ('kalyan_prasad', '2018-03-28 07:27:54 EDT', 'kalyan_prasad'), ('532997', '2018-03-28 07:28:18 EDT', 'kalyan_prasad'), ('4.8 M7', '2018-03-28 07:29:36 EDT', 'kalyan_prasad'), ('https://git.eclipse.org/r/120401', '2018-03-29 03:21:44 EDT', 'genie'), ('https://git.eclipse.org/c/jdt/eclipse.jdt.ui.git/commit/?id=e6058a2669d4f36d3a69db40480d577ed82b633b', '2018-03-29 03:43:12 EDT', 'genie'), ('https://git.eclipse.org/r/120404', '2018-03-29 03:43:14 EDT', 'genie'), ('https://git.eclipse.org/c/jdt/eclipse.jdt.ui.git/commit/?id=c44c4d0de7c71de256928d90be5551114aa04d73', '2018-03-29 03:43:25 EDT', 'genie'), ('4.7.3a', '2018-03-29 03:45:15 EDT', 'kalyan_prasad'), ('sasikanth.bharadwaj', '2018-03-29 03:47:13 EDT', 'kalyan_prasad'), ('RESOLVED', '2018-03-29 03:47:22 EDT', 'kalyan_prasad'), ('FIXED', '2018-03-29 03:47:22 EDT', 'kalyan_prasad'), ('noopur_gupta', '2018-03-29 03:56:12 EDT', 'noopur_gupta'), ('https://git.eclipse.org/r/120421', '2018-03-29 05:40:45 EDT', 'genie'), ('https://git.eclipse.org/c/jdt/eclipse.jdt.ui.git/commit/?id=c18c674600c765991e164a669d58708e7f9a7de8', '2018-03-29 05:41:27 EDT', 'genie'), ('https://git.eclipse.org/r/120425', '2018-03-29 06:12:35 EDT', 'genie'), ('https://git.eclipse.org/c/jdt/eclipse.jdt.ui.git/commit/?id=02939fd8fa3ed56f2a6305da596d65953b43c222', '2018-03-29 06:19:48 EDT', 'genie'), ('https://git.eclipse.org/r/120426', '2018-03-29 06:19:50 EDT', 'genie'), ('https://git.eclipse.org/c/jdt/eclipse.jdt.ui.git/commit/?id=ee26c07ed246304886c0a1cae1827962e00c9b4e', '2018-03-29 06:20:32 EDT', 'genie'), ('daniel_megert', '2018-03-29 12:08:39 EDT', 'daniel_megert'), ('VERIFIED', '2018-03-29 12:08:39 EDT', 'daniel_megert')]</t>
  </si>
  <si>
    <t>2018-04-13 06:53:27 EDT</t>
  </si>
  <si>
    <t>2018-04-06 15:08 EDT</t>
  </si>
  <si>
    <t>2018-04-06 15:08:24 EDT</t>
  </si>
  <si>
    <t>[('CREATED', '2018-04-06 15:08 EDT'), ('Quickfix for "The public type XYZ must be defined in its own file" should be renamed', '2018-04-06 15:08:24 EDT', 'mirraj2'), ('stephan.herrmann', '2018-04-07 07:35:28 EDT', 'stephan.herrmann'), ('noopur_gupta', '2018-04-11 08:35:27 EDT', 'noopur_gupta'), ('noopur_gupta', '2018-04-13 06:53:27 EDT', 'noopur_gupta'), ('4.8 M7', '2018-04-13 06:53:27 EDT', 'noopur_gupta'), ('RESOLVED', '2018-04-13 06:53:27 EDT', 'noopur_gupta'), ('FIXED', '2018-04-13 06:53:27 EDT', 'noopur_gupta')]</t>
  </si>
  <si>
    <t>2018-06-25 11:59:09 EDT</t>
  </si>
  <si>
    <t>2018-04-30 14:25 EDT</t>
  </si>
  <si>
    <t>2018-04-30 14:25:27 EDT</t>
  </si>
  <si>
    <t>2018-10-26 09:51:04 EDT</t>
  </si>
  <si>
    <t>[('CREATED', '2018-04-30 14:25 EDT'), ('rgrunber', '2018-04-30 14:25:27 EDT', 'jjohnstn'), ('jjohnstn', '2018-04-30 14:25:38 EDT', 'jjohnstn'), ('https://git.eclipse.org/r/121952', '2018-04-30 15:51:50 EDT', 'genie'), ('daniel_megert', '2018-05-01 08:53:51 EDT', 'daniel_megert'), ('https://git.eclipse.org/c/jdt/eclipse.jdt.ui.git/commit/?id=07f9e8c40160cc052f168b26d9a6e13af777a07b', '2018-06-25 02:27:29 EDT', 'genie'), ('https://git.eclipse.org/r/124957', '2018-06-25 02:35:07 EDT', 'genie'), ('https://git.eclipse.org/c/jdt/eclipse.jdt.ui.git/commit/?id=5f44e5db2b194cd9f81780333a268630af9f8720', '2018-06-25 02:36:19 EDT', 'genie'), ('FIXED', '2018-06-25 11:59:09 EDT', 'jjohnstn'), ('RESOLVED', '2018-06-25 11:59:09 EDT', 'jjohnstn'), ('kalyan_prasad, noopur_gupta', '2018-10-26 07:23:38 EDT', 'noopur_gupta'), ('4.9', '2018-10-26 07:55:27 EDT', 'kalyan_prasad'), ('4.9 M2', '2018-10-26 09:51:04 EDT', 'rgrunber')]</t>
  </si>
  <si>
    <t>534596</t>
  </si>
  <si>
    <t>2018-09-10 00:25:58 EDT</t>
  </si>
  <si>
    <t>2018-05-02 16:16 EDT</t>
  </si>
  <si>
    <t>2018-05-02 16:16:37 EDT</t>
  </si>
  <si>
    <t>2018-09-14 08:26:09 EDT</t>
  </si>
  <si>
    <t>[('CREATED', '2018-05-02 16:16 EDT'), ('jjohnstn', '2018-05-02 16:16:37 EDT', 'jjohnstn'), ('rgrunber', '2018-05-02 16:16:37 EDT', 'jjohnstn'), ('https://git.eclipse.org/r/122066', '2018-05-02 19:23:42 EDT', 'genie'), ('534596', '2018-05-11 18:02:33 EDT', 'jjohnstn'), ('https://git.eclipse.org/c/jdt/eclipse.jdt.ui.git/commit/?id=7ab1b91315f18feefea9684880c661d0e9ee7269', '2018-06-15 07:16:26 EDT', 'genie'), ('FIXED', '2018-09-10 00:25:58 EDT', 'kalyan_prasad'), ('4.9', '2018-09-10 00:25:58 EDT', 'kalyan_prasad'), ('RESOLVED', '2018-09-10 00:25:58 EDT', 'kalyan_prasad'), ('kalyan_prasad', '2018-09-10 00:25:58 EDT', 'kalyan_prasad'), ('4.9 M2', '2018-09-14 08:26:09 EDT', 'noopur_gupta')]</t>
  </si>
  <si>
    <t>2018-05-14 03:45:11 EDT</t>
  </si>
  <si>
    <t>2018-05-07 16:01 EDT</t>
  </si>
  <si>
    <t>2018-05-08 10:51:47 EDT</t>
  </si>
  <si>
    <t>2018-05-17 02:55:18 EDT</t>
  </si>
  <si>
    <t>[('CREATED', '2018-05-07 16:01 EDT'), ('jdt-ui-inbox', '2018-05-08 10:51:47 EDT', 'bsd'), ('UI', '2018-05-08 10:51:47 EDT', 'bsd'), ('[formatter] org.eclipse.jdt.core.javaFormatter project setting lost during ProfileVersioner migration', '2018-05-08 10:51:47 EDT', 'bsd'), ('https://git.eclipse.org/r/122312', '2018-05-08 10:53:29 EDT', 'genie'), ('daniel_megert', '2018-05-08 11:38:12 EDT', 'daniel_megert'), ('mateusz.matela', '2018-05-08 11:38:12 EDT', 'daniel_megert'), ('4.8 M7', '2018-05-08 11:38:12 EDT', 'daniel_megert'), ('4.8 RC1', '2018-05-10 09:42:22 EDT', 'daniel_megert'), ('mateusz.matela', '2018-05-10 10:45:10 EDT', 'daniel_megert'), ('review?(mateusz.matela)', '2018-05-10 10:45:10 EDT', 'daniel_megert'), ('major', '2018-05-11 15:31:41 EDT', 'mateusz.matela'), ('All', '2018-05-11 15:31:41 EDT', 'mateusz.matela'), ('ASSIGNED', '2018-05-11 15:31:41 EDT', 'mateusz.matela'), ('review+', '2018-05-11 15:31:41 EDT', 'mateusz.matela'), ('All', '2018-05-11 15:31:41 EDT', 'mateusz.matela'), ('bsd', '2018-05-11 15:31:41 EDT', 'mateusz.matela'), ('https://git.eclipse.org/c/jdt/eclipse.jdt.ui.git/commit/?id=2c487049fee762054b357b9c7f421f8f347601da', '2018-05-14 03:44:39 EDT', 'genie'), ('FIXED', '2018-05-14 03:45:11 EDT', 'daniel_megert'), ('RESOLVED', '2018-05-14 03:45:11 EDT', 'daniel_megert'), ('noopur_gupta', '2018-05-17 02:55:18 EDT', 'noopur_gupta')]</t>
  </si>
  <si>
    <t>534284</t>
  </si>
  <si>
    <t>2018-09-10 00:24:49 EDT</t>
  </si>
  <si>
    <t>2018-05-11 18:01 EDT</t>
  </si>
  <si>
    <t>2018-05-11 18:02:33 EDT</t>
  </si>
  <si>
    <t>2018-09-14 08:26:01 EDT</t>
  </si>
  <si>
    <t>[('CREATED', '2018-05-11 18:01 EDT'), ('jjohnstn', '2018-05-11 18:02:33 EDT', 'jjohnstn'), ('534284', '2018-05-11 18:02:33 EDT', 'jjohnstn'), ('Refactor LinkedProposalModel to jdt.core.manipulation', '2018-05-11 18:04:03 EDT', 'jjohnstn'), ('https://git.eclipse.org/r/123493', '2018-05-28 18:55:42 EDT', 'genie'), ('https://git.eclipse.org/c/jdt/eclipse.jdt.ui.git/commit/?id=f04eac10e0cdb379f41aa8f87ad916bcfe16ccfc', '2018-06-18 02:35:16 EDT', 'genie'), ('kalyan_prasad', '2018-09-10 00:24:49 EDT', 'kalyan_prasad'), ('FIXED', '2018-09-10 00:24:49 EDT', 'kalyan_prasad'), ('4.9', '2018-09-10 00:24:49 EDT', 'kalyan_prasad'), ('RESOLVED', '2018-09-10 00:24:49 EDT', 'kalyan_prasad'), ('4.9 M2', '2018-09-14 08:26:01 EDT', 'noopur_gupta')]</t>
  </si>
  <si>
    <t>531441</t>
  </si>
  <si>
    <t>2018-05-16 05:01:44 EDT</t>
  </si>
  <si>
    <t>2018-05-18 07:43:19 EDT</t>
  </si>
  <si>
    <t>2018-05-16 03:14 EDT</t>
  </si>
  <si>
    <t>2018-05-16 03:22:01 EDT</t>
  </si>
  <si>
    <t>karsten.thoms</t>
  </si>
  <si>
    <t>[('CREATED', '2018-05-16 03:14 EDT'), ('daniel_megert, kalyan_prasad, noopur_gupta', '2018-05-16 03:22:01 EDT', 'noopur_gupta'), ('4.8 RC1', '2018-05-16 03:22:01 EDT', 'noopur_gupta'), ('531441', '2018-05-16 03:22:01 EDT', 'noopur_gupta'), ('karsten.thoms', '2018-05-16 03:22:01 EDT', 'noopur_gupta'), ('ASSIGNED', '2018-05-16 03:40:54 EDT', 'karsten.thoms'), ('https://git.eclipse.org/r/122748', '2018-05-16 03:48:27 EDT', 'genie'), ('https://git.eclipse.org/c/jdt/eclipse.jdt.ui.git/commit/?id=b3f193181071544ec3ba660954c756221d268152', '2018-05-16 05:01:02 EDT', 'genie'), ('FIXED', '2018-05-16 05:01:44 EDT', 'kalyan_prasad'), ('RESOLVED', '2018-05-16 05:01:44 EDT', 'kalyan_prasad'), ('NPE during Clean Up of redundant modifiers', '2018-05-16 06:25:21 EDT', 'daniel_megert'), ('review+', '2018-05-16 07:07:20 EDT', 'kalyan_prasad'), ('VERIFIED', '2018-05-18 07:43:19 EDT', 'karsten.thoms')]</t>
  </si>
  <si>
    <t>2018-05-22 10:39:24 EDT</t>
  </si>
  <si>
    <t>2018-05-22 09:03 EDT</t>
  </si>
  <si>
    <t>2018-05-22 09:46:50 EDT</t>
  </si>
  <si>
    <t>[('CREATED', '2018-05-22 09:03 EDT'), ('critical', '2018-05-22 09:46:50 EDT', 'madacs'), ('RESOLVED', '2018-05-22 10:39:24 EDT', 'daniel_megert'), ('daniel_megert', '2018-05-22 10:39:24 EDT', 'daniel_megert'), ('WORKSFORME', '2018-05-22 10:39:24 EDT', 'daniel_megert')]</t>
  </si>
  <si>
    <t>2018-05-25 02:25 EDT</t>
  </si>
  <si>
    <t>2020-09-24 00:57:22 EDT</t>
  </si>
  <si>
    <t>[('CREATED', '2018-05-25 02:25 EDT'), ('stalebug', '2020-09-24 00:57:22 EDT', 'genie')]</t>
  </si>
  <si>
    <t>2018-07-05 11:32:20 EDT</t>
  </si>
  <si>
    <t>2018-08-01 02:56:39 EDT</t>
  </si>
  <si>
    <t>2018-05-28 18:37 EDT</t>
  </si>
  <si>
    <t>2018-05-28 18:37:25 EDT</t>
  </si>
  <si>
    <t>[('CREATED', '2018-05-28 18:37 EDT'), ('jjohnstn', '2018-05-28 18:37:25 EDT', 'jjohnstn'), ('https://git.eclipse.org/r/123494', '2018-05-28 18:55:43 EDT', 'genie'), ('https://git.eclipse.org/c/jdt/eclipse.jdt.ui.git/commit/?id=cc687aa53456a6211f191da39dd3b04107316a77', '2018-07-05 09:33:03 EDT', 'genie'), ('FIXED', '2018-07-05 11:32:20 EDT', 'jjohnstn'), ('4.9', '2018-07-05 11:32:20 EDT', 'jjohnstn'), ('RESOLVED', '2018-07-05 11:32:20 EDT', 'jjohnstn'), ('4.9 M2', '2018-07-31 04:33:31 EDT', 'noopur_gupta'), ('VERIFIED', '2018-08-01 02:56:39 EDT', 'kalyan_prasad'), ('kalyan_prasad', '2018-08-01 02:56:39 EDT', 'kalyan_prasad')]</t>
  </si>
  <si>
    <t>537120 (view as bug list)</t>
  </si>
  <si>
    <t>2018-07-24 02:45:30 EDT</t>
  </si>
  <si>
    <t>2018-08-01 02:28:43 EDT</t>
  </si>
  <si>
    <t>2018-06-07 04:01 EDT</t>
  </si>
  <si>
    <t>2018-06-15 04:16:24 EDT</t>
  </si>
  <si>
    <t>[('CREATED', '2018-06-07 04:01 EDT'), ('jdt-ui-inbox', '2018-06-15 04:16:24 EDT', 'manpalat'), ('manpalat', '2018-06-15 04:16:24 EDT', 'manpalat'), ('All', '2018-06-15 14:26:10 EDT', 'noopur_gupta'), ('All', '2018-06-15 14:26:10 EDT', 'noopur_gupta'), ('kalyan_prasad', '2018-06-15 14:26:10 EDT', 'noopur_gupta'), ('UI', '2018-06-15 14:26:10 EDT', 'noopur_gupta'), ('4.9 M2', '2018-06-15 14:26:10 EDT', 'noopur_gupta'), ('kalyan_prasad', '2018-06-15 14:26:10 EDT', 'noopur_gupta'), ('[10][extract method] with "var" type yields method with invalid return type of "var"', '2018-06-15 14:31:26 EDT', 'noopur_gupta'), ('https://git.eclipse.org/r/125919', '2018-07-11 07:34:29 EDT', 'genie'), ('fbricon', '2018-07-18 03:39:45 EDT', 'noopur_gupta'), ('https://git.eclipse.org/c/jdt/eclipse.jdt.ui.git/commit/?id=6e42c71165228ea34e9cd5c057aa68823f9d9bbb', '2018-07-24 02:45:06 EDT', 'genie'), ('FIXED', '2018-07-24 02:45:30 EDT', 'kalyan_prasad'), ('RESOLVED', '2018-07-24 02:45:30 EDT', 'kalyan_prasad'), ('VERIFIED', '2018-08-01 02:28:43 EDT', 'kalyan_prasad')]</t>
  </si>
  <si>
    <t>CLOSED  DUPLICATE  of bug 531708</t>
  </si>
  <si>
    <t>2018-06-26 01:59:14 EDT</t>
  </si>
  <si>
    <t>2018-06-26 00:25 EDT</t>
  </si>
  <si>
    <t>2018-06-26 00:25:32 EDT</t>
  </si>
  <si>
    <t>2018-06-26 02:11:04 EDT</t>
  </si>
  <si>
    <t>[('CREATED', '2018-06-26 00:25 EDT'), ('BETA J11', '2018-06-26 00:25:32 EDT', 'manpalat'), ('manpalat', '2018-06-26 00:25:32 EDT', 'manpalat'), ('536270', '2018-06-26 00:45:46 EDT', 'manpalat'), ('536271', '2018-06-26 00:57:49 EDT', 'manpalat'), ('daniel_megert, jarthana, pradeepb', '2018-06-26 01:11:57 EDT', 'manpalat'), ('sarika.sinha', '2018-06-26 01:12:37 EDT', 'manpalat'), ('Vikas.Chandra', '2018-06-26 01:12:48 EDT', 'manpalat'), ('536272', '2018-06-26 01:20:10 EDT', 'manpalat'), ('DUPLICATE', '2018-06-26 01:59:14 EDT', 'manpalat'), ('RESOLVED', '2018-06-26 01:59:14 EDT', 'manpalat'), (nan, '2018-06-26 02:00:52 EDT', 'manpalat'), (nan, '2018-06-26 02:01:54 EDT', 'manpalat'), (nan, '2018-06-26 02:06:17 EDT', 'manpalat'), ('CLOSED', '2018-06-26 02:11:04 EDT', 'noopur_gupta')]</t>
  </si>
  <si>
    <t>CLOSED  DUPLICATE  of bug 531711</t>
  </si>
  <si>
    <t>531711</t>
  </si>
  <si>
    <t>2018-06-26 02:10:17 EDT</t>
  </si>
  <si>
    <t>2018-06-26 00:56 EDT</t>
  </si>
  <si>
    <t>2018-06-26 00:57:49 EDT</t>
  </si>
  <si>
    <t>[('CREATED', '2018-06-26 00:56 EDT'), ('manpalat', '2018-06-26 00:57:49 EDT', 'manpalat'), ('BETA J11', '2018-06-26 00:57:49 EDT', 'manpalat'), ('536269', '2018-06-26 00:57:49 EDT', 'manpalat'), ('sarika.sinha', '2018-06-26 01:11:18 EDT', 'manpalat'), ('531711', '2018-06-26 02:01:54 EDT', 'manpalat'), ('DUPLICATE', '2018-06-26 02:10:17 EDT', 'manpalat'), ('CLOSED', '2018-06-26 02:10:17 EDT', 'manpalat')]</t>
  </si>
  <si>
    <t>2018-07-17 04:38:47 EDT</t>
  </si>
  <si>
    <t>2018-08-01 04:01:53 EDT</t>
  </si>
  <si>
    <t>2018-07-04 03:35 EDT</t>
  </si>
  <si>
    <t>[('CREATED', '2018-07-04 03:35 EDT'), ('loskutov', '2018-07-04 03:36:38 EDT', 'loskutov'), ('4.9 M2', '2018-07-04 03:36:38 EDT', 'loskutov'), ('https://bugs.eclipse.org/bugs/show_bug.cgi?id=151668, https://bugs.eclipse.org/bugs/show_bug.cgi?id=200444, https://bugs.eclipse.org/bugs/show_bug.cgi?id=499363', '2018-07-04 03:36:38 EDT', 'loskutov'), ('https://git.eclipse.org/r/126034', '2018-07-13 11:26:09 EDT', 'genie'), ('https://git.eclipse.org/r/126036', '2018-07-13 11:28:22 EDT', 'genie'), ('https://git.eclipse.org/c/jdt/eclipse.jdt.ui.git/commit/?id=9c352018fd22f9773c2d02418697cdf606b4ecfa', '2018-07-13 14:35:24 EDT', 'genie'), ('https://git.eclipse.org/c/platform/eclipse.platform.ui.git/commit/?id=7f06c7e03ba39bcc1668f831b4dd79b9684078be', '2018-07-13 14:36:36 EDT', 'genie'), ('FIXED', '2018-07-17 04:38:47 EDT', 'loskutov'), ('RESOLVED', '2018-07-17 04:38:47 EDT', 'loskutov'), ('kalyan_prasad', '2018-08-01 04:01:53 EDT', 'kalyan_prasad'), ('VERIFIED', '2018-08-01 04:01:53 EDT', 'kalyan_prasad')]</t>
  </si>
  <si>
    <t>537346 (view as bug list)</t>
  </si>
  <si>
    <t>2018-08-08 03:04:55 EDT</t>
  </si>
  <si>
    <t>2018-08-21 01:46:07 EDT</t>
  </si>
  <si>
    <t>2018-07-13 17:59 EDT</t>
  </si>
  <si>
    <t>2018-07-13 18:00:23 EDT</t>
  </si>
  <si>
    <t>2018-09-18 15:26:39 EDT</t>
  </si>
  <si>
    <t>[('CREATED', '2018-07-13 17:59 EDT'), ('jjohnstn', '2018-07-13 18:00:23 EDT', 'jjohnstn'), ('https://git.eclipse.org/r/126058', '2018-07-13 22:07:08 EDT', 'genie'), ('https://git.eclipse.org/c/jdt/eclipse.jdt.ui.git/commit/?id=f5bc72cf819d844d33aec51b583a6ebe6a12f0fd', '2018-08-08 03:03:58 EDT', 'genie'), ('4.9 M3', '2018-08-08 03:04:55 EDT', 'kalyan_prasad'), ('FIXED', '2018-08-08 03:04:55 EDT', 'kalyan_prasad'), ('RESOLVED', '2018-08-08 03:04:55 EDT', 'kalyan_prasad'), ('kalyan_prasad', '2018-08-08 03:04:55 EDT', 'kalyan_prasad'), ('VERIFIED', '2018-08-21 01:46:07 EDT', 'kalyan_prasad'), ('rgrunber', '2018-09-18 15:26:39 EDT', 'rgrunber')]</t>
  </si>
  <si>
    <t>2018-07-25 10:03:12 EDT</t>
  </si>
  <si>
    <t>2018-08-01 02:58:26 EDT</t>
  </si>
  <si>
    <t>2018-07-16 18:56 EDT</t>
  </si>
  <si>
    <t>2018-07-16 18:56:16 EDT</t>
  </si>
  <si>
    <t>[('CREATED', '2018-07-16 18:56 EDT'), ('jjohnstn', '2018-07-16 18:56:16 EDT', 'jjohnstn'), ('https://git.eclipse.org/r/126188', '2018-07-17 12:17:13 EDT', 'genie'), ('4.9 M2', '2018-07-25 10:02:23 EDT', 'kalyan_prasad'), ('kalyan_prasad', '2018-07-25 10:02:23 EDT', 'kalyan_prasad'), ('https://git.eclipse.org/c/jdt/eclipse.jdt.ui.git/commit/?id=9c1dbd0eadb50f05609507382707df879c4b4630', '2018-07-25 10:02:29 EDT', 'genie'), ('RESOLVED', '2018-07-25 10:03:12 EDT', 'kalyan_prasad'), ('FIXED', '2018-07-25 10:03:12 EDT', 'kalyan_prasad'), ('VERIFIED', '2018-08-01 02:58:26 EDT', 'kalyan_prasad')]</t>
  </si>
  <si>
    <t>2018-07-25 07:24:19 EDT</t>
  </si>
  <si>
    <t>2018-07-20 15:53 EDT</t>
  </si>
  <si>
    <t>2018-07-20 15:55:22 EDT</t>
  </si>
  <si>
    <t>2018-10-26 07:58:47 EDT</t>
  </si>
  <si>
    <t>[('CREATED', '2018-07-20 15:53 EDT'), ('https://git.eclipse.org/r/126406', '2018-07-20 15:55:22 EDT', 'genie'), ('daniel_megert', '2018-07-24 12:34:52 EDT', 'rgrunber'), ('review?(kalyan_prasad)', '2018-07-24 12:40:19 EDT', 'daniel_megert'), ('kalyan_prasad', '2018-07-24 12:40:19 EDT', 'daniel_megert'), ('https://git.eclipse.org/c/jdt/eclipse.jdt.ui.git/commit/?id=0a2e2c531c57240713b98c24ea5d47b52620c58b', '2018-07-25 07:24:04 EDT', 'genie'), ('review+', '2018-07-25 07:24:19 EDT', 'kalyan_prasad'), ('FIXED', '2018-07-25 07:24:19 EDT', 'kalyan_prasad'), ('RESOLVED', '2018-07-25 07:24:19 EDT', 'kalyan_prasad'), ('noopur_gupta', '2018-10-26 07:44:44 EDT', 'noopur_gupta'), ('4.9 M2', '2018-10-26 07:57:49 EDT', 'kalyan_prasad'), ('rgrunber', '2018-10-26 07:58:47 EDT', 'kalyan_prasad')]</t>
  </si>
  <si>
    <t>CLOSED  DUPLICATE  of bug 537029</t>
  </si>
  <si>
    <t>2018-07-24 12:43 EDT</t>
  </si>
  <si>
    <t>2018-07-24 12:45:15 EDT</t>
  </si>
  <si>
    <t>[('CREATED', '2018-07-24 12:43 EDT'), ('https://git.eclipse.org/r/126571', '2018-07-24 12:45:15 EDT', 'genie'), ('DUPLICATE', '2018-09-18 15:26:39 EDT', 'rgrunber'), ('CLOSED', '2018-09-18 15:26:39 EDT', 'rgrunber')]</t>
  </si>
  <si>
    <t>2018-11-20 04:07:50 EST</t>
  </si>
  <si>
    <t>2018-11-21 03:47:36 EST</t>
  </si>
  <si>
    <t>2018-08-13 18:08 EDT</t>
  </si>
  <si>
    <t>2018-08-13 18:08:18 EDT</t>
  </si>
  <si>
    <t>[('CREATED', '2018-08-13 18:08 EDT'), ('jjohnstn', '2018-08-13 18:08:18 EDT', 'jjohnstn'), ('https://git.eclipse.org/r/127365', '2018-08-13 18:14:50 EDT', 'genie'), ('daniel_megert, kalyan_prasad', '2018-08-27 01:21:48 EDT', 'kalyan_prasad'), ('4.10', '2018-08-27 05:37:11 EDT', 'daniel_megert'), ('https://git.eclipse.org/c/jdt/eclipse.jdt.ui.git/commit/?id=bdd2c57b8e17c5f390cd50233577fef62003aa9d', '2018-09-14 07:23:45 EDT', 'genie'), ('noopur_gupta', '2018-09-26 02:41:58 EDT', 'noopur_gupta'), ('loskutov', '2018-10-17 04:59:46 EDT', 'loskutov'), ('4.10 M3', '2018-10-17 04:59:57 EDT', 'loskutov'), ('https://git.eclipse.org/r/131048', '2018-10-17 06:51:50 EDT', 'genie'), ('https://git.eclipse.org/c/jdt/eclipse.jdt.ui.git/commit/?id=cef4565eb3c0ca0929aa5f6a32f7eb125b33d415', '2018-10-17 08:00:02 EDT', 'genie'), ('FIXED', '2018-11-20 04:07:50 EST', 'noopur_gupta'), ('RESOLVED', '2018-11-20 04:07:50 EST', 'noopur_gupta'), ('VERIFIED', '2018-11-21 03:47:36 EST', 'kalyan_prasad')]</t>
  </si>
  <si>
    <t>2020-05-15 00:57:57 EDT</t>
  </si>
  <si>
    <t>2018-08-21 14:52 EDT</t>
  </si>
  <si>
    <t>2018-08-21 15:16:54 EDT</t>
  </si>
  <si>
    <t>[('CREATED', '2018-08-21 14:52 EDT'), ('loskutov', '2018-08-21 15:16:54 EDT', 'loskutov'), ('https://git.eclipse.org/r/127820', '2018-08-21 17:22:57 EDT', 'genie'), ('https://git.eclipse.org/r/127821', '2018-08-21 17:25:10 EDT', 'genie'), ('jonah', '2018-08-21 17:29:20 EDT', 'jonah'), ('daniel_megert', '2018-08-24 12:43:14 EDT', 'daniel_megert'), ('kalyan_prasad', '2018-08-24 12:43:14 EDT', 'daniel_megert'), ('api', '2018-08-24 12:43:14 EDT', 'daniel_megert'), ('enhancement', '2018-08-24 12:43:14 EDT', 'daniel_megert'), ('All', '2018-08-24 12:43:14 EDT', 'daniel_megert'), ('All', '2018-08-24 12:43:14 EDT', 'daniel_megert'), ('aobuchow, mistria', '2019-07-17 10:19:09 EDT', 'mistria'), ('https://git.eclipse.org/r/162679', '2020-05-08 02:45:32 EDT', 'genie'), ('https://git.eclipse.org/r/162772', '2020-05-10 19:42:30 EDT', 'genie'), ('563051', '2020-05-11 07:32:16 EDT', 'jonah'), (nan, '2020-05-11 07:38:09 EDT', 'jonah'), ('4.16 M3', '2020-05-15 00:35:18 EDT', 'kalyan_prasad'), ('https://git.eclipse.org/c/jdt/eclipse.jdt.ui.git/commit/?id=c384fefe236dee91353ea4db42c9330f86331c17', '2020-05-15 00:57:13 EDT', 'kalyan_prasad'), ('FIXED', '2020-05-15 00:57:57 EDT', 'kalyan_prasad'), ('RESOLVED', '2020-05-15 00:57:57 EDT', 'kalyan_prasad')]</t>
  </si>
  <si>
    <t>2018-10-18 01:41:37 EDT</t>
  </si>
  <si>
    <t>2018-08-23 10:52 EDT</t>
  </si>
  <si>
    <t>2018-08-23 10:55:55 EDT</t>
  </si>
  <si>
    <t>[('CREATED', '2018-08-23 10:52 EDT'), ('https://git.eclipse.org/r/127942', '2018-08-23 10:55:55 EDT', 'genie'), ('daniel_megert', '2018-08-23 12:19:12 EDT', 'daniel_megert'), ('ASSIGNED', '2018-08-23 12:19:12 EDT', 'daniel_megert'), ('https://bugs.eclipse.org/bugs/show_bug.cgi?id=533879', '2018-08-23 12:19:12 EDT', 'daniel_megert'), ('4.10', '2018-08-24 13:09:51 EDT', 'daniel_megert'), ('4.10 M1', '2018-09-25 10:49:00 EDT', 'noopur_gupta'), ('All', '2018-09-25 10:49:00 EDT', 'noopur_gupta'), ('noopur_gupta, thomas.wolf', '2018-09-25 10:49:00 EDT', 'noopur_gupta'), ('review?(thomas.wolf)', '2018-09-25 10:49:00 EDT', 'noopur_gupta'), ('ma.becker', '2018-09-25 10:49:00 EDT', 'noopur_gupta'), ('All', '2018-09-25 10:49:00 EDT', 'noopur_gupta'), (nan, '2018-09-25 11:11:06 EDT', 'noopur_gupta'), ('4.10 M3', '2018-10-05 05:35:02 EDT', 'noopur_gupta'), ('Lars.Vogel', '2018-10-17 15:41:08 EDT', 'Lars.Vogel'), ('https://git.eclipse.org/c/jdt/eclipse.jdt.ui.git/commit/?id=0c40c1089b8338ffe690c09c4be80401d9ddda92', '2018-10-18 01:38:54 EDT', 'genie'), ('sarika.sinha', '2018-10-18 01:41:37 EDT', 'sarika.sinha'), ('RESOLVED', '2018-10-18 01:41:37 EDT', 'sarika.sinha'), ('FIXED', '2018-10-18 01:41:37 EDT', 'sarika.sinha')]</t>
  </si>
  <si>
    <t>2018-08-27 05:47 EDT</t>
  </si>
  <si>
    <t>2018-08-27 08:17:01 EDT</t>
  </si>
  <si>
    <t>2020-02-20 10:21:35 EST</t>
  </si>
  <si>
    <t>[('CREATED', '2018-08-27 05:47 EDT'), ('stephan.herrmann', '2018-08-27 08:17:01 EDT', 'stephan.herrmann'), ('jdt-ui-inbox', '2018-08-27 08:17:01 EDT', 'stephan.herrmann'), ('UI', '2018-08-27 08:17:01 EDT', 'stephan.herrmann'), ('enhancement', '2018-08-27 09:17:24 EDT', 'daniel_megert'), ('All', '2018-08-27 09:17:24 EDT', 'daniel_megert'), ('daniel_megert', '2018-08-27 09:17:24 EDT', 'daniel_megert'), ('ASSIGNED', '2018-08-27 09:17:24 EDT', 'daniel_megert'), ('All', '2018-08-27 09:17:24 EDT', 'daniel_megert'), ('[quick fix] Assign statement to local variable should offer "var" as a type option', '2018-08-27 09:17:24 EDT', 'daniel_megert'), ('b.michael', '2018-12-28 08:56:27 EST', 'b.michael'), ('johnthuss', '2020-02-19 10:48:17 EST', 'johnthuss'), ('gautier.desaintmartinlacaze', '2020-02-20 10:21:35 EST', 'gautier.desaintmartinlacaze')]</t>
  </si>
  <si>
    <t>2018-09-24 08:12:02 EDT</t>
  </si>
  <si>
    <t>2018-08-30 12:32 EDT</t>
  </si>
  <si>
    <t>2018-08-30 12:32:48 EDT</t>
  </si>
  <si>
    <t>2018-10-26 07:53:32 EDT</t>
  </si>
  <si>
    <t>[('CREATED', '2018-08-30 12:32 EDT'), ('jjohnstn', '2018-08-30 12:32:48 EDT', 'jjohnstn'), ('https://git.eclipse.org/r/128391', '2018-08-30 15:11:28 EDT', 'genie'), ('https://git.eclipse.org/c/jdt/eclipse.jdt.ui.git/commit/?id=e4dc61703d854f1d686a2c94f804d19813b86131', '2018-09-14 08:27:52 EDT', 'genie'), ('https://git.eclipse.org/r/129862', '2018-09-24 07:28:14 EDT', 'genie'), ('https://git.eclipse.org/c/jdt/eclipse.jdt.ui.git/commit/?id=c98cc349a9f47f949dbe9c7bdfd5779406e96dc2', '2018-09-24 07:30:26 EDT', 'genie'), ('FIXED', '2018-09-24 08:12:02 EDT', 'kalyan_prasad'), ('kalyan_prasad', '2018-09-24 08:12:02 EDT', 'kalyan_prasad'), ('RESOLVED', '2018-09-24 08:12:02 EDT', 'kalyan_prasad'), ('noopur_gupta', '2018-10-26 07:24:14 EDT', 'noopur_gupta'), ('4.10 M1', '2018-10-26 07:53:32 EDT', 'kalyan_prasad')]</t>
  </si>
  <si>
    <t>547683</t>
  </si>
  <si>
    <t>531061</t>
  </si>
  <si>
    <t>2019-11-18 04:28:10 EST</t>
  </si>
  <si>
    <t>2019-11-13 23:30:06 EST</t>
  </si>
  <si>
    <t>2018-09-05 11:40 EDT</t>
  </si>
  <si>
    <t>2018-09-05 11:40:57 EDT</t>
  </si>
  <si>
    <t>2019-11-18 10:19:57 EST</t>
  </si>
  <si>
    <t>[('CREATED', '2018-09-05 11:40 EDT'), ('https://bugs.eclipse.org/bugs/show_bug.cgi?id=538630', '2018-09-05 11:40:57 EDT', 'mistria'), ('531061', '2018-09-05 11:41:24 EDT', 'mistria'), ('https://git.eclipse.org/r/129010', '2018-09-10 03:57:38 EDT', 'genie'), ('fbricon, rgrunber', '2018-09-10 13:04:01 EDT', 'mistria'), ('gautier.desaintmartinlacaze', '2018-10-05 08:21:20 EDT', 'gautier.desaintmartinlacaze'), ('daniel_megert, sarika.sinha, stephan.herrmann', '2018-10-29 07:53:15 EDT', 'noopur_gupta'), ('loskutov', '2018-10-29 08:11:45 EDT', 'loskutov'), ('angelo.zerr', '2018-10-29 08:15:48 EDT', 'azerr'), ('noopur_gupta', '2018-10-29 08:45:40 EDT', 'noopur_gupta'), ('julian.honnen', '2019-05-21 10:55:03 EDT', 'julian.honnen'), ('Lars.Vogel', '2019-05-23 08:47:35 EDT', 'Lars.Vogel'), ('https://git.eclipse.org/r/142669', '2019-05-23 10:02:42 EDT', 'genie'), ('fabian.pfaff', '2019-05-24 06:13:21 EDT', 'fabian.pfaff'), ('547683', '2019-05-27 06:57:45 EDT', 'mistria'), ('akurtakov', '2019-05-28 13:57:10 EDT', 'akurtakov'), ('4.14 M3', '2019-11-05 05:45:10 EST', 'mistria'), ('https://git.eclipse.org/c/jdt/eclipse.jdt.ui.git/commit/?id=d9cd2f3580c64bdf8dfa54f861eb251789ec5637', '2019-11-13 13:27:06 EST', 'genie'), ('RESOLVED', '2019-11-13 13:32:21 EST', 'jjohnstn'), ('FIXED', '2019-11-13 13:32:21 EST', 'jjohnstn'), ('jjohnstn', '2019-11-13 13:32:21 EST', 'jjohnstn'), ('https://git.eclipse.org/r/152623', '2019-11-13 18:56:32 EST', 'genie'), ('https://git.eclipse.org/r/152627', '2019-11-13 22:51:14 EST', 'genie'), ('Vikas.Chandra', '2019-11-13 22:57:02 EST', 'Vikas.Chandra'), ('https://git.eclipse.org/c/jdt/eclipse.jdt.ui.git/commit/?id=9f309774d613680abe496440534dece9e5e744be', '2019-11-13 23:13:31 EST', 'genie'), ('---', '2019-11-13 23:30:06 EST', 'Vikas.Chandra'), ('REOPENED', '2019-11-13 23:30:06 EST', 'Vikas.Chandra'), ('https://git.eclipse.org/r/152673', '2019-11-14 10:44:34 EST', 'genie'), ('https://git.eclipse.org/c/jdt/eclipse.jdt.ui.git/commit/?id=afe2ff9be7e361388cca3e43f94ce5c902149a21', '2019-11-14 12:29:40 EST', 'genie'), ('mistria', '2019-11-18 04:28:10 EST', 'mistria'), ('RESOLVED', '2019-11-18 04:28:10 EST', 'mistria'), ('FIXED', '2019-11-18 04:28:10 EST', 'mistria'), ('https://git.eclipse.org/c/jdt/eclipse.jdt.debug.git/commit/?id=89890a18182b48a3f12073c8e427a7c754d6beae', '2019-11-18 10:19:57 EST', 'genie')]</t>
  </si>
  <si>
    <t>2018-10-03 04:05:21 EDT</t>
  </si>
  <si>
    <t>2018-09-12 14:47 EDT</t>
  </si>
  <si>
    <t>2018-09-12 16:51:18 EDT</t>
  </si>
  <si>
    <t>2018-10-05 17:16:08 EDT</t>
  </si>
  <si>
    <t>[('CREATED', '2018-09-12 14:47 EDT'), ('stephan.herrmann', '2018-09-12 16:51:18 EDT', 'stephan.herrmann'), ('rk1424', '2018-09-14 11:10:50 EDT', 'raffi.khatchadourian'), ('needinfo', '2018-09-14 18:44:34 EDT', 'stephan.herrmann'), ('CLOSED', '2018-10-03 04:05:21 EDT', 'stephan.herrmann'), ('4.10 M1', '2018-10-03 04:05:21 EDT', 'stephan.herrmann'), ('WORKSFORME', '2018-10-03 04:05:21 EDT', 'stephan.herrmann'), ('stephan.herrmann', '2018-10-03 04:05:21 EDT', 'stephan.herrmann'), ('oren.friedman07', '2018-10-05 15:41:19 EDT', 'raffi.khatchadourian'), (nan, '2018-10-05 17:16:08 EDT', 'stephan.herrmann')]</t>
  </si>
  <si>
    <t>2018-09-15 10:51 EDT</t>
  </si>
  <si>
    <t>2018-09-15 11:31:32 EDT</t>
  </si>
  <si>
    <t>2020-09-16 14:21:25 EDT</t>
  </si>
  <si>
    <t>[('CREATED', '2018-09-15 10:51 EDT'), ('stephan.herrmann', '2018-09-15 11:31:32 EDT', 'stephan.herrmann'), ('stalebug', '2020-09-16 10:10:09 EDT', 'genie'), ('jjohnstn', '2020-09-16 14:21:25 EDT', 'jjohnstn')]</t>
  </si>
  <si>
    <t>2018-10-30 01:35:13 EDT</t>
  </si>
  <si>
    <t>2018-11-21 03:57:31 EST</t>
  </si>
  <si>
    <t>2018-09-17 15:01 EDT</t>
  </si>
  <si>
    <t>2018-09-17 15:01:46 EDT</t>
  </si>
  <si>
    <t>[('CREATED', '2018-09-17 15:01 EDT'), ('jjohnstn', '2018-09-17 15:01:46 EDT', 'jjohnstn'), ('akurtakov', '2018-09-19 07:52:24 EDT', 'akurtakov'), ('daniel_megert', '2018-09-19 08:26:17 EDT', 'daniel_megert'), ('gautier.desaintmartinlacaze', '2018-09-19 17:48:05 EDT', 'gautier.desaintmartinlacaze'), ('https://git.eclipse.org/r/129807', '2018-09-21 15:28:16 EDT', 'genie'), ('review?(kalyan_prasad)', '2018-09-28 14:36:31 EDT', 'jjohnstn'), ('kalyan_prasad', '2018-09-28 14:36:31 EDT', 'jjohnstn'), ('review+', '2018-10-23 05:49:41 EDT', 'kalyan_prasad'), ('https://git.eclipse.org/c/jdt/eclipse.jdt.ui.git/commit/?id=e0ed785257a3a641aada10d0970ac03e5257f139', '2018-10-23 05:49:59 EDT', 'genie'), ('noopur_gupta', '2018-10-26 06:25:16 EDT', 'noopur_gupta'), ('4.10 M3', '2018-10-26 06:41:42 EDT', 'noopur_gupta'), ('https://git.eclipse.org/r/131525', '2018-10-26 14:19:39 EDT', 'genie'), ('https://git.eclipse.org/r/131527', '2018-10-26 14:26:07 EDT', 'genie'), ('https://git.eclipse.org/c/jdt/eclipse.jdt.debug.git/commit/?id=b685935f4314e04aca7b5adfc428e6d42263aea3', '2018-10-29 05:36:21 EDT', 'genie'), ('https://git.eclipse.org/c/jdt/eclipse.jdt.ui.git/commit/?id=9eb5fd7e0b577f3667ffde3c144e73907a0e08f3', '2018-10-30 01:34:36 EDT', 'genie'), ('RESOLVED', '2018-10-30 01:35:13 EDT', 'kalyan_prasad'), ('FIXED', '2018-10-30 01:35:13 EDT', 'kalyan_prasad'), ('VERIFIED', '2018-11-21 03:57:31 EST', 'kalyan_prasad')]</t>
  </si>
  <si>
    <t>2018-11-15 23:07:35 EST</t>
  </si>
  <si>
    <t>2018-11-21 03:53:10 EST</t>
  </si>
  <si>
    <t>2018-09-17 18:34 EDT</t>
  </si>
  <si>
    <t>2018-09-17 18:34:39 EDT</t>
  </si>
  <si>
    <t>[('CREATED', '2018-09-17 18:34 EDT'), ('jjohnstn', '2018-09-17 18:34:39 EDT', 'jjohnstn'), ('https://git.eclipse.org/r/129580', '2018-09-17 18:49:10 EDT', 'genie'), ('kalyan_prasad', '2018-09-27 06:05:47 EDT', 'kalyan_prasad'), ('review?(kalyan_prasad)', '2018-09-27 06:05:47 EDT', 'kalyan_prasad'), ('daniel_megert', '2018-10-16 10:38:12 EDT', 'daniel_megert'), ('4.10 M3', '2018-11-15 23:06:57 EST', 'kalyan_prasad'), ('https://git.eclipse.org/c/jdt/eclipse.jdt.ui.git/commit/?id=752ba92ac6c8a1942fedc7d9f2cbc2123cbbc1f2', '2018-11-15 23:07:07 EST', 'genie'), ('review+', '2018-11-15 23:07:14 EST', 'kalyan_prasad'), ('FIXED', '2018-11-15 23:07:35 EST', 'kalyan_prasad'), ('RESOLVED', '2018-11-15 23:07:35 EST', 'kalyan_prasad'), ('VERIFIED', '2018-11-21 03:53:10 EST', 'kalyan_prasad')]</t>
  </si>
  <si>
    <t>2020-10-13 05:53:58 EDT</t>
  </si>
  <si>
    <t>2018-09-21 03:22 EDT</t>
  </si>
  <si>
    <t>2018-09-21 04:25:10 EDT</t>
  </si>
  <si>
    <t>[('CREATED', '2018-09-21 03:22 EDT'), ('loskutov', '2018-09-21 04:25:10 EDT', 'loskutov'), ('stalebug', '2020-10-12 03:45:28 EDT', 'genie'), ('CLOSED', '2020-10-13 05:53:58 EDT', 'kalyan_prasad'), ('WORKSFORME', '2020-10-13 05:53:58 EDT', 'kalyan_prasad'), ('kalyan_prasad', '2020-10-13 05:53:58 EDT', 'kalyan_prasad')]</t>
  </si>
  <si>
    <t>2020-05-13 13:09:55 EDT</t>
  </si>
  <si>
    <t>2020-05-19 13:33:53 EDT</t>
  </si>
  <si>
    <t>2018-09-25 08:49 EDT</t>
  </si>
  <si>
    <t>2018-09-25 10:40:22 EDT</t>
  </si>
  <si>
    <t>[('CREATED', '2018-09-25 08:49 EDT'), ('noopur_gupta', '2018-09-25 10:40:22 EDT', 'noopur_gupta'), ('[1.8] Auto-refactor to lambda is too greedy when FunctionalInterface is recursive and leads to errors', '2018-09-25 10:40:22 EDT', 'noopur_gupta'), ('jjohnstn', '2020-04-23 11:49:05 EDT', 'jjohnstn'), ('jjohnstn', '2020-04-23 11:49:05 EDT', 'jjohnstn'), ('4.16 M3', '2020-04-23 20:52:26 EDT', 'jjohnstn'), ('https://git.eclipse.org/r/161459', '2020-04-23 20:52:52 EDT', 'genie'), ('ASSIGNED', '2020-04-24 12:49:27 EDT', 'fabrice.tiercelin'), ('fabrice.tiercelin', '2020-04-24 12:49:27 EDT', 'fabrice.tiercelin'), ('fabrice.tiercelin', '2020-04-24 12:49:39 EDT', 'fabrice.tiercelin'), ('https://git.eclipse.org/c/jdt/eclipse.jdt.ui.git/commit/?id=51b0b2ca4ada003b9a99b3abd583e8c0fbdbd491', '2020-05-13 13:05:24 EDT', 'genie'), ('RESOLVED', '2020-05-13 13:09:55 EDT', 'fabrice.tiercelin'), ('FIXED', '2020-05-13 13:09:55 EDT', 'fabrice.tiercelin'), ('VERIFIED', '2020-05-19 13:33:53 EDT', 'fabrice.tiercelin')]</t>
  </si>
  <si>
    <t>539511 (view as bug list)</t>
  </si>
  <si>
    <t>2018-09-27 01:15:23 EDT</t>
  </si>
  <si>
    <t>2018-09-26 11:32 EDT</t>
  </si>
  <si>
    <t>2018-09-26 11:36:34 EDT</t>
  </si>
  <si>
    <t>jarthana</t>
  </si>
  <si>
    <t>[('CREATED', '2018-09-26 11:32 EDT'), ('sravankumarl, Vikas.Chandra', '2018-09-26 11:36:34 EDT', 'jarthana'), ('kalyan_prasad', '2018-09-26 11:47:52 EDT', 'kalyan_prasad'), ('https://git.eclipse.org/r/130030', '2018-09-26 12:02:10 EDT', 'genie'), ('Comparator errors in jdt bundles in I20180926-0830', '2018-09-26 12:10:45 EDT', 'jarthana'), ('https://git.eclipse.org/c/jdt/eclipse.jdt.ui.git/commit/?id=f5400bf045d70a56178c9922e86e7f5ecff24038', '2018-09-26 12:21:48 EDT', 'genie'), ('https://git.eclipse.org/r/130032', '2018-09-26 12:33:03 EDT', 'genie'), ('https://git.eclipse.org/r/130033', '2018-09-26 12:48:18 EDT', 'genie'), ('benken', '2018-09-26 12:50:19 EDT', 'benken'), ('noopur_gupta', '2018-09-26 12:53:04 EDT', 'noopur_gupta'), ('https://git.eclipse.org/c/jdt/eclipse.jdt.git/commit/?id=1540473b7906b938ed328499f95cbc08918d842e', '2018-09-26 13:46:16 EDT', 'genie'), ('RESOLVED', '2018-09-27 01:15:23 EDT', 'jarthana'), ('4.10 M1', '2018-09-27 01:15:23 EDT', 'jarthana'), ('FIXED', '2018-09-27 01:15:23 EDT', 'jarthana'), ('kalyan_prasad', '2018-09-27 01:15:23 EDT', 'jarthana')]</t>
  </si>
  <si>
    <t>CLOSED  DUPLICATE  of bug 539509</t>
  </si>
  <si>
    <t>2018-09-26 11:47:52 EDT</t>
  </si>
  <si>
    <t>2018-09-26 11:44 EDT</t>
  </si>
  <si>
    <t>[('CREATED', '2018-09-26 11:44 EDT'), ('CLOSED', '2018-09-26 11:47:52 EDT', 'kalyan_prasad'), ('DUPLICATE', '2018-09-26 11:47:52 EDT', 'kalyan_prasad')]</t>
  </si>
  <si>
    <t>540890 (view as bug list)</t>
  </si>
  <si>
    <t>2018-10-07 12:21:59 EDT</t>
  </si>
  <si>
    <t>2018-09-27 15:28 EDT</t>
  </si>
  <si>
    <t>2018-09-27 15:28:49 EDT</t>
  </si>
  <si>
    <t>2018-11-07 12:34:46 EST</t>
  </si>
  <si>
    <t>[('CREATED', '2018-09-27 15:28 EDT'), ('briem.lars', '2018-09-27 15:28:49 EDT', 'briem.lars'), ('All', '2018-09-27 15:29:05 EDT', 'briem.lars'), ('pyvesdev', '2018-09-27 16:07:42 EDT', 'register.eclipse'), ('register.eclipse', '2018-09-27 16:07:42 EDT', 'register.eclipse'), ('https://bugs.eclipse.org/bugs/show_bug.cgi?id=424214', '2018-09-27 16:07:42 EDT', 'register.eclipse'), ('4.10', '2018-09-27 16:07:42 EDT', 'register.eclipse'), ('noopur_gupta', '2018-10-04 14:31:31 EDT', 'register.eclipse'), ('https://git.eclipse.org/r/130529', '2018-10-06 04:23:51 EDT', 'genie'), ('https://git.eclipse.org/c/jdt/eclipse.jdt.ui.git/commit/?id=bbe552787fd049eb492c05ec98276ed5b528a768', '2018-10-07 12:17:32 EDT', 'genie'), ('register.eclipse', '2018-10-07 12:21:59 EDT', 'register.eclipse'), ('FIXED', '2018-10-07 12:21:59 EDT', 'register.eclipse'), ('RESOLVED', '2018-10-07 12:21:59 EDT', 'register.eclipse'), ('4.10 M1', '2018-11-07 12:32:51 EST', 'register.eclipse'), ('maxouwell', '2018-11-07 12:34:46 EST', 'register.eclipse')]</t>
  </si>
  <si>
    <t>2019-01-14 18:06:14 EST</t>
  </si>
  <si>
    <t>2018-10-01 18:42 EDT</t>
  </si>
  <si>
    <t>2018-10-01 18:42:25 EDT</t>
  </si>
  <si>
    <t>[('CREATED', '2018-10-01 18:42 EDT'), ('jjohnstn', '2018-10-01 18:42:25 EDT', 'jjohnstn'), ('https://git.eclipse.org/r/130374', '2018-10-03 18:41:41 EDT', 'genie'), ('review?(kalyan_prasad)', '2018-10-24 13:54:43 EDT', 'jjohnstn'), ('kalyan_prasad', '2018-10-24 13:54:43 EDT', 'jjohnstn'), ('https://git.eclipse.org/c/jdt/eclipse.jdt.ui.git/commit/?id=e0e48eedd24ea7cb85b1731ae1e2c161dcddfc1b', '2018-11-09 06:08:38 EST', 'genie'), ('review+', '2018-11-09 06:09:04 EST', 'kalyan_prasad'), ('4.10', '2019-01-14 18:06:14 EST', 'jjohnstn'), ('RESOLVED', '2019-01-14 18:06:14 EST', 'jjohnstn'), ('FIXED', '2019-01-14 18:06:14 EST', 'jjohnstn')]</t>
  </si>
  <si>
    <t>2018-10-16 05:34:09 EDT</t>
  </si>
  <si>
    <t>2018-10-15 17:33 EDT</t>
  </si>
  <si>
    <t>[('CREATED', '2018-10-15 17:33 EDT'), ('All', '2018-10-16 05:34:09 EDT', 'noopur_gupta'), ('All', '2018-10-16 05:34:09 EDT', 'noopur_gupta'), ('RESOLVED', '2018-10-16 05:34:09 EDT', 'noopur_gupta'), ('noopur_gupta', '2018-10-16 05:34:09 EDT', 'noopur_gupta'), ('WORKSFORME', '2018-10-16 05:34:09 EDT', 'noopur_gupta'), ('4.10 M3', '2018-10-16 05:34:09 EDT', 'noopur_gupta'), ('noopur_gupta', '2018-10-16 05:34:09 EDT', 'noopur_gupta')]</t>
  </si>
  <si>
    <t>2019-05-03 08:41:00 EDT</t>
  </si>
  <si>
    <t>2018-10-25 18:24 EDT</t>
  </si>
  <si>
    <t>2018-10-25 18:24:52 EDT</t>
  </si>
  <si>
    <t>[('CREATED', '2018-10-25 18:24 EDT'), ('jjohnstn', '2018-10-25 18:24:52 EDT', 'jjohnstn'), ('https://git.eclipse.org/r/131479', '2018-10-25 18:53:25 EDT', 'genie'), ('Make a few fixes to SemanticHighlighting refactoring patch', '2018-10-26 11:53:46 EDT', 'jjohnstn'), ('4.12 M3', '2019-05-03 08:41:00 EDT', 'jjohnstn'), ('CLOSED', '2019-05-03 08:41:00 EDT', 'jjohnstn'), ('WONTFIX', '2019-05-03 08:41:00 EDT', 'jjohnstn')]</t>
  </si>
  <si>
    <t>2018-11-12 04:43:03 EST</t>
  </si>
  <si>
    <t>2018-11-21 04:25:07 EST</t>
  </si>
  <si>
    <t>2018-11-07 04:00 EST</t>
  </si>
  <si>
    <t>2018-11-08 01:44:16 EST</t>
  </si>
  <si>
    <t>[('CREATED', '2018-11-07 04:00 EST'), ("[10][move] Refactor/Move generates invalid code with 'var'", '2018-11-08 01:44:16 EST', 'noopur_gupta'), ('All', '2018-11-08 01:44:16 EST', 'noopur_gupta'), ('https://bugs.eclipse.org/bugs/show_bug.cgi?id=539289', '2018-11-08 01:44:16 EST', 'noopur_gupta'), ('All', '2018-11-08 01:44:16 EST', 'noopur_gupta'), ('noopur_gupta', '2018-11-08 01:44:16 EST', 'noopur_gupta'), ('4.10', '2018-11-08 01:44:16 EST', 'noopur_gupta'), ('4.10 M3', '2018-11-08 01:47:20 EST', 'noopur_gupta'), ('rgrunber', '2018-11-08 01:47:20 EST', 'noopur_gupta'), ('ASSIGNED', '2018-11-08 12:37:51 EST', 'rgrunber'), ('https://git.eclipse.org/r/132143', '2018-11-08 14:10:16 EST', 'genie'), ('daniel_megert', '2018-11-09 03:44:05 EST', 'daniel_megert'), ('https://git.eclipse.org/c/jdt/eclipse.jdt.ui.git/commit/?id=1eefd99e462f44c9b4a4e7b1d29c7b135c7ddc83', '2018-11-12 04:41:29 EST', 'genie'), ('FIXED', '2018-11-12 04:43:03 EST', 'noopur_gupta'), ('RESOLVED', '2018-11-12 04:43:03 EST', 'noopur_gupta'), ('VERIFIED', '2018-11-21 04:25:07 EST', 'noopur_gupta')]</t>
  </si>
  <si>
    <t>529127</t>
  </si>
  <si>
    <t>2018-11-21 06:48 EST</t>
  </si>
  <si>
    <t>2018-11-21 06:55:42 EST</t>
  </si>
  <si>
    <t>2019-11-18 03:47:17 EST</t>
  </si>
  <si>
    <t>[('CREATED', '2018-11-21 06:48 EST'), ('daniel_megert, noopur_gupta, sarika.sinha', '2018-11-21 06:55:42 EST', 'noopur_gupta'), ('angelo.zerr', '2018-11-21 06:55:42 EST', 'noopur_gupta'), ('4.11', '2018-11-21 06:55:42 EST', 'noopur_gupta'), ('[code mining] Fix references search', '2018-11-21 10:20:16 EST', 'daniel_megert'), ('Lars.Vogel', '2018-11-22 05:45:43 EST', 'Lars.Vogel'), ('4.11 M3', '2019-01-11 04:47:15 EST', 'noopur_gupta'), ('4.12', '2019-02-13 03:15:43 EST', 'noopur_gupta'), ('jjohnstn, rgrunber', '2019-02-14 04:21:48 EST', 'mistria'), ('4.13', '2019-05-19 10:15:14 EDT', 'noopur_gupta'), ('4.14', '2019-08-27 11:31:39 EDT', 'noopur_gupta'), ('jdt-ui-inbox', '2019-11-18 03:47:17 EST', 'noopur_gupta'), ('---', '2019-11-18 03:47:17 EST', 'noopur_gupta'), ('helpwanted', '2019-11-18 03:47:17 EST', 'noopur_gupta')]</t>
  </si>
  <si>
    <t>2018-12-17 04:06:38 EST</t>
  </si>
  <si>
    <t>2018-12-13 15:00 EST</t>
  </si>
  <si>
    <t>2018-12-13 15:00:24 EST</t>
  </si>
  <si>
    <t>2018-12-17 04:06:44 EST</t>
  </si>
  <si>
    <t>[('CREATED', '2018-12-13 15:00 EST'), ('jjohnstn', '2018-12-13 15:00:24 EST', 'jjohnstn'), ('enhancement', '2018-12-14 11:10:12 EST', 'daniel_megert'), ('4.11 M1', '2018-12-14 11:10:12 EST', 'daniel_megert'), ('All', '2018-12-14 11:10:12 EST', 'daniel_megert'), ('All', '2018-12-14 11:10:12 EST', 'daniel_megert'), ('daniel_megert', '2018-12-14 11:10:12 EST', 'daniel_megert'), ('https://git.eclipse.org/r/134018', '2018-12-14 18:20:35 EST', 'genie'), ('review?(kalyan_prasad)', '2018-12-14 21:58:08 EST', 'jjohnstn'), ('kalyan_prasad', '2018-12-14 21:58:08 EST', 'jjohnstn'), ('FIXED', '2018-12-17 04:06:38 EST', 'kalyan_prasad'), ('RESOLVED', '2018-12-17 04:06:38 EST', 'kalyan_prasad'), ('review+', '2018-12-17 04:06:38 EST', 'kalyan_prasad'), ('https://git.eclipse.org/c/jdt/eclipse.jdt.ui.git/commit/?id=7ba9f22bc74906e2af425862d0694995e4037f38', '2018-12-17 04:06:44 EST', 'genie')]</t>
  </si>
  <si>
    <t>2019-01-15 15:45:45 EST</t>
  </si>
  <si>
    <t>2018-12-14 11:09 EST</t>
  </si>
  <si>
    <t>2018-12-14 11:09:19 EST</t>
  </si>
  <si>
    <t>[('CREATED', '2018-12-14 11:09 EST'), ('jjohnstn', '2018-12-14 11:09:19 EST', 'jjohnstn'), ('enhancement', '2018-12-14 11:13:20 EST', 'daniel_megert'), ('daniel_megert', '2018-12-14 11:13:20 EST', 'daniel_megert'), ('All', '2018-12-14 11:13:20 EST', 'daniel_megert'), ('All', '2018-12-14 11:13:20 EST', 'daniel_megert'), ('4.11 M1', '2018-12-14 11:14:43 EST', 'daniel_megert'), ('ASSIGNED', '2018-12-14 11:14:43 EST', 'daniel_megert'), ('https://git.eclipse.org/r/134075', '2018-12-14 13:35:18 EST', 'genie'), ('kalyan_prasad', '2018-12-18 12:02:24 EST', 'jjohnstn'), ('review?(kalyan_prasad)', '2018-12-18 12:02:24 EST', 'jjohnstn'), ('review?(rgrunber)', '2018-12-19 01:19:33 EST', 'kalyan_prasad'), ('rgrunber', '2018-12-19 01:19:33 EST', 'kalyan_prasad'), ('https://github.com/eclipse/eclipse.jdt.ls/issues/736', '2018-12-21 11:42:07 EST', 'rgrunber'), ('4.11 M3', '2019-01-07 03:25:38 EST', 'noopur_gupta'), ('https://git.eclipse.org/c/jdt/eclipse.jdt.ui.git/commit/?id=10e319fe8e095a2a3e3f42a9f86c838a1ae0eafa', '2019-01-15 15:43:43 EST', 'genie'), ('RESOLVED', '2019-01-15 15:45:45 EST', 'rgrunber'), ('FIXED', '2019-01-15 15:45:45 EST', 'rgrunber'), ('review+', '2019-01-15 15:45:45 EST', 'rgrunber')]</t>
  </si>
  <si>
    <t>CLOSED  NOT_ECLIPSE</t>
  </si>
  <si>
    <t>2019-01-07 00:43 EST</t>
  </si>
  <si>
    <t>2019-01-07 00:46:35 EST</t>
  </si>
  <si>
    <t>2019-01-22 18:00:55 EST</t>
  </si>
  <si>
    <t>[('CREATED', '2019-01-07 00:43 EST'), ('loskutov', '2019-01-07 00:46:35 EST', 'loskutov'), ('https://bugs.eclipse.org/bugs/show_bug.cgi?id=543203', '2019-01-07 00:53:37 EST', 'loskutov'), ('daniel_megert', '2019-01-07 06:04:24 EST', 'daniel_megert'), ('needinfo', '2019-01-07 06:04:24 EST', 'daniel_megert'), ('Method rename does not work', '2019-01-07 06:04:55 EST', 'daniel_megert'), ('thgramos', '2019-01-17 16:04:01 EST', 'thgramos'), ('stephan.herrmann', '2019-01-17 17:27:32 EST', 'stephan.herrmann'), ('CLOSED', '2019-01-22 18:00:55 EST', 'stephan.herrmann'), ('4.11 M3', '2019-01-22 18:00:55 EST', 'stephan.herrmann'), ('NOT_ECLIPSE', '2019-01-22 18:00:55 EST', 'stephan.herrmann')]</t>
  </si>
  <si>
    <t>2019-06-26 11:15:30 EDT</t>
  </si>
  <si>
    <t>2019-07-16 12:53:53 EDT</t>
  </si>
  <si>
    <t>2019-01-15 14:41 EST</t>
  </si>
  <si>
    <t>2019-01-15 14:42:07 EST</t>
  </si>
  <si>
    <t>[('CREATED', '2019-01-15 14:41 EST'), ('jjohnstn', '2019-01-15 14:42:07 EST', 'jjohnstn'), ('https://git.eclipse.org/r/135195', '2019-01-16 17:51:05 EST', 'genie'), ('Refactor LambdaExpressionsCleanUp to jdt.core.manipulation for jdt.ls to use', '2019-06-14 11:38:11 EDT', 'jjohnstn'), ('ASSIGNED', '2019-06-18 10:55:26 EDT', 'rgrunber'), ('4.13 M1', '2019-06-18 10:55:26 EDT', 'rgrunber'), ('rgrunber', '2019-06-18 10:55:26 EDT', 'rgrunber'), ('rgrunber', '2019-06-18 10:55:26 EDT', 'rgrunber'), ('https://git.eclipse.org/c/jdt/eclipse.jdt.ui.git/commit/?id=3479180c0a471d5e02446ff1c983a7ebff29e54e', '2019-06-21 12:51:29 EDT', 'genie'), ('FIXED', '2019-06-26 11:15:30 EDT', 'rgrunber'), ('RESOLVED', '2019-06-26 11:15:30 EDT', 'rgrunber'), ('VERIFIED', '2019-07-16 12:53:53 EDT', 'rgrunber')]</t>
  </si>
  <si>
    <t>2019-01-20 08:16 EST</t>
  </si>
  <si>
    <t>2019-01-20 13:22:44 EST</t>
  </si>
  <si>
    <t>2021-01-11 14:06:46 EST</t>
  </si>
  <si>
    <t>[('CREATED', '2019-01-20 08:16 EST'), ('loskutov', '2019-01-20 13:22:44 EST', 'loskutov'), ('needinfo', '2019-01-21 05:15:55 EST', 'daniel_megert'), ('daniel_megert', '2019-01-21 05:15:55 EST', 'daniel_megert'), ('https://bugs.eclipse.org/bugs/show_bug.cgi?id=519754', '2019-01-21 10:24:36 EST', 'daniel_megert'), ('performance', '2019-01-21 10:25:39 EST', 'daniel_megert'), ('ASSIGNED', '2019-01-21 12:07:00 EST', 'daniel_megert'), ('helpwanted', '2019-01-21 12:07:19 EST', 'daniel_megert'), ('All', '2019-01-21 12:08:22 EST', 'daniel_megert'), ('Correct indentation slow for very large files (&gt; 10k lines)', '2019-01-21 12:08:22 EST', 'daniel_megert'), ('normal', '2019-01-21 12:08:22 EST', 'daniel_megert'), ('All', '2019-01-21 12:08:22 EST', 'daniel_megert'), ('simeon.danailov.andreev', '2019-01-21 12:08:22 EST', 'daniel_megert'), ('stalebug', '2021-01-11 14:06:46 EST', 'genie')]</t>
  </si>
  <si>
    <t>2019-05-03 08:36:59 EDT</t>
  </si>
  <si>
    <t>2019-05-22 12:25:38 EDT</t>
  </si>
  <si>
    <t>2019-04-29 10:52:51 EDT</t>
  </si>
  <si>
    <t>2019-01-30 15:31 EST</t>
  </si>
  <si>
    <t>2019-01-30 15:32:01 EST</t>
  </si>
  <si>
    <t>[('CREATED', '2019-01-30 15:31 EST'), ('jjohnstn', '2019-01-30 15:32:01 EST', 'jjohnstn'), ('https://git.eclipse.org/r/136044', '2019-01-30 15:56:46 EST', 'genie'), ('stephan.herrmann', '2019-01-30 16:35:52 EST', 'stephan.herrmann'), ('4.12 M3', '2019-04-26 15:14:34 EDT', 'rgrunber'), ('ASSIGNED', '2019-04-26 15:14:34 EDT', 'rgrunber'), ('rgrunber', '2019-04-26 15:14:34 EDT', 'rgrunber'), ('rgrunber', '2019-04-26 15:14:34 EDT', 'rgrunber'), ('https://git.eclipse.org/c/jdt/eclipse.jdt.ui.git/commit/?id=c32d1ac2887b37b6a556a64253de84126fda6778', '2019-04-26 16:33:35 EDT', 'genie'), ('FIXED', '2019-04-29 10:41:10 EDT', 'rgrunber'), ('RESOLVED', '2019-04-29 10:41:10 EDT', 'rgrunber'), ('---', '2019-04-29 10:52:51 EDT', 'register.eclipse'), ('REOPENED', '2019-04-29 10:52:51 EDT', 'register.eclipse'), ('register.eclipse', '2019-04-29 10:52:51 EDT', 'register.eclipse'), ('https://git.eclipse.org/r/141471', '2019-05-01 14:14:49 EDT', 'genie'), ('https://git.eclipse.org/c/jdt/eclipse.jdt.ui.git/commit/?id=2ef67a5e716119b39d71c2b3e2468fc4774f2497', '2019-05-01 17:16:23 EDT', 'genie'), ('RESOLVED', '2019-05-03 08:36:59 EDT', 'jjohnstn'), ('FIXED', '2019-05-03 08:36:59 EDT', 'jjohnstn'), ('VERIFIED', '2019-05-22 12:25:38 EDT', 'rgrunber')]</t>
  </si>
  <si>
    <t>2019-02-06 23:42:48 EST</t>
  </si>
  <si>
    <t>2019-02-06 16:47 EST</t>
  </si>
  <si>
    <t>2019-02-06 22:55:08 EST</t>
  </si>
  <si>
    <t>[('CREATED', '2019-02-06 16:47 EST'), ('JDT', '2019-02-06 22:55:08 EST', 'Vikas.Chandra'), ('UI', '2019-02-06 22:55:08 EST', 'Vikas.Chandra'), ('jdt-ui-inbox', '2019-02-06 22:55:08 EST', 'Vikas.Chandra'), ('Vikas.Chandra', '2019-02-06 22:55:08 EST', 'Vikas.Chandra'), ('NOT_ECLIPSE', '2019-02-06 23:42:48 EST', 'noopur_gupta'), ('noopur_gupta', '2019-02-06 23:42:48 EST', 'noopur_gupta'), ('RESOLVED', '2019-02-06 23:42:48 EST', 'noopur_gupta')]</t>
  </si>
  <si>
    <t>539080</t>
  </si>
  <si>
    <t>545120</t>
  </si>
  <si>
    <t>2019-03-07 03:19:24 EST</t>
  </si>
  <si>
    <t>2019-02-26 07:03 EST</t>
  </si>
  <si>
    <t>2019-02-26 07:03:22 EST</t>
  </si>
  <si>
    <t>[('CREATED', '2019-02-26 07:03 EST'), ('BETA J12', '2019-02-26 07:03:22 EST', 'kalyan_prasad'), ('noopur_gupta, sarika.sinha', '2019-02-26 07:04:12 EST', 'kalyan_prasad'), ('539080', '2019-02-26 07:04:12 EST', 'kalyan_prasad'), ('noopur_gupta', '2019-02-26 07:15:21 EST', 'noopur_gupta'), ('daniel_megert', '2019-02-26 10:51:57 EST', 'daniel_megert'), ('545120', '2019-03-06 06:15:52 EST', 'noopur_gupta'), ('FIXED', '2019-03-07 03:19:24 EST', 'noopur_gupta'), ('RESOLVED', '2019-03-07 03:19:24 EST', 'noopur_gupta')]</t>
  </si>
  <si>
    <t>2019-05-23 06:18:14 EDT</t>
  </si>
  <si>
    <t>2019-05-12 11:49:11 EDT</t>
  </si>
  <si>
    <t>2019-02-27 17:04 EST</t>
  </si>
  <si>
    <t>2019-02-27 17:05:21 EST</t>
  </si>
  <si>
    <t>[('CREATED', '2019-02-27 17:04 EST'), ('https://bugs.eclipse.org/bugs/show_bug.cgi?id=544870', '2019-02-27 17:05:21 EST', 'loskutov'), ('https://bugs.eclipse.org/bugs/show_bug.cgi?id=513872, https://bugs.eclipse.org/bugs/show_bug.cgi?id=541758', '2019-02-27 17:08:38 EST', 'loskutov'), ('stephan.herrmann', '2019-02-27 17:10:28 EST', 'stephan.herrmann'), ('https://bugs.eclipse.org/bugs/show_bug.cgi?id=541471', '2019-02-27 17:14:21 EST', 'loskutov'), ('4.12', '2019-02-27 17:14:21 EST', 'loskutov'), ('daniel_megert', '2019-02-28 03:40:18 EST', 'daniel_megert'), ('register.eclipse', '2019-02-28 07:21:48 EST', 'register.eclipse'), ('https://git.eclipse.org/r/137800', '2019-02-28 08:46:09 EST', 'genie'), ('https://git.eclipse.org/c/jdt/eclipse.jdt.ui.git/commit/?id=d790d06c6ada169190bfc53e912027a77b059a5b', '2019-02-28 08:59:41 EST', 'genie'), ('jdt-core-inbox', '2019-03-27 05:13:31 EDT', 'loskutov'), ('https://bugs.eclipse.org/bugs/show_bug.cgi?id=546176', '2019-04-08 01:14:35 EDT', 'loskutov'), ('manpalat', '2019-04-08 01:39:12 EDT', 'manpalat'), ('4.12 M3', '2019-04-08 03:48:27 EDT', 'loskutov'), ('loskutov', '2019-04-08 03:48:27 EDT', 'loskutov'), ('gunnar', '2019-04-08 06:13:19 EDT', 'gunnar'), ('jarthana', '2019-04-09 05:38:13 EDT', 'jarthana'), ('https://bugs.eclipse.org/bugs/show_bug.cgi?id=546625', '2019-04-22 17:55:26 EDT', 'loskutov'), ('https://git.eclipse.org/r/141474', '2019-05-01 15:02:55 EDT', 'genie'), ('https://git.eclipse.org/r/141475', '2019-05-01 15:06:10 EDT', 'genie'), ('https://git.eclipse.org/c/jdt/eclipse.jdt.ui.git/commit/?id=1aa8ca0cc66b6a9da48e736bb8cd152e8d55ed7a', '2019-05-04 05:22:14 EDT', 'genie'), ('https://git.eclipse.org/c/jdt/eclipse.jdt.core.git/commit/?id=5faa7c5f1d6ced2be62840ecfb39438169bffa16', '2019-05-04 05:28:34 EDT', 'genie'), ('FIXED', '2019-05-11 05:43:53 EDT', 'loskutov'), ('RESOLVED', '2019-05-11 05:43:53 EDT', 'loskutov'), ('noteworthy', '2019-05-12 11:48:28 EDT', 'daniel_megert'), ('REOPENED', '2019-05-12 11:49:11 EDT', 'daniel_megert'), ('---', '2019-05-12 11:49:11 EDT', 'daniel_megert'), ('noopur_gupta', '2019-05-22 07:21:54 EDT', 'noopur_gupta'), ('https://git.eclipse.org/r/142585', '2019-05-22 08:14:26 EDT', 'genie'), ('https://git.eclipse.org/c/www.eclipse.org/eclipse/news.git/commit/?id=5d269f1765f975d9849b82fc7f14efd64b3da096', '2019-05-23 06:16:52 EDT', 'genie'), ('RESOLVED', '2019-05-23 06:18:14 EDT', 'daniel_megert'), ('FIXED', '2019-05-23 06:18:14 EDT', 'daniel_megert')]</t>
  </si>
  <si>
    <t>2019-04-02 07:17:31 EDT</t>
  </si>
  <si>
    <t>2019-03-03 03:58 EST</t>
  </si>
  <si>
    <t>2019-03-06 23:55:01 EST</t>
  </si>
  <si>
    <t>[('CREATED', '2019-03-03 03:58 EST'), ('jarthana', '2019-03-06 23:55:01 EST', 'jarthana'), ('UI', '2019-03-06 23:55:01 EST', 'jarthana'), ('jdt-ui-inbox', '2019-03-06 23:55:01 EST', 'jarthana'), ('rgrunber', '2019-03-07 00:41:59 EST', 'noopur_gupta'), ('4.12', '2019-03-07 00:41:59 EST', 'noopur_gupta'), ('noopur_gupta', '2019-03-07 00:41:59 EST', 'noopur_gupta'), ('ASSIGNED', '2019-03-07 14:50:36 EST', 'rgrunber'), ('https://git.eclipse.org/r/138300', '2019-03-07 15:28:39 EST', 'genie'), ('review?(noopur_gupta)', '2019-03-12 13:08:55 EDT', 'rgrunber'), ('4.12 M1', '2019-03-12 13:08:55 EDT', 'rgrunber'), ('https://git.eclipse.org/c/jdt/eclipse.jdt.ui.git/commit/?id=a1aec7e49bb03171b086f9aa7e5855d10b4be0b1', '2019-04-02 06:48:02 EDT', 'genie'), ('All', '2019-04-02 07:17:31 EDT', 'noopur_gupta'), ('FIXED', '2019-04-02 07:17:31 EDT', 'noopur_gupta'), ('RESOLVED', '2019-04-02 07:17:31 EDT', 'noopur_gupta'), ('All', '2019-04-02 07:17:31 EDT', 'noopur_gupta'), ('review+', '2019-04-02 07:17:31 EDT', 'noopur_gupta'), ("[10][refactoring] convert local variable to field not working for 'var'", '2019-04-02 07:17:31 EDT', 'noopur_gupta')]</t>
  </si>
  <si>
    <t>2019-04-24 01:48:59 EDT</t>
  </si>
  <si>
    <t>2019-05-23 04:43:51 EDT</t>
  </si>
  <si>
    <t>2019-03-06 04:15 EST</t>
  </si>
  <si>
    <t>2019-03-06 05:14:20 EST</t>
  </si>
  <si>
    <t>[('CREATED', '2019-03-06 04:15 EST'), ('noopur_gupta', '2019-03-06 05:14:20 EST', 'noopur_gupta'), ('noopur_gupta', '2019-03-06 05:14:20 EST', 'noopur_gupta'), ('545120', '2019-03-06 06:15:52 EST', 'noopur_gupta'), ('ASSIGNED', '2019-03-18 02:41:13 EDT', 'noopur_gupta'), ('All', '2019-04-10 02:53:03 EDT', 'noopur_gupta'), ('All', '2019-04-10 02:53:03 EDT', 'noopur_gupta'), ('4.12 M3', '2019-04-10 02:53:03 EDT', 'noopur_gupta'), ('https://git.eclipse.org/r/140662', '2019-04-16 06:13:54 EDT', 'genie'), ('https://git.eclipse.org/c/jdt/eclipse.jdt.ui.git/commit/?id=b938bef6791070b69196456372befc51ea8388b9', '2019-04-16 07:23:46 EDT', 'genie'), ('https://git.eclipse.org/r/140669', '2019-04-16 07:28:00 EDT', 'genie'), ('https://git.eclipse.org/c/jdt/eclipse.jdt.ui.git/commit/?id=30bf46684b5aaefea08f8b2bf98e2b43ff3c5af9', '2019-04-16 07:33:13 EDT', 'genie'), ('https://git.eclipse.org/r/140932', '2019-04-22 04:58:48 EDT', 'genie'), ('https://git.eclipse.org/c/jdt/eclipse.jdt.ui.git/commit/?id=c4aea0588954b9382f470c6cdf082daa4421b5d1', '2019-04-23 06:05:55 EDT', 'genie'), ('FIXED', '2019-04-24 01:48:59 EDT', 'noopur_gupta'), ('RESOLVED', '2019-04-24 01:48:59 EDT', 'noopur_gupta'), ('VERIFIED', '2019-05-23 04:43:51 EDT', 'noopur_gupta')]</t>
  </si>
  <si>
    <t>2019-03-26 10:08:33 EDT</t>
  </si>
  <si>
    <t>2019-04-09 12:18:35 EDT</t>
  </si>
  <si>
    <t>2019-03-06 04:25 EST</t>
  </si>
  <si>
    <t>2019-03-06 04:33:01 EST</t>
  </si>
  <si>
    <t>[('CREATED', '2019-03-06 04:25 EST'), ('Refactor GenerateToStringOperation to return a TextEdit', '2019-03-06 04:33:01 EST', 'jinbwan'), ('rgrunber', '2019-03-06 10:02:39 EST', 'rgrunber'), ('https://git.eclipse.org/r/138149', '2019-03-06 13:53:59 EST', 'genie'), ('4.12', '2019-03-08 10:36:54 EST', 'rgrunber'), ('4.12 M1', '2019-03-20 11:09:22 EDT', 'rgrunber'), ('jinbwan', '2019-03-25 16:03:41 EDT', 'rgrunber'), ('ASSIGNED', '2019-03-25 16:03:41 EDT', 'rgrunber'), ('https://git.eclipse.org/c/jdt/eclipse.jdt.ui.git/commit/?id=c5792e4aa29e15d156f60904ac8cb7698a34d79c', '2019-03-26 09:52:20 EDT', 'genie'), ('FIXED', '2019-03-26 10:08:33 EDT', 'rgrunber'), ('RESOLVED', '2019-03-26 10:08:33 EDT', 'rgrunber'), ('VERIFIED', '2019-04-09 12:18:35 EDT', 'rgrunber')]</t>
  </si>
  <si>
    <t>545201</t>
  </si>
  <si>
    <t>2019-03-08 04:58:51 EST</t>
  </si>
  <si>
    <t>2019-03-08 03:08 EST</t>
  </si>
  <si>
    <t>2019-03-08 03:15:30 EST</t>
  </si>
  <si>
    <t>2019-03-20 07:31:42 EDT</t>
  </si>
  <si>
    <t>[('CREATED', '2019-03-08 03:08 EST'), ('545120', '2019-03-08 03:15:30 EST', 'noopur_gupta'), ('sarika.sinha', '2019-03-08 03:19:28 EST', 'noopur_gupta'), ('BETA J12', '2019-03-08 03:19:28 EST', 'noopur_gupta'), ('https://bugs.eclipse.org/bugs/show_bug.cgi?id=543720', '2019-03-08 03:19:28 EST', 'noopur_gupta'), ('noopur_gupta', '2019-03-08 03:25:41 EST', 'noopur_gupta'), ('daniel_megert, noopur_gupta', '2019-03-08 03:25:41 EST', 'noopur_gupta'), ('545201', '2019-03-08 04:17:08 EST', 'noopur_gupta'), ('https://git.eclipse.org/r/138364', '2019-03-08 04:35:28 EST', 'genie'), ('https://git.eclipse.org/c/jdt/eclipse.jdt.ui.git/commit/?id=a9cbf7787a0c05a7bcd7ca79caa4b8836b5fb35e', '2019-03-08 04:35:50 EST', 'genie'), ('https://git.eclipse.org/r/138365', '2019-03-08 04:50:01 EST', 'genie'), ('https://git.eclipse.org/c/jdt/eclipse.jdt.ui.git/commit/?id=92047b095ca3e89222f3d87c85a42b8a9b213701', '2019-03-08 04:50:05 EST', 'genie'), ('RESOLVED', '2019-03-08 04:58:51 EST', 'noopur_gupta'), ('FIXED', '2019-03-08 04:58:51 EST', 'noopur_gupta'), ('jarthana', '2019-03-20 07:31:42 EDT', 'noopur_gupta')]</t>
  </si>
  <si>
    <t>2019-04-03 09:04:24 EDT</t>
  </si>
  <si>
    <t>2019-04-03 08:05 EDT</t>
  </si>
  <si>
    <t>2019-04-03 08:59:37 EDT</t>
  </si>
  <si>
    <t>2019-04-03 09:06:28 EDT</t>
  </si>
  <si>
    <t>[('CREATED', '2019-04-03 08:05 EDT'), ('jdt-ui-inbox', '2019-04-03 08:59:37 EDT', 'gunnar'), ('JDT', '2019-04-03 08:59:37 EDT', 'gunnar'), ('---', '2019-04-03 08:59:37 EDT', 'gunnar'), (nan, '2019-04-03 08:59:37 EDT', 'gunnar'), ('UI', '2019-04-03 08:59:37 EDT', 'gunnar'), ('4.11', '2019-04-03 08:59:37 EDT', 'gunnar'), ('daniel_megert', '2019-04-03 09:04:24 EDT', 'daniel_megert'), ('RESOLVED', '2019-04-03 09:04:24 EDT', 'daniel_megert'), ('INVALID', '2019-04-03 09:04:24 EDT', 'daniel_megert'), ('[call hierarchy] calller hierarchy shows only cllers from the same view and class', '2019-04-03 09:04:34 EDT', 'daniel_megert'), ('register.eclipse', '2019-04-03 09:06:28 EDT', 'register.eclipse')]</t>
  </si>
  <si>
    <t>2019-05-08 12:12:34 EDT</t>
  </si>
  <si>
    <t>2019-05-22 13:10:48 EDT</t>
  </si>
  <si>
    <t>2019-04-14 02:37 EDT</t>
  </si>
  <si>
    <t>2019-04-15 03:43:32 EDT</t>
  </si>
  <si>
    <t>[('CREATED', '2019-04-14 02:37 EDT'), ('https://git.eclipse.org/r/140580', '2019-04-15 03:43:32 EDT', 'genie'), ('jinbwan', '2019-04-25 10:28:21 EDT', 'rgrunber'), ('ASSIGNED', '2019-04-25 10:28:21 EDT', 'rgrunber'), ('rgrunber', '2019-04-25 10:28:21 EDT', 'rgrunber'), ('4.12 M3', '2019-04-25 10:28:21 EDT', 'rgrunber'), ('rgrunber', '2019-04-25 10:28:21 EDT', 'rgrunber'), ('Refactor constructor operations to jdt.core.manipulation for use by jdt.ls', '2019-04-25 21:52:01 EDT', 'jinbwan'), ('https://git.eclipse.org/c/jdt/eclipse.jdt.ui.git/commit/?id=de45bb185932c579cc6b91bc98c1d9de0967787d', '2019-05-08 11:58:19 EDT', 'genie'), ('FIXED', '2019-05-08 12:12:34 EDT', 'rgrunber'), ('RESOLVED', '2019-05-08 12:12:34 EDT', 'rgrunber'), ('daniel_megert', '2019-05-09 03:30:14 EDT', 'daniel_megert'), ('VERIFIED', '2019-05-22 13:10:48 EDT', 'rgrunber')]</t>
  </si>
  <si>
    <t>2019-05-07 04:20:56 EDT</t>
  </si>
  <si>
    <t>2019-04-15 17:37 EDT</t>
  </si>
  <si>
    <t>2019-04-16 10:04:36 EDT</t>
  </si>
  <si>
    <t>[('CREATED', '2019-04-15 17:37 EDT'), ('needinfo', '2019-04-16 10:04:36 EDT', 'daniel_megert'), ('JDT', '2019-04-16 10:04:36 EDT', 'daniel_megert'), ('jdt-ui-inbox', '2019-04-16 10:04:36 EDT', 'daniel_megert'), ('UI', '2019-04-16 10:04:36 EDT', 'daniel_megert'), ('daniel_megert', '2019-04-16 10:04:36 EDT', 'daniel_megert'), ('register.eclipse', '2019-04-17 01:58:12 EDT', 'register.eclipse'), ('RESOLVED', '2019-05-07 04:20:56 EDT', 'daniel_megert'), ('WORKSFORME', '2019-05-07 04:20:56 EDT', 'daniel_megert')]</t>
  </si>
  <si>
    <t>2019-04-23 04:15 EDT</t>
  </si>
  <si>
    <t>2019-04-23 04:25:29 EDT</t>
  </si>
  <si>
    <t>2019-04-23 04:51:06 EDT</t>
  </si>
  <si>
    <t>[('CREATED', '2019-04-23 04:15 EDT'), ('UI', '2019-04-23 04:25:29 EDT', 'jarthana'), ('jarthana', '2019-04-23 04:25:29 EDT', 'jarthana'), ('jdt-ui-inbox', '2019-04-23 04:25:29 EDT', 'jarthana'), ('ASSIGNED', '2019-04-23 04:51:06 EDT', 'noopur_gupta'), ('All', '2019-04-23 04:51:06 EDT', 'noopur_gupta'), ('[1.8][quick assist] Wrong "convert to method reference" refactoring offered', '2019-04-23 04:51:06 EDT', 'noopur_gupta'), ('All', '2019-04-23 04:51:06 EDT', 'noopur_gupta')]</t>
  </si>
  <si>
    <t>531273</t>
  </si>
  <si>
    <t>2019-04-25 08:06 EDT</t>
  </si>
  <si>
    <t>2019-04-25 08:06:29 EDT</t>
  </si>
  <si>
    <t>2019-04-25 08:25:47 EDT</t>
  </si>
  <si>
    <t>[('CREATED', '2019-04-25 08:06 EDT'), ('jjohnstn, Lars.Vogel', '2019-04-25 08:06:29 EDT', 'Lars.Vogel'), ('rgrunber', '2019-04-25 08:06:39 EDT', 'Lars.Vogel'), ('helpwanted', '2019-04-25 08:06:51 EDT', 'Lars.Vogel'), ('531273', '2019-04-25 08:07:03 EDT', 'Lars.Vogel'), ('stephan.herrmann', '2019-04-25 08:25:47 EDT', 'stephan.herrmann')]</t>
  </si>
  <si>
    <t>2021-01-08 14:58:39 EST</t>
  </si>
  <si>
    <t>2019-04-29 07:28 EDT</t>
  </si>
  <si>
    <t>2020-12-03 15:04:37 EST</t>
  </si>
  <si>
    <t>[('CREATED', '2019-04-29 07:28 EDT'), ('jjohnstn', '2020-12-03 15:04:37 EST', 'jjohnstn'), ('jjohnstn', '2020-12-03 15:04:37 EST', 'jjohnstn'), ('4.19', '2020-12-03 15:04:37 EST', 'jjohnstn'), ('ASSIGNED', '2020-12-03 15:07:15 EST', 'jjohnstn'), ('https://git.eclipse.org/r/c/jdt/eclipse.jdt.ui/+/173332', '2020-12-03 15:15:34 EST', 'genie'), ('4.19 M3', '2021-01-05 05:48:04 EST', 'noopur_gupta'), ('https://git.eclipse.org/c/jdt/eclipse.jdt.ui.git/commit/?id=5a164e8ab37e8bf4cfeac9613820bdfa02847ecd', '2021-01-08 14:57:28 EST', 'genie'), ('FIXED', '2021-01-08 14:58:39 EST', 'jjohnstn'), ('RESOLVED', '2021-01-08 14:58:39 EST', 'jjohnstn'), ('4.19M2', '2021-01-08 14:58:39 EST', 'jjohnstn')]</t>
  </si>
  <si>
    <t>CLOSED  DUPLICATE  of bug 532832</t>
  </si>
  <si>
    <t>2019-05-16 16:59:18 EDT</t>
  </si>
  <si>
    <t>2019-05-10 11:52 EDT</t>
  </si>
  <si>
    <t>2019-05-10 11:56:17 EDT</t>
  </si>
  <si>
    <t>mistria</t>
  </si>
  <si>
    <t>[('CREATED', '2019-05-10 11:52 EDT'), ('angelo.zerr, mistria', '2019-05-10 11:56:17 EDT', 'rgrunber'), ('[code mining] Rename Refactoring Popup Can Jump To Bottom Of Display On Keystroke', '2019-05-10 11:59:02 EDT', 'rgrunber'), ('CLOSED', '2019-05-16 16:59:18 EDT', 'mistria'), ('DUPLICATE', '2019-05-16 16:59:18 EDT', 'mistria')]</t>
  </si>
  <si>
    <t>2019-05-24 12:54:49 EDT</t>
  </si>
  <si>
    <t>2019-05-13 05:25 EDT</t>
  </si>
  <si>
    <t>2019-05-17 05:18:07 EDT</t>
  </si>
  <si>
    <t>[('CREATED', '2019-05-13 05:25 EDT'), ('jdt-ui-inbox', '2019-05-17 05:18:07 EDT', 'akurtakov'), ('JDT', '2019-05-17 05:18:07 EDT', 'akurtakov'), ('UI', '2019-05-17 05:18:07 EDT', 'akurtakov'), ('4.12', '2019-05-17 05:18:07 EDT', 'akurtakov'), ('akurtakov', '2019-05-17 05:18:07 EDT', 'akurtakov'), ('daniel_megert', '2019-05-24 12:54:49 EDT', 'daniel_megert'), ('WORKSFORME', '2019-05-24 12:54:49 EDT', 'daniel_megert'), ('RESOLVED', '2019-05-24 12:54:49 EDT', 'daniel_megert')]</t>
  </si>
  <si>
    <t>550334 550672 550726</t>
  </si>
  <si>
    <t>2019-09-04 12:43:36 EDT</t>
  </si>
  <si>
    <t>2019-09-04 21:36:08 EDT</t>
  </si>
  <si>
    <t>2019-09-03 11:30:38 EDT</t>
  </si>
  <si>
    <t>2019-06-06 08:57 EDT</t>
  </si>
  <si>
    <t>2019-06-06 08:57:49 EDT</t>
  </si>
  <si>
    <t>[('CREATED', '2019-06-06 08:57 EDT'), ('jjohnstn, rgrunber', '2019-06-06 08:57:49 EDT', 'akurtakov'), ('https://git.eclipse.org/r/146018', '2019-07-12 12:19:31 EDT', 'genie'), ('jjohnstn', '2019-07-19 12:11:40 EDT', 'jjohnstn'), ('https://git.eclipse.org/c/jdt/eclipse.jdt.ui.git/commit/?id=ce2677be1d23a0c436216409b293ebc74498ecb2', '2019-07-19 12:14:20 EDT', 'genie'), ('FIXED', '2019-07-19 12:15:05 EDT', 'jjohnstn'), ('4.13 M3', '2019-07-19 12:15:05 EDT', 'jjohnstn'), ('RESOLVED', '2019-07-19 12:15:05 EDT', 'jjohnstn'), ('https://git.eclipse.org/r/146534', '2019-07-23 16:32:15 EDT', 'genie'), ('https://git.eclipse.org/c/www.eclipse.org/eclipse/news.git/commit/?id=d643235a7af226f4eef364a64bcd2ae42bd1c886', '2019-07-23 16:47:28 EDT', 'genie'), ('ma.becker', '2019-08-16 04:16:10 EDT', 'ma.becker'), ('---', '2019-08-16 04:16:10 EDT', 'ma.becker'), ('REOPENED', '2019-08-16 04:16:10 EDT', 'ma.becker'), ('https://git.eclipse.org/r/147819', '2019-08-16 04:17:40 EDT', 'genie'), ('https://git.eclipse.org/r/147846', '2019-08-16 11:02:41 EDT', 'genie'), ('https://git.eclipse.org/c/jdt/eclipse.jdt.ui.git/commit/?id=688926b42084deeb203e2cff3528ec03108976a6', '2019-08-16 12:17:23 EDT', 'genie'), ('https://git.eclipse.org/r/147940', '2019-08-19 14:20:13 EDT', 'genie'), ('https://git.eclipse.org/c/jdt/eclipse.jdt.ui.git/commit/?id=5cdb23a081339b2b7fcac2a081253895a1843fdd', '2019-08-19 15:58:18 EDT', 'genie'), ('FIXED', '2019-08-19 16:00:21 EDT', 'jjohnstn'), ('RESOLVED', '2019-08-19 16:00:21 EDT', 'jjohnstn'), ('jjohnstn', '2019-08-21 14:05:49 EDT', 'jjohnstn'), ('VERIFIED', '2019-08-21 14:05:49 EDT', 'jjohnstn'), ('550334', '2019-09-03 04:02:43 EDT', 'noopur_gupta'), ('550672', '2019-09-03 04:07:37 EDT', 'noopur_gupta'), ('noopur_gupta', '2019-09-03 04:14:39 EDT', 'noopur_gupta'), ('REOPENED', '2019-09-03 11:30:38 EDT', 'jjohnstn'), ('---', '2019-09-03 11:30:38 EDT', 'jjohnstn'), ('vkadlcik', '2019-09-04 00:47:39 EDT', 'vkadlcik'), ('550726', '2019-09-04 01:51:44 EDT', 'noopur_gupta'), ('FIXED', '2019-09-04 12:43:36 EDT', 'noopur_gupta'), ('RESOLVED', '2019-09-04 12:43:36 EDT', 'noopur_gupta'), ('VERIFIED', '2019-09-04 21:36:08 EDT', 'jjohnstn')]</t>
  </si>
  <si>
    <t>427897</t>
  </si>
  <si>
    <t>2019-06-14 04:08:52 EDT</t>
  </si>
  <si>
    <t>2019-10-01 08:30:56 EDT</t>
  </si>
  <si>
    <t>2019-06-14 03:58 EDT</t>
  </si>
  <si>
    <t>2019-06-14 03:58:52 EDT</t>
  </si>
  <si>
    <t>2020-05-13 04:23:43 EDT</t>
  </si>
  <si>
    <t>[('CREATED', '2019-06-14 03:58 EDT'), ('akurtako, Lars.Vogel', '2019-06-14 03:58:52 EDT', 'Lars.Vogel'), ('rgrunber', '2019-06-14 03:59:07 EDT', 'Lars.Vogel'), ('INVALID', '2019-06-14 04:08:52 EDT', 'Lars.Vogel'), ('RESOLVED', '2019-06-14 04:08:52 EDT', 'Lars.Vogel'), ('daniel_megert', '2019-06-14 04:22:15 EDT', 'daniel_megert'), ('---', '2019-10-01 08:30:56 EDT', 'Lars.Vogel'), ('REOPENED', '2019-10-01 08:30:56 EDT', 'Lars.Vogel'), ('Obsolete', '2019-10-01 08:31:04 EDT', 'Lars.Vogel'), ('fabrice.tiercelin', '2019-10-01 08:31:56 EDT', 'Lars.Vogel'), ('loskutov', '2019-10-01 08:36:47 EDT', 'loskutov'), ('Allow to run Source - Cleanup on multiple projects from Project Explorer', '2019-10-01 09:01:50 EDT', 'Lars.Vogel'), ('4.15 M3', '2020-02-07 00:50:40 EST', 'Lars.Vogel'), ('427897', '2020-02-07 00:51:17 EST', 'Lars.Vogel'), ('fabrice.tiercelin', '2020-02-07 01:57:37 EST', 'fabrice.tiercelin'), ('4.16', '2020-02-17 00:51:01 EST', 'noopur_gupta'), ('---', '2020-05-13 04:23:43 EDT', 'noopur_gupta')]</t>
  </si>
  <si>
    <t>563532</t>
  </si>
  <si>
    <t>2020-03-26 14:36:20 EDT</t>
  </si>
  <si>
    <t>2019-06-16 09:56 EDT</t>
  </si>
  <si>
    <t>2019-06-16 09:58:55 EDT</t>
  </si>
  <si>
    <t>2020-09-19 13:17:48 EDT</t>
  </si>
  <si>
    <t>[('CREATED', '2019-06-16 09:56 EDT'), ('https://git.eclipse.org/r/144113', '2019-06-16 09:58:55 EDT', 'genie'), ('https://git.eclipse.org/r/144107', '2019-06-16 09:59:18 EDT', 'genie'), ('https://git.eclipse.org/r/144106', '2019-06-16 10:01:31 EDT', 'genie'), ('https://git.eclipse.org/r/144108', '2019-06-16 10:01:44 EDT', 'genie'), ('https://git.eclipse.org/r/144109', '2019-06-16 10:02:07 EDT', 'genie'), ('https://git.eclipse.org/r/144110', '2019-06-16 10:02:49 EDT', 'genie'), ('https://git.eclipse.org/r/144111', '2019-06-16 10:03:11 EDT', 'genie'), ('https://git.eclipse.org/r/144112', '2019-06-16 10:03:54 EDT', 'genie'), ('https://git.eclipse.org/c/jdt/eclipse.jdt.ui.git/commit/?id=2231ff2f407b52e6c83aced9d5893e055ad028d8', '2019-06-18 10:03:24 EDT', 'genie'), ('https://git.eclipse.org/r/144548', '2019-06-20 13:52:02 EDT', 'genie'), ('https://git.eclipse.org/r/144549', '2019-06-20 13:52:05 EDT', 'genie'), ('https://git.eclipse.org/r/144553', '2019-06-20 13:52:07 EDT', 'genie'), ('https://git.eclipse.org/r/144552', '2019-06-20 13:52:09 EDT', 'genie'), ('https://git.eclipse.org/r/144551', '2019-06-20 13:52:12 EDT', 'genie'), ('https://git.eclipse.org/r/144550', '2019-06-20 13:52:14 EDT', 'genie'), ('https://git.eclipse.org/r/144557', '2019-06-20 13:52:16 EDT', 'genie'), ('https://git.eclipse.org/r/144556', '2019-06-20 13:52:19 EDT', 'genie'), ('https://git.eclipse.org/r/144555', '2019-06-20 13:52:21 EDT', 'genie'), ('https://git.eclipse.org/r/144554', '2019-06-20 13:52:23 EDT', 'genie'), ('https://git.eclipse.org/r/144560', '2019-06-20 13:52:26 EDT', 'genie'), ('https://git.eclipse.org/r/144559', '2019-06-20 13:52:28 EDT', 'genie'), ('https://git.eclipse.org/r/144563', '2019-06-20 13:52:41 EDT', 'genie'), ('https://git.eclipse.org/r/144562', '2019-06-20 13:52:43 EDT', 'genie'), ('https://git.eclipse.org/r/144561', '2019-06-20 13:52:45 EDT', 'genie'), ('https://git.eclipse.org/r/144558', '2019-06-20 13:52:48 EDT', 'genie'), ('https://git.eclipse.org/r/144564', '2019-06-20 13:52:50 EDT', 'genie'), ('loskutov', '2019-06-22 02:12:41 EDT', 'loskutov'), ('https://git.eclipse.org/r/144674', '2019-06-22 02:20:19 EDT', 'genie'), ('https://git.eclipse.org/r/144675', '2019-06-22 02:30:44 EDT', 'genie'), ('jdt-core-inbox', '2019-06-23 14:16:00 EDT', 'loskutov'), ('All', '2019-06-24 04:16:53 EDT', 'loskutov'), ('enhancement', '2019-06-24 04:16:53 EDT', 'loskutov'), ('https://bugs.eclipse.org/bugs/show_bug.cgi?id=262746', '2019-06-24 04:16:53 EDT', 'loskutov'), ('All', '2019-06-24 04:16:53 EDT', 'loskutov'), ('daniel_megert', '2019-06-24 04:54:06 EDT', 'loskutov'), ('https://git.eclipse.org/c/jdt/eclipse.jdt.ui.git/commit/?id=df4adc6947c2a7681d060059e1b1d3a511cec264', '2019-06-27 08:09:23 EDT', 'genie'), ('https://git.eclipse.org/c/jdt/eclipse.jdt.ui.git/commit/?id=f2f3163120e0e5d06522eed12a6310198ce2cab1', '2019-06-27 08:09:34 EDT', 'genie'), ('https://git.eclipse.org/r/#/c/144540/', '2019-08-13 12:11:41 EDT', 'carsten.hammer'), ('https://git.eclipse.org/r/149961', '2019-09-23 14:16:50 EDT', 'genie'), ('https://git.eclipse.org/r/149960', '2019-09-23 14:16:54 EDT', 'genie'), ('https://git.eclipse.org/r/149959', '2019-09-23 14:16:58 EDT', 'genie'), ('https://git.eclipse.org/c/jdt/eclipse.jdt.ui.git/commit/?id=78203681c7b9af35b27578abd2642750ea4a1e27', '2019-09-27 18:23:14 EDT', 'genie'), ('akurtakov', '2019-09-28 04:18:58 EDT', 'akurtakov'), ('https://git.eclipse.org/r/150326', '2019-09-29 06:01:53 EDT', 'genie'), ('https://git.eclipse.org/c/jdt/eclipse.jdt.ui.git/commit/?id=e7a181bf244ca989274bdcc1f92fdb35d53cc29d', '2019-10-01 00:32:16 EDT', 'genie'), ('https://git.eclipse.org/c/jdt/eclipse.jdt.ui.git/commit/?id=3ad3ae57e4323eb89015d11aca224c6d066486dd', '2019-10-07 21:19:18 EDT', 'genie'), ('https://git.eclipse.org/c/jdt/eclipse.jdt.ui.git/commit/?id=622c7e94ea54ab2e47dfac910e0c1e66caf2f126', '2019-10-17 15:19:34 EDT', 'genie'), ('https://git.eclipse.org/c/jdt/eclipse.jdt.ui.git/commit/?id=9d07e1b8b601988f068bbf1c2d02f0055118c63d', '2019-10-18 10:52:39 EDT', 'genie'), ('https://git.eclipse.org/c/jdt/eclipse.jdt.ui.git/commit/?id=8bd0aa6379866e721da3692c3676be63fb1fa7f4', '2019-10-19 00:16:04 EDT', 'genie'), ('https://git.eclipse.org/c/jdt/eclipse.jdt.ui.git/commit/?id=6f073a3072bb0876f092287d7a485c8a63f65d64', '2019-10-21 16:37:15 EDT', 'genie'), ('https://git.eclipse.org/c/jdt/eclipse.jdt.ui.git/commit/?id=6d0808dd9de77b2e48ca13156c73ac6d6addf728', '2019-10-28 16:25:05 EDT', 'genie'), ('https://git.eclipse.org/c/jdt/eclipse.jdt.ui.git/commit/?id=eeb4f17a66ac4c0284fe73ea6d4efd35cddd0eb2', '2019-10-28 17:30:45 EDT', 'genie'), ('https://git.eclipse.org/c/jdt/eclipse.jdt.ui.git/commit/?id=34cd20ef9b83878cedf9b90eba0244997c08fe34', '2019-11-07 17:59:38 EST', 'genie'), ('https://git.eclipse.org/c/jdt/eclipse.jdt.ui.git/commit/?id=837ee5907a5499a5dcd9c309adeabec6865a1875', '2019-11-07 21:05:26 EST', 'genie'), ('https://git.eclipse.org/c/jdt/eclipse.jdt.ui.git/commit/?id=aeae6d251efb45df7a1280669fe9e2fbc491f519', '2019-11-13 17:25:44 EST', 'genie'), ('https://git.eclipse.org/c/jdt/eclipse.jdt.ui.git/commit/?id=0d2984a3e49c2a91e579865c17d647123f8c3d4a', '2019-11-15 14:02:28 EST', 'genie'), ('https://git.eclipse.org/r/154374', '2019-12-12 00:22:04 EST', 'genie'), ('https://git.eclipse.org/c/jdt/eclipse.jdt.ui.git/commit/?id=35628da1be38ace50244a468bb8ba05e7865d49a', '2019-12-17 12:03:47 EST', 'genie'), ('https://git.eclipse.org/c/jdt/eclipse.jdt.ui.git/commit/?id=6d8ddd1100878431af0dec2418e2d0a67af51d48', '2019-12-17 17:10:17 EST', 'genie'), ('https://bugs.eclipse.org/bugs/show_bug.cgi?id=558510', '2019-12-20 09:18:52 EST', 'simeon.danailov.andreev'), ('simeon.danailov.andreev', '2019-12-20 09:20:02 EST', 'simeon.danailov.andreev'), ('https://bugs.eclipse.org/bugs/show_bug.cgi?id=558339', '2019-12-20 11:22:30 EST', 'loskutov'), ('https://git.eclipse.org/c/jdt/eclipse.jdt.ui.git/commit/?id=63fee998846cdaf2e9aca41c0e63184edb058d5e', '2019-12-20 12:16:35 EST', 'genie'), (nan, '2019-12-20 12:21:20 EST', 'simeon.danailov.andreev'), ('https://git.eclipse.org/c/jdt/eclipse.jdt.ui.git/commit/?id=46999ad1767822b2cff6e7408c7cc852c12a6001', '2020-01-03 14:30:44 EST', 'genie'), ('https://git.eclipse.org/c/jdt/eclipse.jdt.ui.git/commit/?id=ce887631301c0adb8b7296b3a307dbec340bc00d', '2020-01-03 21:43:59 EST', 'genie'), ('https://git.eclipse.org/r/155221', '2020-01-05 05:34:26 EST', 'genie'), ('https://git.eclipse.org/r/155222', '2020-01-05 06:23:07 EST', 'genie'), ('https://git.eclipse.org/r/155227', '2020-01-05 08:38:12 EST', 'genie'), ('https://git.eclipse.org/c/jdt/eclipse.jdt.ui.git/commit/?id=81049a227f11375ed7f6329f1fc63c09715a64b4', '2020-01-06 11:59:32 EST', 'genie'), ('https://git.eclipse.org/c/jdt/eclipse.jdt.ui.git/commit/?id=37a17329d7642e663b1c24626520f5614466e57c', '2020-01-06 13:33:16 EST', 'genie'), ('https://git.eclipse.org/c/jdt/eclipse.jdt.ui.git/commit/?id=192cfdece48b10c4d7193d82af0d9ba703e39502', '2020-01-06 13:50:04 EST', 'genie'), ('https://bugs.eclipse.org/bugs/show_bug.cgi?id=558688', '2020-01-06 16:05:41 EST', 'loskutov'), ('https://git.eclipse.org/c/jdt/eclipse.jdt.ui.git/commit/?id=7de4a90590986900e5edfddac3e36af3254ec861', '2020-01-06 17:48:22 EST', 'genie'), ('https://git.eclipse.org/c/jdt/eclipse.jdt.ui.git/commit/?id=a93ffe117af8abfc1d5f03f8fb805cf27942c8c2', '2020-01-06 20:50:37 EST', 'genie'), ('https://git.eclipse.org/r/155401', '2020-01-07 09:46:58 EST', 'genie'), ('https://git.eclipse.org/c/jdt/eclipse.jdt.ui.git/commit/?id=9fbf05c8daa1f6c442fb7a3688e534f072e25ab2', '2020-01-07 09:47:23 EST', 'genie'), ('https://git.eclipse.org/r/155637', '2020-01-11 05:18:34 EST', 'genie'), ('https://git.eclipse.org/c/jdt/eclipse.jdt.ui.git/commit/?id=1677f03a0c3121e1a1ab0a3c8f9935420ade94a5', '2020-01-12 03:50:08 EST', 'genie'), ('https://git.eclipse.org/c/jdt/eclipse.jdt.ui.git/commit/?id=c510644ad83ce9fbba16d8ebf7dd1b2a30b37b26', '2020-01-13 14:47:00 EST', 'genie'), ('https://git.eclipse.org/c/jdt/eclipse.jdt.ui.git/commit/?id=2196f300b56584e5da6009cb5618d6d63564fda3', '2020-01-14 13:54:13 EST', 'genie'), ('https://git.eclipse.org/c/jdt/eclipse.jdt.ui.git/commit/?id=4026ed37f3d9e243818cb4732d8d2e7f54b66132', '2020-01-14 15:07:42 EST', 'genie'), ('https://git.eclipse.org/c/jdt/eclipse.jdt.ui.git/commit/?id=c8aee3708c6f8c4525ad75788958671e1377792f', '2020-01-24 15:45:31 EST', 'genie'), ('https://git.eclipse.org/c/jdt/eclipse.jdt.ui.git/commit/?id=b90e33db58118ed39d2bd3026cba942943f5b823', '2020-01-24 17:56:12 EST', 'genie'), ('https://git.eclipse.org/c/jdt/eclipse.jdt.ui.git/commit/?id=344c78a4fe0bdc53d11f125956dfff72a836cb42', '2020-02-12 14:33:07 EST', 'genie'), ('https://git.eclipse.org/r/158147', '2020-02-23 04:15:15 EST', 'genie'), ('https://git.eclipse.org/r/158146', '2020-02-23 04:15:21 EST', 'genie'), ('https://git.eclipse.org/r/158151', '2020-02-23 04:15:26 EST', 'genie'), ('https://git.eclipse.org/r/158150', '2020-02-23 04:15:31 EST', 'genie'), ('https://git.eclipse.org/r/158149', '2020-02-23 04:15:37 EST', 'genie'), ('https://git.eclipse.org/r/158148', '2020-02-23 04:15:43 EST', 'genie'), ('https://git.eclipse.org/r/158152', '2020-02-23 04:15:48 EST', 'genie'), ('https://git.eclipse.org/r/158153', '2020-02-23 04:49:06 EST', 'genie'), ('https://git.eclipse.org/r/158157', '2020-02-23 04:49:12 EST', 'genie'), ('https://git.eclipse.org/r/158156', '2020-02-23 04:49:17 EST', 'genie'), ('https://git.eclipse.org/r/158155', '2020-02-23 04:49:23 EST', 'genie'), ('https://git.eclipse.org/r/158154', '2020-02-23 04:49:28 EST', 'genie'), ('https://git.eclipse.org/r/158160', '2020-02-23 04:49:39 EST', 'genie'), ('https://git.eclipse.org/r/158159', '2020-02-23 04:49:45 EST', 'genie'), ('https://git.eclipse.org/r/158158', '2020-02-23 04:49:55 EST', 'genie'), ('https://git.eclipse.org/r/158162', '2020-02-23 04:50:00 EST', 'genie'), ('https://git.eclipse.org/r/158161', '2020-02-23 04:50:05 EST', 'genie'), ('https://git.eclipse.org/r/158165', '2020-02-23 04:50:11 EST', 'genie'), ('https://git.eclipse.org/r/158164', '2020-02-23 04:50:18 EST', 'genie'), ('https://git.eclipse.org/r/158163', '2020-02-23 04:50:24 EST', 'genie'), ('https://git.eclipse.org/r/158168', '2020-02-23 04:50:31 EST', 'genie'), ('https://git.eclipse.org/r/158167', '2020-02-23 04:50:37 EST', 'genie'), ('https://git.eclipse.org/r/158166', '2020-02-23 04:50:44 EST', 'genie'), ('https://git.eclipse.org/r/158927', '2020-03-06 11:33:39 EST', 'genie'), ('https://git.eclipse.org/c/jdt/eclipse.jdt.ui.git/commit/?id=8e566095be5cd26dfc92162be4dd8591e1dad874', '2020-03-09 18:36:28 EDT', 'genie'), ('https://git.eclipse.org/c/jdt/eclipse.jdt.ui.git/commit/?id=bc3cf1ae1c9f1891a8fb9e3473fdfe82a3eb421d', '2020-03-10 10:38:08 EDT', 'genie'), ('https://git.eclipse.org/c/jdt/eclipse.jdt.ui.git/commit/?id=98d1c4f568ed59731dbec070beccaf92b2bab669', '2020-03-11 13:13:02 EDT', 'genie'), ('https://git.eclipse.org/c/jdt/eclipse.jdt.ui.git/commit/?id=e1632cfed373e7bab1f3c877592910020a238952', '2020-03-12 18:13:04 EDT', 'genie'), ('https://git.eclipse.org/c/jdt/eclipse.jdt.ui.git/commit/?id=7e3ebbbe614bdc2bcb944c4bbed5756487e5ce73', '2020-03-16 15:34:02 EDT', 'genie'), ('https://git.eclipse.org/c/jdt/eclipse.jdt.ui.git/commit/?id=44d0534c6344acc933a07d8e857f88aee02f01a3', '2020-03-16 18:11:53 EDT', 'genie'), ('https://git.eclipse.org/c/jdt/eclipse.jdt.ui.git/commit/?id=f41668fe6a49cecd1ccbc42c818cb616601e66e2', '2020-03-17 12:30:48 EDT', 'genie'), ('https://git.eclipse.org/c/jdt/eclipse.jdt.ui.git/commit/?id=ccf193b8867cae14128ff3d9236ab49223854a91', '2020-03-17 15:28:26 EDT', 'genie'), ('https://git.eclipse.org/c/jdt/eclipse.jdt.ui.git/commit/?id=7d9fdfca928cdedc48103c2ffdb41bf79452cd83', '2020-03-17 16:25:23 EDT', 'genie'), ('https://git.eclipse.org/c/jdt/eclipse.jdt.ui.git/commit/?id=5bdf44b003946b08e9349ad652a679a4202cf53c', '2020-03-17 16:49:07 EDT', 'genie'), ('https://git.eclipse.org/c/jdt/eclipse.jdt.ui.git/commit/?id=598323af23d81dc0add4fdf817a95ce442c33d70', '2020-03-18 10:28:18 EDT', 'genie'), ('https://git.eclipse.org/c/jdt/eclipse.jdt.ui.git/commit/?id=e34932aa34511e872deddc738231d9fdcc4c90c1', '2020-03-18 10:29:04 EDT', 'genie'), ('https://git.eclipse.org/c/jdt/eclipse.jdt.ui.git/commit/?id=3e494df8476a0c4bafaf590739a3eaf77596f7e0', '2020-03-19 15:37:34 EDT', 'genie'), ('https://git.eclipse.org/c/jdt/eclipse.jdt.ui.git/commit/?id=ff88878acba1fff501e0aed2975ac6777b08b834', '2020-03-19 16:35:53 EDT', 'genie'), ('https://git.eclipse.org/c/jdt/eclipse.jdt.ui.git/commit/?id=8e15ec2ee889ec0018874f5b9abec9a3149caad7', '2020-03-19 16:36:18 EDT', 'genie'), ('https://git.eclipse.org/c/jdt/eclipse.jdt.ui.git/commit/?id=b3e6737463d4bf232c34f30662ba43749a0aabc6', '2020-03-20 00:49:07 EDT', 'genie'), ('https://git.eclipse.org/c/jdt/eclipse.jdt.ui.git/commit/?id=b05b51e95b4bbe3a056e4dbf4d0af90d0fa27024', '2020-03-20 03:03:33 EDT', 'genie'), ('https://git.eclipse.org/c/jdt/eclipse.jdt.ui.git/commit/?id=96ad37c686f24e80605a7e56ea33980060d885e1', '2020-03-21 14:48:29 EDT', 'genie'), ('https://git.eclipse.org/c/jdt/eclipse.jdt.ui.git/commit/?id=49c611431cd6f60abfc6e55d67aa21ae7d1dcc31', '2020-03-21 15:21:46 EDT', 'genie'), ('https://git.eclipse.org/c/jdt/eclipse.jdt.ui.git/commit/?id=65c477a38a27f0a6df5057824a1f5522efc2c2b6', '2020-03-22 03:19:45 EDT', 'genie'), ('https://git.eclipse.org/c/jdt/eclipse.jdt.ui.git/commit/?id=a1f5fa062403b3348a75ae63b17446f0011715a3', '2020-03-22 04:46:11 EDT', 'genie'), ('https://git.eclipse.org/c/jdt/eclipse.jdt.ui.git/commit/?id=8d9cbaa85554eb4315af5f659696b6476dd0667a', '2020-03-23 09:56:00 EDT', 'genie'), ('https://git.eclipse.org/c/jdt/eclipse.jdt.ui.git/commit/?id=e698acce70986f66ffa643b5e694972fce535416', '2020-03-23 12:30:55 EDT', 'genie'), ('https://git.eclipse.org/c/jdt/eclipse.jdt.ui.git/commit/?id=abc9aa8dfe5916b5624988f6ec2eed03656ff7cf', '2020-03-24 16:26:30 EDT', 'genie'), ('https://git.eclipse.org/r/160003', '2020-03-25 13:30:59 EDT', 'genie'), ('https://git.eclipse.org/c/jdt/eclipse.jdt.ui.git/commit/?id=b9ea8057ebadec8fd5aa1ab37c066455780c87fb', '2020-03-26 03:59:15 EDT', 'genie'), ('fabrice.tiercelin', '2020-03-26 04:55:31 EDT', 'fabrice.tiercelin'), ('fabrice.tiercelin', '2020-03-26 04:55:31 EDT', 'fabrice.tiercelin'), ('https://git.eclipse.org/c/jdt/eclipse.jdt.ui.git/commit/?id=5be1dadbe07e9dbc022006f26bc13030e845e45b', '2020-03-26 13:33:40 EDT', 'genie'), ('ASSIGNED', '2020-03-26 13:35:46 EDT', 'fabrice.tiercelin'), ('RESOLVED', '2020-03-26 14:36:20 EDT', 'fabrice.tiercelin'), ('FIXED', '2020-03-26 14:36:20 EDT', 'fabrice.tiercelin'), ('https://git.eclipse.org/r/160987', '2020-04-15 08:06:25 EDT', 'genie'), ('Update code to make use of Java 8 features', '2020-04-18 10:49:35 EDT', 'daniel_megert'), ('4.16 M3', '2020-04-18 10:50:13 EDT', 'daniel_megert'), ('https://git.eclipse.org/r/161188', '2020-04-20 15:26:49 EDT', 'genie'), ('https://git.eclipse.org/c/jdt/eclipse.jdt.ui.git/commit/?id=736d5f2083bfe9a6a7d544d445a62653182fde1c', '2020-04-21 00:26:04 EDT', 'genie'), ('https://bugs.eclipse.org/bugs/show_bug.cgi?id=562797', '2020-05-05 08:16:30 EDT', 'stephan.herrmann'), ('https://bugs.eclipse.org/bugs/show_bug.cgi?id=563532', '2020-05-24 18:31:20 EDT', 'mateusz.matela'), ('563532', '2020-05-26 03:13:06 EDT', 'noopur_gupta'), ('https://git.eclipse.org/r/c/jdt/eclipse.jdt.ui/+/166465', '2020-07-24 10:52:54 EDT', 'genie'), ('https://git.eclipse.org/c/jdt/eclipse.jdt.ui.git/commit/?id=f742eb4c3bee632325cfb3a5a5dc2a94e9589e1a', '2020-09-19 13:17:48 EDT', 'genie')]</t>
  </si>
  <si>
    <t>2019-06-24 06:10:26 EDT</t>
  </si>
  <si>
    <t>2019-06-24 14:55:43 EDT</t>
  </si>
  <si>
    <t>2019-06-22 10:29 EDT</t>
  </si>
  <si>
    <t>2019-06-25 05:03:17 EDT</t>
  </si>
  <si>
    <t>[('CREATED', '2019-06-22 10:29 EDT'), ('All', '2019-06-24 06:10:26 EDT', 'noopur_gupta'), ('WORKSFORME', '2019-06-24 06:10:26 EDT', 'noopur_gupta'), ('All', '2019-06-24 06:10:26 EDT', 'noopur_gupta'), ('noopur_gupta', '2019-06-24 06:10:26 EDT', 'noopur_gupta'), ('RESOLVED', '2019-06-24 06:10:26 EDT', 'noopur_gupta'), ('jdt-ui-inbox', '2019-06-24 06:11:21 EDT', 'noopur_gupta'), ('UI', '2019-06-24 06:11:21 EDT', 'noopur_gupta'), ('[extract local] Allow for immediate use of var when extracting variable', '2019-06-24 06:11:21 EDT', 'noopur_gupta'), ('REOPENED', '2019-06-24 14:55:43 EDT', 'tukkek'), ('---', '2019-06-24 14:55:43 EDT', 'tukkek'), ('[11][quick assist][extract local] Allow for immediate use of var when extracting variable', '2019-06-25 05:03:17 EDT', 'noopur_gupta'), ('ASSIGNED', '2019-06-25 05:03:17 EDT', 'noopur_gupta')]</t>
  </si>
  <si>
    <t>2019-06-23 05:59 EDT</t>
  </si>
  <si>
    <t>2019-06-23 05:59:40 EDT</t>
  </si>
  <si>
    <t>2019-08-07 02:48:11 EDT</t>
  </si>
  <si>
    <t>[('CREATED', '2019-06-23 05:59 EDT'), ('Fails to Extract Local Variable with semi colon', '2019-06-23 05:59:40 EDT', 'orimarko'), ('Fails to Extract Local Variable with trailing semi colon', '2019-06-23 06:01:45 EDT', 'orimarko'), ('OBSOLETE', '2019-06-23 06:50:31 EDT', 'stephan.herrmann'), ('jdt-ui-inbox', '2019-08-07 02:48:11 EDT', 'jarthana'), ('UI', '2019-08-07 02:48:11 EDT', 'jarthana'), ('jarthana', '2019-08-07 02:48:11 EDT', 'jarthana')]</t>
  </si>
  <si>
    <t>2020-08-14 16:38:13 EDT</t>
  </si>
  <si>
    <t>2019-06-26 12:03 EDT</t>
  </si>
  <si>
    <t>2019-06-26 22:54:44 EDT</t>
  </si>
  <si>
    <t>[('CREATED', '2019-06-26 12:03 EDT'), ('UI', '2019-06-26 22:54:44 EDT', 'sarika.sinha'), ('jdt-ui-inbox', '2019-06-26 22:54:44 EDT', 'sarika.sinha'), ('https://git.eclipse.org/r/#/c/144552/', '2019-08-20 14:03:14 EDT', 'carsten.hammer'), ('https://git.eclipse.org/r/#/c/144558/', '2019-08-20 14:04:17 EDT', 'carsten.hammer'), ('stephan.herrmann', '2020-05-30 09:03:08 EDT', 'stephan.herrmann'), ('RESOLVED', '2020-08-14 16:38:13 EDT', 'carsten.hammer'), ('FIXED', '2020-08-14 16:38:13 EDT', 'carsten.hammer')]</t>
  </si>
  <si>
    <t>2019-07-02 14:54:41 EDT</t>
  </si>
  <si>
    <t>2019-07-16 13:13:37 EDT</t>
  </si>
  <si>
    <t>2019-06-28 02:59 EDT</t>
  </si>
  <si>
    <t>2019-06-28 03:29:19 EDT</t>
  </si>
  <si>
    <t>[('CREATED', '2019-06-28 02:59 EDT'), ('https://git.eclipse.org/r/145079', '2019-06-28 03:29:19 EDT', 'genie'), ('https://git.eclipse.org/c/jdt/eclipse.jdt.ui.git/commit/?id=4702ef5b806d3ca3b581c14a8d6b907c577b98ea', '2019-07-02 11:31:12 EDT', 'genie'), ('jjohnstn', '2019-07-02 14:54:41 EDT', 'jjohnstn'), ('jjohnstn', '2019-07-02 14:54:41 EDT', 'jjohnstn'), ('jjohnstn', '2019-07-02 14:54:41 EDT', 'jjohnstn'), ('4.13 M1', '2019-07-02 14:54:41 EDT', 'jjohnstn'), ('RESOLVED', '2019-07-02 14:54:41 EDT', 'jjohnstn'), ('FIXED', '2019-07-02 14:54:41 EDT', 'jjohnstn'), ('VERIFIED', '2019-07-16 13:13:37 EDT', 'jjohnstn')]</t>
  </si>
  <si>
    <t>2019-06-30 05:32 EDT</t>
  </si>
  <si>
    <t>2019-06-30 07:01:02 EDT</t>
  </si>
  <si>
    <t>2019-06-30 12:14:06 EDT</t>
  </si>
  <si>
    <t>[('CREATED', '2019-06-30 05:32 EDT'), ('stephan.herrmann', '2019-06-30 07:01:02 EDT', 'stephan.herrmann'), ('needinfo', '2019-06-30 07:01:02 EDT', 'stephan.herrmann'), (nan, '2019-06-30 12:14:06 EDT', 'stephan.herrmann')]</t>
  </si>
  <si>
    <t>2019-07-22 17:49:11 EDT</t>
  </si>
  <si>
    <t>2019-08-21 14:30:48 EDT</t>
  </si>
  <si>
    <t>2019-07-02 16:05 EDT</t>
  </si>
  <si>
    <t>2019-07-02 16:05:36 EDT</t>
  </si>
  <si>
    <t>[('CREATED', '2019-07-02 16:05 EDT'), ('jjohnstn', '2019-07-02 16:05:36 EDT', 'jjohnstn'), ('https://git.eclipse.org/r/145343', '2019-07-02 18:12:43 EDT', 'genie'), ('https://git.eclipse.org/c/jdt/eclipse.jdt.ui.git/commit/?id=de2d9dba586fcaad896b5a53a638b3282659d95d', '2019-07-15 17:53:34 EDT', 'genie'), ('FIXED', '2019-07-22 17:49:11 EDT', 'jjohnstn'), ('4.13 M3', '2019-07-22 17:49:11 EDT', 'jjohnstn'), ('RESOLVED', '2019-07-22 17:49:11 EDT', 'jjohnstn'), ('VERIFIED', '2019-08-21 14:30:48 EDT', 'jjohnstn'), ('jjohnstn', '2019-08-21 14:30:48 EDT', 'jjohnstn')]</t>
  </si>
  <si>
    <t>548096</t>
  </si>
  <si>
    <t>2019-07-17 04:09:07 EDT</t>
  </si>
  <si>
    <t>2019-07-12 09:40:49 EDT</t>
  </si>
  <si>
    <t>2019-07-12 08:12 EDT</t>
  </si>
  <si>
    <t>2019-07-12 08:12:44 EDT</t>
  </si>
  <si>
    <t>[('CREATED', '2019-07-12 08:12 EDT'), ('BETA J13', '2019-07-12 08:12:44 EDT', 'noopur_gupta'), ('548096', '2019-07-12 08:12:44 EDT', 'noopur_gupta'), ('noopur_gupta, sarika.sinha, sravankumarl', '2019-07-12 08:14:32 EDT', 'noopur_gupta'), ('noopur_gupta', '2019-07-12 08:14:32 EDT', 'noopur_gupta'), ('https://git.eclipse.org/r/145978', '2019-07-12 08:18:12 EDT', 'genie'), ('https://git.eclipse.org/c/jdt/eclipse.jdt.ui.git/commit/?id=fb36bcbe9a88c730c418d3bc6f3e294ce49790bb', '2019-07-12 08:22:41 EDT', 'genie'), ('RESOLVED', '2019-07-12 08:33:32 EDT', 'noopur_gupta'), ('FIXED', '2019-07-12 08:33:32 EDT', 'noopur_gupta'), ('https://git.eclipse.org/r/146004', '2019-07-12 09:37:25 EDT', 'genie'), ('---', '2019-07-12 09:40:49 EDT', 'noopur_gupta'), ('REOPENED', '2019-07-12 09:40:49 EDT', 'noopur_gupta'), ('daniel_megert', '2019-07-12 09:42:52 EDT', 'noopur_gupta'), ('https://git.eclipse.org/r/146127', '2019-07-16 03:00:50 EDT', 'genie'), ('https://git.eclipse.org/r/#/c/144990/', '2019-07-16 03:02:34 EDT', 'noopur_gupta'), ('https://git.eclipse.org/c/jdt/eclipse.jdt.ui.git/commit/?id=5177b1183d33652d0cb4871a4117f39a4c1c0b8f', '2019-07-16 07:44:07 EDT', 'genie'), ('RESOLVED', '2019-07-17 04:09:07 EDT', 'noopur_gupta'), ('FIXED', '2019-07-17 04:09:07 EDT', 'noopur_gupta')]</t>
  </si>
  <si>
    <t>2019-07-24 13:38:52 EDT</t>
  </si>
  <si>
    <t>2019-08-21 14:30:16 EDT</t>
  </si>
  <si>
    <t>2019-07-22 20:38 EDT</t>
  </si>
  <si>
    <t>2019-07-22 20:39:00 EDT</t>
  </si>
  <si>
    <t>[('CREATED', '2019-07-22 20:38 EDT'), ('jjohnstn', '2019-07-22 20:39:00 EDT', 'jjohnstn'), ('https://git.eclipse.org/r/146482', '2019-07-22 20:58:19 EDT', 'genie'), ('https://git.eclipse.org/c/jdt/eclipse.jdt.ui.git/commit/?id=a88222fc103cb7de7d4568d11b955957d5eaa085', '2019-07-24 11:11:12 EDT', 'genie'), ('RESOLVED', '2019-07-24 13:38:52 EDT', 'jjohnstn'), ('4.13 M3', '2019-07-24 13:38:52 EDT', 'jjohnstn'), ('FIXED', '2019-07-24 13:38:52 EDT', 'jjohnstn'), ('jjohnstn', '2019-08-21 14:30:16 EDT', 'jjohnstn'), ('VERIFIED', '2019-08-21 14:30:16 EDT', 'jjohnstn')]</t>
  </si>
  <si>
    <t>2019-08-06 13:47:22 EDT</t>
  </si>
  <si>
    <t>2019-07-29 01:13 EDT</t>
  </si>
  <si>
    <t>2019-07-29 01:24:09 EDT</t>
  </si>
  <si>
    <t>[('CREATED', '2019-07-29 01:13 EDT'), ('https://git.eclipse.org/r/146721', '2019-07-29 01:24:09 EDT', 'genie'), ('https://git.eclipse.org/c/jdt/eclipse.jdt.ui.git/commit/?id=f1d151651280e956f7a535b5dda58cad5e28784b', '2019-08-06 13:46:49 EDT', 'genie'), ('4.13 M3', '2019-08-06 13:47:22 EDT', 'jjohnstn'), ('jjohnstn', '2019-08-06 13:47:22 EDT', 'jjohnstn'), ('RESOLVED', '2019-08-06 13:47:22 EDT', 'jjohnstn'), ('FIXED', '2019-08-06 13:47:22 EDT', 'jjohnstn')]</t>
  </si>
  <si>
    <t>549106</t>
  </si>
  <si>
    <t>550137</t>
  </si>
  <si>
    <t>2019-08-08 06:41:02 EDT</t>
  </si>
  <si>
    <t>2019-08-08 06:58:28 EDT</t>
  </si>
  <si>
    <t>2019-08-08 02:44:38 EDT</t>
  </si>
  <si>
    <t>2019-07-29 06:10 EDT</t>
  </si>
  <si>
    <t>2019-07-29 06:12:58 EDT</t>
  </si>
  <si>
    <t>2019-08-16 03:24:28 EDT</t>
  </si>
  <si>
    <t>[('CREATED', '2019-07-29 06:10 EDT'), ('549106', '2019-07-29 06:12:58 EDT', 'sarika.sinha'), ('noopur_gupta', '2019-07-30 08:09:06 EDT', 'noopur_gupta'), ('https://git.eclipse.org/r/146852', '2019-07-31 06:31:55 EDT', 'genie'), ('ASSIGNED', '2019-08-07 04:29:32 EDT', 'noopur_gupta'), ('4.13 M3', '2019-08-07 04:29:32 EDT', 'noopur_gupta'), ('noopur_gupta', '2019-08-07 04:29:32 EDT', 'noopur_gupta'), ('kalyan_prasad', '2019-08-07 04:29:32 EDT', 'noopur_gupta'), ('https://git.eclipse.org/r/147173', '2019-08-07 06:00:36 EDT', 'genie'), ('https://git.eclipse.org/r/147172', '2019-08-07 06:00:39 EDT', 'genie'), ('https://git.eclipse.org/c/jdt/eclipse.jdt.ui.git/commit/?id=2dd58e630eefa755033abef13e0afbc6ed5d6d06', '2019-08-07 06:18:05 EDT', 'genie'), ('https://git.eclipse.org/c/jdt/eclipse.jdt.ui.git/commit/?id=1fe269b376f145e7bd8624d45acde60649c700d1', '2019-08-07 06:21:22 EDT', 'genie'), ('FIXED', '2019-08-07 06:25:32 EDT', 'noopur_gupta'), ('RESOLVED', '2019-08-07 06:25:32 EDT', 'noopur_gupta'), ('---', '2019-08-08 02:44:38 EDT', 'loskutov'), ('loskutov', '2019-08-08 02:44:38 EDT', 'loskutov'), ('REOPENED', '2019-08-08 02:44:38 EDT', 'loskutov'), ('https://git.eclipse.org/r/147252', '2019-08-08 06:38:55 EDT', 'genie'), ('https://git.eclipse.org/c/jdt/eclipse.jdt.ui.git/commit/?id=7b38bdc12f6a2b8c3f3a532fd0cfb5a082987e6a', '2019-08-08 06:39:41 EDT', 'genie'), ('RESOLVED', '2019-08-08 06:41:02 EDT', 'kalyan_prasad'), ('FIXED', '2019-08-08 06:41:02 EDT', 'kalyan_prasad'), ('daniel_megert', '2019-08-08 06:58:28 EDT', 'noopur_gupta'), ('VERIFIED', '2019-08-08 06:58:28 EDT', 'noopur_gupta'), (nan, '2019-08-08 07:59:36 EDT', 'kalyan_prasad'), ('550137', '2019-08-16 03:24:28 EDT', 'noopur_gupta')]</t>
  </si>
  <si>
    <t>2019-08-06 01:04:17 EDT</t>
  </si>
  <si>
    <t>2019-08-21 14:23:36 EDT</t>
  </si>
  <si>
    <t>2019-08-05 02:59:52 EDT</t>
  </si>
  <si>
    <t>2019-07-31 00:54 EDT</t>
  </si>
  <si>
    <t>2019-07-31 00:55:50 EDT</t>
  </si>
  <si>
    <t>[('CREATED', '2019-07-31 00:54 EDT'), ('Moving file will remove the import for the inner class mistakenly', '2019-07-31 00:55:50 EDT', 'jinbwan'), ('Moving CU will remove the import for the inner class from the destination package mistakenly', '2019-07-31 01:29:49 EDT', 'jinbwan'), ('https://git.eclipse.org/r/146843', '2019-07-31 02:04:26 EDT', 'genie'), ('https://git.eclipse.org/c/jdt/eclipse.jdt.ui.git/commit/?id=60e85bc22094b00f33e53b02b61cc841137c2a45', '2019-07-31 11:55:53 EDT', 'genie'), ('4.13 M3', '2019-07-31 11:57:00 EDT', 'jjohnstn'), ('FIXED', '2019-07-31 11:57:00 EDT', 'jjohnstn'), ('jjohnstn', '2019-07-31 11:57:00 EDT', 'jjohnstn'), ('jjohnstn', '2019-07-31 11:57:00 EDT', 'jjohnstn'), ('RESOLVED', '2019-07-31 11:57:00 EDT', 'jjohnstn'), ('loskutov', '2019-08-05 02:59:52 EDT', 'loskutov'), ('REOPENED', '2019-08-05 02:59:52 EDT', 'loskutov'), ('---', '2019-08-05 02:59:52 EDT', 'loskutov'), ('https://git.eclipse.org/r/147037', '2019-08-05 04:08:13 EDT', 'genie'), ('https://git.eclipse.org/c/jdt/eclipse.jdt.ui.git/commit/?id=68936fe6868baf0ede8099789e6dd6266432c7c2', '2019-08-05 07:11:38 EDT', 'genie'), ('RESOLVED', '2019-08-06 01:04:17 EDT', 'loskutov'), ('FIXED', '2019-08-06 01:04:17 EDT', 'loskutov'), ('jjohnstn', '2019-08-21 14:23:36 EDT', 'jjohnstn'), ('VERIFIED', '2019-08-21 14:23:36 EDT', 'jjohnstn')]</t>
  </si>
  <si>
    <t>2019-08-08 13:18:37 EDT</t>
  </si>
  <si>
    <t>2019-08-21 15:51:23 EDT</t>
  </si>
  <si>
    <t>2019-08-07 03:33 EDT</t>
  </si>
  <si>
    <t>2019-08-07 03:47:38 EDT</t>
  </si>
  <si>
    <t>[('CREATED', '2019-08-07 03:33 EDT'), ('https://git.eclipse.org/r/147166', '2019-08-07 03:47:38 EDT', 'genie'), ('https://git.eclipse.org/c/jdt/eclipse.jdt.ui.git/commit/?id=ea4ba8612ab5b5686b56942184b7247f0a5e9939', '2019-08-08 13:17:50 EDT', 'genie'), ('RESOLVED', '2019-08-08 13:18:37 EDT', 'jjohnstn'), ('FIXED', '2019-08-08 13:18:37 EDT', 'jjohnstn'), ('jjohnstn', '2019-08-08 13:18:37 EDT', 'jjohnstn'), ('jjohnstn', '2019-08-08 13:18:37 EDT', 'jjohnstn'), ('4.13 M3', '2019-08-08 13:18:37 EDT', 'jjohnstn'), ('VERIFIED', '2019-08-21 15:51:23 EDT', 'jjohnstn'), ('jjohnstn', '2019-08-21 15:51:23 EDT', 'jjohnstn')]</t>
  </si>
  <si>
    <t>CLOSED  DUPLICATE  of bug 495369</t>
  </si>
  <si>
    <t>548877</t>
  </si>
  <si>
    <t>2019-09-16 05:57:55 EDT</t>
  </si>
  <si>
    <t>2019-08-08 04:59 EDT</t>
  </si>
  <si>
    <t>2019-08-08 04:59:51 EDT</t>
  </si>
  <si>
    <t>[('CREATED', '2019-08-08 04:59 EDT'), ('548877', '2019-08-08 04:59:51 EDT', 'Lars.Vogel'), ('Lars.Vogel', '2019-08-08 04:59:51 EDT', 'Lars.Vogel'), ('aobuchow', '2019-08-08 09:29:08 EDT', 'andrew'), ('noopur_gupta', '2019-09-16 05:57:55 EDT', 'noopur_gupta'), ('CLOSED', '2019-09-16 05:57:55 EDT', 'noopur_gupta'), ('DUPLICATE', '2019-09-16 05:57:55 EDT', 'noopur_gupta')]</t>
  </si>
  <si>
    <t>2019-08-08 05:22 EDT</t>
  </si>
  <si>
    <t>2019-08-08 09:28:18 EDT</t>
  </si>
  <si>
    <t>2019-08-12 11:22:12 EDT</t>
  </si>
  <si>
    <t>[('CREATED', '2019-08-08 05:22 EDT'), ('aobuchow', '2019-08-08 09:28:18 EDT', 'andrew'), ('rgrunber', '2019-08-08 09:50:56 EDT', 'rgrunber'), ('rolf.theunissen', '2019-08-08 15:07:03 EDT', 'rolf.theunissen'), ('JDT', '2019-08-08 15:07:03 EDT', 'rolf.theunissen'), ('jdt-ui-inbox', '2019-08-08 15:07:03 EDT', 'rolf.theunissen'), ('UI', '2019-08-08 15:07:03 EDT', 'rolf.theunissen'), ('mistria', '2019-08-12 11:22:12 EDT', 'mistria')]</t>
  </si>
  <si>
    <t>128883 (view as bug list)</t>
  </si>
  <si>
    <t>2019-08-13 17:24:41 EDT</t>
  </si>
  <si>
    <t>2020-04-07 12:58:38 EDT</t>
  </si>
  <si>
    <t>2019-08-08 16:07 EDT</t>
  </si>
  <si>
    <t>2019-08-08 16:09:42 EDT</t>
  </si>
  <si>
    <t>2021-01-14 12:57:04 EST</t>
  </si>
  <si>
    <t>[('CREATED', '2019-08-08 16:07 EDT'), ('jjohnstn', '2019-08-08 16:09:42 EDT', 'fabrice.tiercelin'), ('https://git.eclipse.org/r/147304', '2019-08-08 16:11:53 EDT', 'genie'), ('https://git.eclipse.org/r/147306', '2019-08-08 16:29:07 EDT', 'genie'), ('https://git.eclipse.org/c/jdt/eclipse.jdt.ui.git/commit/?id=f35cbbf702eca4e4cbbc3c34eda461b9e697e9e5', '2019-08-13 17:14:24 EDT', 'genie'), ('https://git.eclipse.org/c/www.eclipse.org/eclipse/news.git/commit/?id=863d20260ca7b47334a0565c8adc89c4cc71a6b3', '2019-08-13 17:18:37 EDT', 'genie'), ('RESOLVED', '2019-08-13 17:24:41 EDT', 'jjohnstn'), ('FIXED', '2019-08-13 17:24:41 EDT', 'jjohnstn'), ('4.13 M3', '2019-08-13 17:24:41 EDT', 'jjohnstn'), ('Lars.Vogel', '2019-08-13 18:30:09 EDT', 'Lars.Vogel'), ('550060', '2019-08-14 06:32:07 EDT', 'Lars.Vogel'), ('pyvesdev', '2019-08-14 10:05:14 EDT', 'pyvesdev'), ('552534', '2019-10-31 06:25:34 EDT', 'noopur_gupta'), ('fabrice.tiercelin', '2019-10-31 06:26:15 EDT', 'noopur_gupta'), ('559058', '2020-01-16 06:06:40 EST', 'noopur_gupta'), ('jdt-ui-inbox', '2020-01-29 15:05:17 EST', 'fabrice.tiercelin'), ('fabrice.tiercelin', '2020-01-30 02:40:04 EST', 'fabrice.tiercelin'), ('VERIFIED', '2020-04-07 12:58:38 EDT', 'fabrice.tiercelin'), ('jjohnstn', '2020-04-07 12:59:10 EDT', 'fabrice.tiercelin'), ('stephan.herrmann', '2020-05-09 07:50:19 EDT', 'stephan.herrmann'), ('carsten.hammer', '2021-01-14 11:44:54 EST', 'carsten.hammer'), ('akiezun', '2021-01-14 12:57:04 EST', 'fabrice.tiercelin')]</t>
  </si>
  <si>
    <t>2019-08-13 13:57:49 EDT</t>
  </si>
  <si>
    <t>2019-08-21 14:09:14 EDT</t>
  </si>
  <si>
    <t>2019-08-12 18:05 EDT</t>
  </si>
  <si>
    <t>2019-08-12 18:05:56 EDT</t>
  </si>
  <si>
    <t>[('CREATED', '2019-08-12 18:05 EDT'), ('jjohnstn', '2019-08-12 18:05:56 EDT', 'jjohnstn'), ('https://git.eclipse.org/r/147577', '2019-08-12 19:45:55 EDT', 'genie'), ('https://git.eclipse.org/c/jdt/eclipse.jdt.ui.git/commit/?id=fc3d89d85183e126a78fc5d757a865fdf5efd9bd', '2019-08-12 20:47:13 EDT', 'genie'), ('4.13 M3', '2019-08-13 13:57:49 EDT', 'jjohnstn'), ('FIXED', '2019-08-13 13:57:49 EDT', 'jjohnstn'), ('RESOLVED', '2019-08-13 13:57:49 EDT', 'jjohnstn'), ('jjohnstn', '2019-08-13 13:57:57 EDT', 'jjohnstn'), ('VERIFIED', '2019-08-21 14:09:14 EDT', 'jjohnstn')]</t>
  </si>
  <si>
    <t>2019-10-09 01:42:49 EDT</t>
  </si>
  <si>
    <t>2019-10-09 17:56:45 EDT</t>
  </si>
  <si>
    <t>2019-08-12 23:23 EDT</t>
  </si>
  <si>
    <t>2019-08-13 01:55:19 EDT</t>
  </si>
  <si>
    <t>[('CREATED', '2019-08-12 23:23 EDT'), ('https://git.eclipse.org/r/147586', '2019-08-13 01:55:19 EDT', 'genie'), (nan, '2019-08-13 02:48:32 EDT', 'sheche'), ('https://git.eclipse.org/r/147588', '2019-08-13 03:31:05 EDT', 'genie'), ('https://git.eclipse.org/r/147591', '2019-08-13 03:47:07 EDT', 'genie'), ('https://git.eclipse.org/c/jdt/eclipse.jdt.ui.git/commit/?id=706f8bc8875b955f6ce2c055c26526c196a2d1a1', '2019-08-13 12:08:50 EDT', 'genie'), ('https://git.eclipse.org/c/jdt/eclipse.jdt.ui.git/commit/?id=8093f53627786514d79829e6abd63fef6a6ac102', '2019-08-14 13:16:50 EDT', 'genie'), ('https://git.eclipse.org/r/147755', '2019-08-14 22:37:04 EDT', 'genie'), ('https://git.eclipse.org/r/147868', '2019-08-17 02:09:16 EDT', 'genie'), ('https://git.eclipse.org/c/jdt/eclipse.jdt.debug.git/commit/?id=5b9ef10d03b499bfbd55e9dec148186c83403bbe', '2019-09-12 15:29:02 EDT', 'genie'), ('https://git.eclipse.org/c/jdt/eclipse.jdt.ui.git/commit/?id=e4168f008f3fb30cdc092e399e6ae0dc3c0729fb', '2019-09-12 17:16:28 EDT', 'genie'), ('https://git.eclipse.org/r/149566', '2019-09-16 04:47:08 EDT', 'genie'), ('https://git.eclipse.org/c/jdt/eclipse.jdt.ui.git/commit/?id=def0f851fa5c32563a9b7cac3d088166ae6e71cf', '2019-09-26 11:08:46 EDT', 'genie'), ('https://git.eclipse.org/r/150220', '2019-09-26 22:24:40 EDT', 'genie'), ('https://git.eclipse.org/c/jdt/eclipse.jdt.ui.git/commit/?id=fc38f313784d64ef37b0af870f83ffdb6d09a29a', '2019-09-27 14:15:15 EDT', 'genie'), ('Ed.Merks', '2019-09-27 22:57:47 EDT', 'Ed.Merks'), ('akurtakov', '2019-09-28 02:23:02 EDT', 'akurtakov'), ('Vikas.Chandra', '2019-09-30 01:30:55 EDT', 'Vikas.Chandra'), ('stephan.herrmann', '2019-10-01 08:44:10 EDT', 'stephan.herrmann'), ('rgrunber', '2019-10-01 13:32:35 EDT', 'rgrunber'), ('ASSIGNED', '2019-10-01 15:56:03 EDT', 'rgrunber'), ('4.14 M1', '2019-10-01 15:56:03 EDT', 'rgrunber'), ('sheche', '2019-10-01 15:56:03 EDT', 'rgrunber'), ('jjohnstn', '2019-10-01 15:56:03 EDT', 'rgrunber'), ('sebastian.ratz', '2019-10-01 18:05:15 EDT', 'sebastian.ratz'), ('https://git.eclipse.org/r/150460', '2019-10-01 18:16:46 EDT', 'genie'), ('https://git.eclipse.org/c/jdt/eclipse.jdt.ui.git/commit/?id=1e6016316d686953436c9deee17576bf3a81b4f2', '2019-10-02 14:13:47 EDT', 'genie'), ('FIXED', '2019-10-09 01:42:49 EDT', 'noopur_gupta'), ('RESOLVED', '2019-10-09 01:42:49 EDT', 'noopur_gupta'), ('VERIFIED', '2019-10-09 17:56:45 EDT', 'jjohnstn')]</t>
  </si>
  <si>
    <t>2020-10-30 02:52:15 EDT</t>
  </si>
  <si>
    <t>2019-08-13 08:01 EDT</t>
  </si>
  <si>
    <t>2019-08-13 08:03:02 EDT</t>
  </si>
  <si>
    <t>[('CREATED', '2019-08-13 08:01 EDT'), ('Lars.Vogel', '2019-08-13 08:03:02 EDT', 'Lars.Vogel'), ('jarthana', '2019-08-13 10:25:56 EDT', 'jarthana'), ('UI', '2019-08-13 10:25:56 EDT', 'jarthana'), ('jdt-ui-inbox', '2019-08-13 10:25:56 EDT', 'jarthana'), ('https://bugs.eclipse.org/bugs/show_bug.cgi?id=549848', '2019-08-13 18:26:12 EDT', 'Lars.Vogel'), ('jjohnstn', '2020-10-29 18:41:29 EDT', 'jjohnstn'), ('RESOLVED', '2020-10-30 02:52:15 EDT', 'Lars.Vogel'), ('WORKSFORME', '2020-10-30 02:52:15 EDT', 'Lars.Vogel')]</t>
  </si>
  <si>
    <t>2019-08-15 03:25:21 EDT</t>
  </si>
  <si>
    <t>2019-08-15 03:25:45 EDT</t>
  </si>
  <si>
    <t>2019-08-14 03:46 EDT</t>
  </si>
  <si>
    <t>2019-08-14 03:47:52 EDT</t>
  </si>
  <si>
    <t>2019-08-15 06:05:47 EDT</t>
  </si>
  <si>
    <t>[('CREATED', '2019-08-14 03:46 EDT'), ('rgrunber', '2019-08-14 03:47:52 EDT', 'daniel_megert'), ('4.13 M3', '2019-08-14 03:47:52 EDT', 'daniel_megert'), ('Lars.Vogel', '2019-08-14 03:47:52 EDT', 'daniel_megert'), ('4.13', '2019-08-14 03:47:52 EDT', 'daniel_megert'), ('https://git.eclipse.org/r/147684', '2019-08-14 04:30:07 EDT', 'genie'), ('akurtakov', '2019-08-14 11:34:20 EDT', 'akurtakov'), ('ASSIGNED', '2019-08-14 12:13:33 EDT', 'rgrunber'), ('https://git.eclipse.org/c/jdt/eclipse.jdt.ui.git/commit/?id=c97d4f915e64fe229e1bb4bcbd93c256b2937835', '2019-08-14 16:19:24 EDT', 'genie'), ('FIXED', '2019-08-15 03:25:21 EDT', 'daniel_megert'), ('RESOLVED', '2019-08-15 03:25:21 EDT', 'daniel_megert'), ('VERIFIED', '2019-08-15 03:25:45 EDT', 'daniel_megert'), ('2 compile warnings in official build', '2019-08-15 06:05:47 EDT', 'daniel_megert')]</t>
  </si>
  <si>
    <t>548002</t>
  </si>
  <si>
    <t>2019-08-30 04:24:11 EDT</t>
  </si>
  <si>
    <t>2019-09-04 02:47:16 EDT</t>
  </si>
  <si>
    <t>2019-08-23 02:41:19 EDT</t>
  </si>
  <si>
    <t>2019-08-29 09:09:36 EDT</t>
  </si>
  <si>
    <t>2019-08-22 09:08 EDT</t>
  </si>
  <si>
    <t>2019-08-22 09:14:54 EDT</t>
  </si>
  <si>
    <t>[('CREATED', '2019-08-22 09:08 EDT'), ('stephan.herrmann', '2019-08-22 09:14:54 EDT', 'stephan.herrmann'), ('UI', '2019-08-22 09:14:54 EDT', 'stephan.herrmann'), ('jdt-ui-inbox', '2019-08-22 09:14:54 EDT', 'stephan.herrmann'), ('noopur_gupta', '2019-08-22 14:37:28 EDT', 'noopur_gupta'), ('WORKSFORME', '2019-08-23 02:41:19 EDT', 'noopur_gupta'), ('RESOLVED', '2019-08-23 02:41:19 EDT', 'noopur_gupta'), ('jjohnstn', '2019-08-29 09:09:36 EDT', 'noopur_gupta'), ('---', '2019-08-29 09:09:36 EDT', 'noopur_gupta'), ('daniel_megert', '2019-08-29 09:09:36 EDT', 'noopur_gupta'), ('REOPENED', '2019-08-29 09:09:36 EDT', 'noopur_gupta'), ('All', '2019-08-29 09:10:03 EDT', 'noopur_gupta'), ('ASSIGNED', '2019-08-29 09:10:03 EDT', 'noopur_gupta'), ('All', '2019-08-29 09:10:03 EDT', 'noopur_gupta'), ('4.13 RC2', '2019-08-29 09:10:03 EDT', 'noopur_gupta'), ('https://git.eclipse.org/r/148592', '2019-08-29 11:38:18 EDT', 'genie'), ('pmc_approved?(Lars.Vogel), review+', '2019-08-30 03:10:50 EDT', 'noopur_gupta'), ('Lars.Vogel', '2019-08-30 03:10:50 EDT', 'noopur_gupta'), ('pmc_approved+', '2019-08-30 03:42:47 EDT', 'Lars.Vogel'), ('https://git.eclipse.org/c/jdt/eclipse.jdt.ui.git/commit/?id=50b5c734f20a0e8bb0febfc5f9d1dd00b81e2078', '2019-08-30 04:23:37 EDT', 'genie'), ('RESOLVED', '2019-08-30 04:24:11 EDT', 'noopur_gupta'), ('FIXED', '2019-08-30 04:24:11 EDT', 'noopur_gupta'), ('548002', '2019-09-03 04:02:43 EDT', 'noopur_gupta'), ('VERIFIED', '2019-09-04 02:47:16 EDT', 'noopur_gupta')]</t>
  </si>
  <si>
    <t>550458</t>
  </si>
  <si>
    <t>548964</t>
  </si>
  <si>
    <t>2019-08-28 15:06:41 EDT</t>
  </si>
  <si>
    <t>2019-08-28 15:13:11 EDT</t>
  </si>
  <si>
    <t>2019-08-23 06:46 EDT</t>
  </si>
  <si>
    <t>2019-08-23 06:51:23 EDT</t>
  </si>
  <si>
    <t>[('CREATED', '2019-08-23 06:46 EDT'), ('4.13 RC1', '2019-08-23 06:51:23 EDT', 'noopur_gupta'), ('daniel_megert, rgrunber, sarika.sinha', '2019-08-23 06:51:23 EDT', 'noopur_gupta'), ('stephan.herrmann', '2019-08-23 15:56:40 EDT', 'stephan.herrmann'), ('sam', '2019-08-26 04:08:19 EDT', 'noopur_gupta'), ('sormuras', '2019-08-26 08:33:28 EDT', 'sormuras'), ('https://git.eclipse.org/r/148350', '2019-08-26 09:34:32 EDT', 'genie'), ('noopur_gupta', '2019-08-26 09:37:12 EDT', 'noopur_gupta'), ('All', '2019-08-26 09:37:12 EDT', 'noopur_gupta'), ('ASSIGNED', '2019-08-26 09:37:12 EDT', 'noopur_gupta'), ('noopur_gupta', '2019-08-26 09:37:12 EDT', 'noopur_gupta'), ('All', '2019-08-26 09:37:12 EDT', 'noopur_gupta'), ('548964', '2019-08-26 09:37:12 EDT', 'noopur_gupta'), ('pmc_approved?(daniel_megert), review?(rgrunber)', '2019-08-26 09:46:42 EDT', 'noopur_gupta'), ('pmc_approved+', '2019-08-26 09:52:41 EDT', 'daniel_megert'), ('gunnar', '2019-08-26 10:07:41 EDT', 'rgrunber'), ('https://git.eclipse.org/c/orbit/orbit-recipes.git/commit/?id=3e081254fc1fc0d9f5f3de2a00ebb715c56b7d23', '2019-08-26 11:13:58 EDT', 'genie'), ('review+', '2019-08-26 16:53:37 EDT', 'rgrunber'), ('550458', '2019-08-27 00:34:37 EDT', 'sarika.sinha'), ('FIXED', '2019-08-28 15:06:41 EDT', 'noopur_gupta'), ('RESOLVED', '2019-08-28 15:06:41 EDT', 'noopur_gupta'), ('VERIFIED', '2019-08-28 15:13:11 EDT', 'noopur_gupta')]</t>
  </si>
  <si>
    <t>561379 562616</t>
  </si>
  <si>
    <t>2020-02-12 23:50:34 EST</t>
  </si>
  <si>
    <t>2020-11-21 03:45:33 EST</t>
  </si>
  <si>
    <t>2020-01-22 17:52:32 EST</t>
  </si>
  <si>
    <t>2019-08-23 14:40 EDT</t>
  </si>
  <si>
    <t>2019-08-23 14:44:49 EDT</t>
  </si>
  <si>
    <t>[('CREATED', '2019-08-23 14:40 EDT'), ('https://git.eclipse.org/r/148248', '2019-08-23 14:44:49 EDT', 'genie'), ('https://git.eclipse.org/r/148249', '2019-08-23 14:45:32 EDT', 'genie'), ('jjohnstn', '2019-08-23 14:46:46 EDT', 'fabrice.tiercelin'), ('Lars.Vogel', '2019-08-29 14:25:34 EDT', 'fabrice.tiercelin'), ('https://bugs.eclipse.org/bugs/show_bug.cgi?id=551407', '2019-12-07 06:07:55 EST', 'pyvesdev'), ('https://git.eclipse.org/c/jdt/eclipse.jdt.ui.git/commit/?id=370be844759aef0cc8d76309a999a0aca2b2f8cc', '2020-01-22 14:25:59 EST', 'genie'), ('RESOLVED', '2020-01-22 14:31:54 EST', 'jjohnstn'), ('jjohnstn', '2020-01-22 14:31:54 EST', 'jjohnstn'), ('4.15 M3', '2020-01-22 14:31:54 EST', 'jjohnstn'), ('FIXED', '2020-01-22 14:31:54 EST', 'jjohnstn'), ('https://git.eclipse.org/r/156382', '2020-01-22 17:03:27 EST', 'genie'), ('https://git.eclipse.org/c/jdt/eclipse.jdt.ui.git/commit/?id=a3c629b52383f910fe6ded17e0ad7dab97c476a8', '2020-01-22 17:49:59 EST', 'genie'), ('---', '2020-01-22 17:52:32 EST', 'jjohnstn'), ('REOPENED', '2020-01-22 17:52:32 EST', 'jjohnstn'), ('fabrice.tiercelin', '2020-01-23 00:40:09 EST', 'fabrice.tiercelin'), ('https://git.eclipse.org/r/156388', '2020-01-23 00:47:07 EST', 'genie'), ('https://git.eclipse.org/c/jdt/eclipse.jdt.ui.git/commit/?id=32e1a8524a2a17a479a14b2007c9725fba14d13d', '2020-02-09 22:30:04 EST', 'genie'), ('noteworthy', '2020-02-11 16:39:42 EST', 'Lars.Vogel'), ('https://git.eclipse.org/c/www.eclipse.org/eclipse/news.git/commit/?id=edf38a0a4e07527283e72805828a02cbe629d0a5', '2020-02-12 16:27:39 EST', 'genie'), ('FIXED', '2020-02-12 23:50:34 EST', 'fabrice.tiercelin'), ('RESOLVED', '2020-02-12 23:50:34 EST', 'fabrice.tiercelin'), ('561379', '2020-03-24 03:24:57 EDT', 'noopur_gupta'), ('562616', '2020-04-30 05:56:26 EDT', 'noopur_gupta'), ('VERIFIED', '2020-11-21 03:45:33 EST', 'fabrice.tiercelin')]</t>
  </si>
  <si>
    <t>2019-09-13 21:46:45 EDT</t>
  </si>
  <si>
    <t>2019-08-28 03:27 EDT</t>
  </si>
  <si>
    <t>2019-08-28 04:59:18 EDT</t>
  </si>
  <si>
    <t>sheche</t>
  </si>
  <si>
    <t>[('CREATED', '2019-08-28 03:27 EDT'), ('https://git.eclipse.org/r/148496', '2019-08-28 04:59:18 EDT', 'genie'), ('https://git.eclipse.org/c/jdt/eclipse.jdt.ui.git/commit/?id=fdc1b16b9270069359628d638341676b1cbfbc4e', '2019-09-13 15:23:19 EDT', 'genie'), ('FIXED', '2019-09-13 21:46:45 EDT', 'sheche'), ('RESOLVED', '2019-09-13 21:46:45 EDT', 'sheche')]</t>
  </si>
  <si>
    <t>550209</t>
  </si>
  <si>
    <t>2019-09-20 02:03:28 EDT</t>
  </si>
  <si>
    <t>2019-09-04 06:08 EDT</t>
  </si>
  <si>
    <t>2019-09-04 06:09:44 EDT</t>
  </si>
  <si>
    <t>[('CREATED', '2019-09-04 06:08 EDT'), ('Lars.Vogel, paul-eclipse', '2019-09-04 06:09:44 EDT', 'Lars.Vogel'), ('rgrunber', '2019-09-04 06:11:35 EDT', 'Lars.Vogel'), ('https://git.eclipse.org/r/148885', '2019-09-04 06:59:41 EDT', 'genie'), ('https://bugs.eclipse.org/bugs/show_bug.cgi?id=550744', '2019-09-04 08:25:51 EDT', 'Lars.Vogel'), ('550209', '2019-09-04 08:42:03 EDT', 'Lars.Vogel'), ('https://git.eclipse.org/c/jdt/eclipse.jdt.ui.git/commit/?id=9d84dfa387768e9d3e0526028930c7bbf5f0f6e3', '2019-09-19 17:45:07 EDT', 'genie'), ('4.14 M1', '2019-09-20 02:02:52 EDT', 'Lars.Vogel'), ('paul-eclipse', '2019-09-20 02:02:52 EDT', 'Lars.Vogel'), ('RESOLVED', '2019-09-20 02:03:28 EDT', 'Lars.Vogel'), ('FIXED', '2019-09-20 02:03:28 EDT', 'Lars.Vogel')]</t>
  </si>
  <si>
    <t>2019-09-09 07:55 EDT</t>
  </si>
  <si>
    <t>2019-09-09 07:55:18 EDT</t>
  </si>
  <si>
    <t>2019-12-07 13:14:15 EST</t>
  </si>
  <si>
    <t>[('CREATED', '2019-09-09 07:55 EDT'), ('All', '2019-09-09 07:55:18 EDT', 'Lars.Vogel'), ('Lars.Vogel', '2019-09-09 07:55:18 EDT', 'Lars.Vogel'), ('stephan.herrmann', '2019-09-09 10:08:25 EDT', 'stephan.herrmann'), ('https://bugs.eclipse.org/bugs/show_bug.cgi?id=557993', '2019-12-07 13:14:15 EST', 'stephan.herrmann')]</t>
  </si>
  <si>
    <t>558635</t>
  </si>
  <si>
    <t>2019-10-28 18:33:37 EDT</t>
  </si>
  <si>
    <t>2019-11-19 20:54:59 EST</t>
  </si>
  <si>
    <t>2019-09-09 14:08 EDT</t>
  </si>
  <si>
    <t>2019-09-09 14:09:05 EDT</t>
  </si>
  <si>
    <t>2020-02-21 14:48:54 EST</t>
  </si>
  <si>
    <t>[('CREATED', '2019-09-09 14:08 EDT'), ('jjohnstn, Lars.Vogel', '2019-09-09 14:09:05 EDT', 'fabrice.tiercelin'), ('https://git.eclipse.org/r/149197', '2019-09-09 14:10:09 EDT', 'genie'), ('https://git.eclipse.org/r/149927', '2019-09-20 14:40:32 EDT', 'genie'), ('https://git.eclipse.org/c/jdt/eclipse.jdt.ui.git/commit/?id=de42edc44184bc4d172d69317500f417a4479a0b', '2019-09-26 18:13:34 EDT', 'genie'), ('https://git.eclipse.org/r/150284', '2019-09-27 18:55:32 EDT', 'genie'), ('https://git.eclipse.org/r/150298', '2019-10-28 17:15:09 EDT', 'genie'), ('https://git.eclipse.org/c/jdt/eclipse.jdt.ui.git/commit/?id=6fe286944ed7f3f7855c7471d582ca0efc827b4f', '2019-10-28 18:32:44 EDT', 'genie'), ('jjohnstn', '2019-10-28 18:33:37 EDT', 'jjohnstn'), ('RESOLVED', '2019-10-28 18:33:37 EDT', 'jjohnstn'), ('FIXED', '2019-10-28 18:33:37 EDT', 'jjohnstn'), ('4.14 M3', '2019-10-28 18:33:37 EDT', 'jjohnstn'), ('jjohnstn', '2019-11-19 20:54:59 EST', 'jjohnstn'), ('VERIFIED', '2019-11-19 20:54:59 EST', 'jjohnstn'), ('rgrunber', '2019-11-25 14:05:27 EST', 'fabrice.tiercelin'), ('https://git.eclipse.org/c/www.eclipse.org/eclipse/news.git/commit/?id=101ec874c3ea36bcb04aa180dcc59cf977c16912', '2019-11-25 14:41:05 EST', 'genie'), ('558635', '2019-12-27 01:14:56 EST', 'noopur_gupta'), ('fabrice.tiercelin', '2020-02-21 14:48:54 EST', 'fabrice.tiercelin')]</t>
  </si>
  <si>
    <t>550996</t>
  </si>
  <si>
    <t>549473</t>
  </si>
  <si>
    <t>2019-09-12 09:01:21 EDT</t>
  </si>
  <si>
    <t>2019-09-12 04:29 EDT</t>
  </si>
  <si>
    <t>2019-09-12 04:29:31 EDT</t>
  </si>
  <si>
    <t>[('CREATED', '2019-09-12 04:29 EDT'), ('BETA J13', '2019-09-12 04:29:31 EDT', 'kalyan_prasad'), ('549473', '2019-09-12 04:30:55 EDT', 'kalyan_prasad'), ('kalyan_prasad', '2019-09-12 04:31:09 EDT', 'kalyan_prasad'), ('https://git.eclipse.org/r/149406', '2019-09-12 05:19:46 EDT', 'genie'), ('550996', '2019-09-12 05:23:07 EDT', 'kalyan_prasad'), ('https://git.eclipse.org/c/jdt/eclipse.jdt.ui.git/commit/?id=55dc116ab4fec031a3ab8e6606e70730a2e17f89', '2019-09-12 09:01:06 EDT', 'genie'), ('RESOLVED', '2019-09-12 09:01:21 EDT', 'kalyan_prasad'), ('FIXED', '2019-09-12 09:01:21 EDT', 'kalyan_prasad')]</t>
  </si>
  <si>
    <t>2019-09-13 04:23 EDT</t>
  </si>
  <si>
    <t>2019-09-26 02:49:15 EDT</t>
  </si>
  <si>
    <t>[('CREATED', '2019-09-13 04:23 EDT'), ('jdt-ui-inbox', '2019-09-26 02:49:15 EDT', 'manpalat'), ('UI', '2019-09-26 02:49:15 EDT', 'manpalat')]</t>
  </si>
  <si>
    <t>2020-03-09 14:11:40 EDT</t>
  </si>
  <si>
    <t>2019-09-20 02:53 EDT</t>
  </si>
  <si>
    <t>2019-09-20 03:10:00 EDT</t>
  </si>
  <si>
    <t>[('CREATED', '2019-09-20 02:53 EDT'), ('https://git.eclipse.org/r/149882', '2019-09-20 03:10:00 EDT', 'genie'), ('https://git.eclipse.org/c/jdt/eclipse.jdt.ui.git/commit/?id=759e78e5b2d8ec244443b2e36c8ad5e0a21295a3', '2019-09-25 10:36:05 EDT', 'genie'), ('RESOLVED', '2020-03-09 14:11:40 EDT', 'fabrice.tiercelin'), ('fabrice.tiercelin', '2020-03-09 14:11:40 EDT', 'fabrice.tiercelin'), ('FIXED', '2020-03-09 14:11:40 EDT', 'fabrice.tiercelin')]</t>
  </si>
  <si>
    <t>2019-10-31 13:48:55 EDT</t>
  </si>
  <si>
    <t>2019-09-21 16:39 EDT</t>
  </si>
  <si>
    <t>2019-09-21 16:42:44 EDT</t>
  </si>
  <si>
    <t>[('CREATED', '2019-09-21 16:39 EDT'), ('https://git.eclipse.org/r/149949', '2019-09-21 16:42:44 EDT', 'genie'), ('rgrunber', '2019-10-31 11:43:12 EDT', 'rgrunber'), ('WORKSFORME', '2019-10-31 13:48:55 EDT', 'kenneth'), ('CLOSED', '2019-10-31 13:48:55 EDT', 'kenneth')]</t>
  </si>
  <si>
    <t>CLOSED  DUPLICATE  of bug 551614</t>
  </si>
  <si>
    <t>2020-01-25 07:23:41 EST</t>
  </si>
  <si>
    <t>2020-01-28 15:58:51 EST</t>
  </si>
  <si>
    <t>2019-09-24 07:28 EDT</t>
  </si>
  <si>
    <t>2019-09-24 07:30:13 EDT</t>
  </si>
  <si>
    <t>[('CREATED', '2019-09-24 07:28 EDT'), ('jjohnstn, Lars.Vogel', '2019-09-24 07:30:13 EDT', 'fabrice.tiercelin'), ('https://git.eclipse.org/r/149987', '2019-09-24 07:31:30 EDT', 'genie'), ('stephan.herrmann', '2019-09-24 08:54:42 EDT', 'stephan.herrmann'), ('loskutov', '2019-09-24 09:15:11 EDT', 'loskutov'), ('[cleanup &amp; saveaction] ASTNodes.usesGivenSignature() is improved and other enhancements', '2019-09-24 10:58:44 EDT', 'fabrice.tiercelin'), ('[cleanup &amp; saveaction] ASTNodes.usesGivenSignature() is improved', '2019-09-25 13:17:20 EDT', 'fabrice.tiercelin'), ('pyvesdev', '2019-12-07 05:33:40 EST', 'pyvesdev'), ('https://bugs.eclipse.org/bugs/show_bug.cgi?id=551614', '2019-12-07 05:33:40 EST', 'pyvesdev'), ('https://bugs.eclipse.org/bugs/show_bug.cgi?id=550394', '2019-12-07 06:07:55 EST', 'pyvesdev'), ('RESOLVED', '2020-01-25 07:23:41 EST', 'fabrice.tiercelin'), ('MOVED', '2020-01-25 07:23:41 EST', 'fabrice.tiercelin'), ('CLOSED', '2020-01-28 15:58:51 EST', 'jjohnstn'), ('DUPLICATE', '2020-01-28 15:58:51 EST', 'jjohnstn')]</t>
  </si>
  <si>
    <t>564628</t>
  </si>
  <si>
    <t>2020-03-26 01:33:01 EDT</t>
  </si>
  <si>
    <t>2020-06-02 11:31:31 EDT</t>
  </si>
  <si>
    <t>2019-09-29 01:16 EDT</t>
  </si>
  <si>
    <t>2019-09-29 01:17:21 EDT</t>
  </si>
  <si>
    <t>2020-06-25 01:42:35 EDT</t>
  </si>
  <si>
    <t>[('CREATED', '2019-09-29 01:16 EDT'), ('https://git.eclipse.org/r/150323', '2019-09-29 01:17:21 EDT', 'genie'), ('jjohnstn, Lars.Vogel', '2019-09-29 01:18:28 EDT', 'fabrice.tiercelin'), ('https://git.eclipse.org/r/150324', '2019-09-29 02:17:02 EDT', 'genie'), ('akurtakov', '2019-12-05 03:07:39 EST', 'fabrice.tiercelin'), ('akurtakov', '2019-12-05 05:36:39 EST', 'fabrice.tiercelin'), ('ASSIGNED', '2019-12-05 05:37:09 EST', 'fabrice.tiercelin'), ('rgrunber', '2020-01-08 09:06:54 EST', 'akurtakov'), ('rgrunber', '2020-01-08 14:02:27 EST', 'fabrice.tiercelin'), (nan, '2020-01-08 14:02:42 EST', 'fabrice.tiercelin'), ('fabrice.tiercelin', '2020-01-25 07:21:09 EST', 'fabrice.tiercelin'), ('rgrunber', '2020-01-25 07:21:09 EST', 'fabrice.tiercelin'), ('https://git.eclipse.org/c/jdt/eclipse.jdt.ui.git/commit/?id=4b2499a58db21796001ba593acf120b51e3a1466', '2020-03-25 17:48:24 EDT', 'genie'), ('FIXED', '2020-03-26 01:33:01 EDT', 'fabrice.tiercelin'), ('RESOLVED', '2020-03-26 01:33:01 EDT', 'fabrice.tiercelin'), ('https://git.eclipse.org/r/160052', '2020-03-26 12:23:33 EDT', 'genie'), ('4.16 M1', '2020-03-27 04:43:23 EDT', 'fabrice.tiercelin'), ('https://git.eclipse.org/c/jdt/eclipse.jdt.ui.git/commit/?id=2ba731186b12949285e01b4bced6b04cbb6d8e55', '2020-04-06 11:12:56 EDT', 'genie'), ('stephan.herrmann', '2020-05-03 10:18:43 EDT', 'stephan.herrmann'), ('https://git.eclipse.org/r/163206', '2020-05-18 17:31:55 EDT', 'genie'), ('https://git.eclipse.org/c/jdt/eclipse.jdt.ui.git/commit/?id=67fde21e39179b53908f50449bdb599a4926d701', '2020-05-18 17:55:21 EDT', 'genie'), ('https://git.eclipse.org/c/www.eclipse.org/eclipse/news.git/commit/?id=78d5597bcb13f04fbfcf7bc3b8e9e35f3bbe5169', '2020-05-19 12:42:08 EDT', 'genie'), ('VERIFIED', '2020-06-02 11:31:31 EDT', 'rgrunber'), ('4.16 M3', '2020-06-02 11:31:31 EDT', 'rgrunber'), ('564628', '2020-06-25 01:42:35 EDT', 'noopur_gupta')]</t>
  </si>
  <si>
    <t>2019-10-02 19:27:38 EDT</t>
  </si>
  <si>
    <t>2019-10-09 17:58:48 EDT</t>
  </si>
  <si>
    <t>2019-09-29 02:44 EDT</t>
  </si>
  <si>
    <t>2019-09-29 03:06:31 EDT</t>
  </si>
  <si>
    <t>[('CREATED', '2019-09-29 02:44 EDT'), ('https://git.eclipse.org/r/150325', '2019-09-29 03:06:31 EDT', 'genie'), ('https://git.eclipse.org/c/jdt/eclipse.jdt.ui.git/commit/?id=a528b66c534a2d6f878a222c7ff31ee4cdd02a8c', '2019-10-02 19:22:55 EDT', 'genie'), ('jjohnstn', '2019-10-02 19:27:38 EDT', 'jjohnstn'), ('FIXED', '2019-10-02 19:27:38 EDT', 'jjohnstn'), ('jjohnstn', '2019-10-02 19:27:38 EDT', 'jjohnstn'), ('4.14 M1', '2019-10-02 19:27:38 EDT', 'jjohnstn'), ('RESOLVED', '2019-10-02 19:27:38 EDT', 'jjohnstn'), ('jjohnstn', '2019-10-09 10:25:17 EDT', 'jjohnstn'), ('VERIFIED', '2019-10-09 17:58:48 EDT', 'jjohnstn')]</t>
  </si>
  <si>
    <t>551407 (view as bug list)</t>
  </si>
  <si>
    <t>2020-01-17 23:49:02 EST</t>
  </si>
  <si>
    <t>2020-11-21 03:45:23 EST</t>
  </si>
  <si>
    <t>2019-09-30 02:02 EDT</t>
  </si>
  <si>
    <t>2019-09-30 02:02:52 EDT</t>
  </si>
  <si>
    <t>[('CREATED', '2019-09-30 02:02 EDT'), ('jjohnstn, Lars.Vogel', '2019-09-30 02:02:52 EDT', 'fabrice.tiercelin'), ('https://git.eclipse.org/r/150348', '2019-09-30 02:18:09 EDT', 'genie'), ('pyvesdev', '2019-12-05 05:32:45 EST', 'fabrice.tiercelin'), ('ASSIGNED', '2019-12-05 05:35:43 EST', 'fabrice.tiercelin'), ('pyvesdev', '2019-12-05 05:36:07 EST', 'fabrice.tiercelin'), ('4.15 M1', '2019-12-05 05:38:43 EST', 'Lars.Vogel'), ('Lars.Vogel', '2019-12-05 05:38:43 EST', 'Lars.Vogel'), ('https://bugs.eclipse.org/bugs/show_bug.cgi?id=551407', '2019-12-07 05:33:41 EST', 'pyvesdev'), ('jdt-ui-inbox', '2019-12-14 07:52:36 EST', 'pyvesdev'), ('4.15 M3', '2020-01-07 00:46:51 EST', 'noopur_gupta'), ('fabrice.tiercelin', '2020-01-16 06:25:10 EST', 'fabrice.tiercelin'), ('https://git.eclipse.org/c/jdt/eclipse.jdt.ui.git/commit/?id=1ad504353002ae3031c9447ec31a684f5f0c57e3', '2020-01-17 23:33:15 EST', 'genie'), ('FIXED', '2020-01-17 23:49:02 EST', 'fabrice.tiercelin'), ('RESOLVED', '2020-01-17 23:49:02 EST', 'fabrice.tiercelin'), ('jjohnstn', '2020-01-18 00:58:35 EST', 'jjohnstn'), ('jjohnstn', '2020-01-18 00:58:35 EST', 'jjohnstn'), ('559058', '2020-01-20 17:54:07 EST', 'jjohnstn'), ('jdt-ui-inbox', '2020-01-29 15:04:39 EST', 'fabrice.tiercelin'), ('fabrice.tiercelin', '2020-01-30 02:40:14 EST', 'fabrice.tiercelin'), ('https://git.eclipse.org/r/158106', '2020-02-22 00:52:08 EST', 'genie'), ('https://git.eclipse.org/c/www.eclipse.org/eclipse/news.git/commit/?id=11f2a75c7ac885de006986ea13947886765008a9', '2020-02-22 08:47:56 EST', 'genie'), ('stephan.herrmann', '2020-02-24 18:35:23 EST', 'stephan.herrmann'), ('gautier.desaintmartinlacaze', '2020-05-09 19:46:55 EDT', 'gautier.desaintmartinlacaze'), ('VERIFIED', '2020-11-21 03:45:23 EST', 'fabrice.tiercelin')]</t>
  </si>
  <si>
    <t>551369 551990</t>
  </si>
  <si>
    <t>2019-10-09 06:35:23 EDT</t>
  </si>
  <si>
    <t>2019-10-10 01:17:32 EDT</t>
  </si>
  <si>
    <t>2019-10-03 04:06 EDT</t>
  </si>
  <si>
    <t>2019-10-03 04:08:55 EDT</t>
  </si>
  <si>
    <t>2020-11-13 05:22:55 EST</t>
  </si>
  <si>
    <t>[('CREATED', '2019-10-03 04:06 EDT'), ('551369', '2019-10-03 04:08:55 EDT', 'noopur_gupta'), ('4.14 M1', '2019-10-03 04:08:55 EDT', 'noopur_gupta'), ('daniel_megert, kalyan_prasad, stephan.herrmann', '2019-10-03 04:08:55 EDT', 'noopur_gupta'), ('https://git.eclipse.org/r/150531', '2019-10-03 04:37:55 EDT', 'genie'), ('carsten.hammer', '2019-10-03 05:26:49 EDT', 'carsten.hammer'), ('https://git.eclipse.org/c/jdt/eclipse.jdt.ui.git/commit/?id=f7e47667c0ad152d2844ca09afc3a718d7cdbde4', '2019-10-07 08:52:05 EDT', 'genie'), ('https://git.eclipse.org/r/150812', '2019-10-09 01:04:09 EDT', 'genie'), ('noopur_gupta', '2019-10-09 01:42:11 EDT', 'noopur_gupta'), ('https://git.eclipse.org/c/jdt/eclipse.jdt.ui.git/commit/?id=3d68b00d266a50d4026bb367e6f24d83dae76b17', '2019-10-09 02:42:33 EDT', 'genie'), ('FIXED', '2019-10-09 06:35:23 EDT', 'noopur_gupta'), ('RESOLVED', '2019-10-09 06:35:23 EDT', 'noopur_gupta'), ('VERIFIED', '2019-10-10 01:17:32 EDT', 'noopur_gupta'), ('551990', '2019-10-10 01:36:16 EDT', 'noopur_gupta'), ('https://git.eclipse.org/r/150868', '2019-10-10 02:00:49 EDT', 'genie'), ('https://git.eclipse.org/c/www.eclipse.org/eclipse/news.git/commit/?id=28585ef4b76903c191ef9b94e28dbb9c80a2dcc1', '2019-10-10 02:00:51 EDT', 'genie'), ('mistria', '2020-11-13 05:22:55 EST', 'mistria')]</t>
  </si>
  <si>
    <t>2019-10-21 14:33:36 EDT</t>
  </si>
  <si>
    <t>2019-11-19 20:46:13 EST</t>
  </si>
  <si>
    <t>2019-10-08 13:37 EDT</t>
  </si>
  <si>
    <t>2019-10-08 13:39:13 EDT</t>
  </si>
  <si>
    <t>[('CREATED', '2019-10-08 13:37 EDT'), ('jjohnstn', '2019-10-08 13:39:13 EDT', 'jjohnstn'), ('nikolaskomonen', '2019-10-08 13:39:13 EDT', 'jjohnstn'), ('4.13 M3', '2019-10-09 18:01:52 EDT', 'jjohnstn'), ('https://git.eclipse.org/r/151331', '2019-10-19 00:46:45 EDT', 'genie'), ('4.14 M3', '2019-10-19 09:09:01 EDT', 'daniel_megert'), ('daniel_megert', '2019-10-19 09:09:01 EDT', 'daniel_megert'), ('https://git.eclipse.org/c/jdt/eclipse.jdt.ui.git/commit/?id=2cd48ff3e841dcaaf4a0888ad8497a6d6cac084e', '2019-10-21 14:31:47 EDT', 'genie'), ('FIXED', '2019-10-21 14:33:36 EDT', 'jjohnstn'), ('RESOLVED', '2019-10-21 14:33:36 EDT', 'jjohnstn'), ('jjohnstn', '2019-11-19 20:46:13 EST', 'jjohnstn'), ('VERIFIED', '2019-11-19 20:46:13 EST', 'jjohnstn')]</t>
  </si>
  <si>
    <t>2019-10-26 00:38:52 EDT</t>
  </si>
  <si>
    <t>2019-11-19 20:36:56 EST</t>
  </si>
  <si>
    <t>2019-10-21 11:35 EDT</t>
  </si>
  <si>
    <t>2019-10-25 10:24:26 EDT</t>
  </si>
  <si>
    <t>[('CREATED', '2019-10-21 11:35 EDT'), ('jjohnstn', '2019-10-25 10:24:26 EDT', 'nikolaskomonen'), ('https://git.eclipse.org/r/151651', '2019-10-25 17:42:13 EDT', 'genie'), ('https://git.eclipse.org/c/jdt/eclipse.jdt.ui.git/commit/?id=c4a627dd42d4ca20c1b5f9cc17ea6fefdcf7846c', '2019-10-26 00:38:06 EDT', 'genie'), ('jjohnstn', '2019-10-26 00:38:52 EDT', 'jjohnstn'), ('RESOLVED', '2019-10-26 00:38:52 EDT', 'jjohnstn'), ('4.14 M3', '2019-10-26 00:38:52 EDT', 'jjohnstn'), ('FIXED', '2019-10-26 00:38:52 EDT', 'jjohnstn'), ('stephan.herrmann', '2019-10-26 14:54:48 EDT', 'stephan.herrmann'), ('jjohnstn', '2019-11-19 20:33:41 EST', 'jjohnstn'), ('VERIFIED', '2019-11-19 20:36:56 EST', 'jjohnstn')]</t>
  </si>
  <si>
    <t>2019-12-18 00:09:10 EST</t>
  </si>
  <si>
    <t>2020-02-21 16:09:53 EST</t>
  </si>
  <si>
    <t>2019-10-27 03:10 EDT</t>
  </si>
  <si>
    <t>2019-10-27 03:11:34 EDT</t>
  </si>
  <si>
    <t>[('CREATED', '2019-10-27 03:10 EDT'), ('jjohnstn, Lars.Vogel, rgrunber', '2019-10-27 03:11:34 EDT', 'fabrice.tiercelin'), ('https://git.eclipse.org/r/151667', '2019-10-27 03:13:43 EDT', 'genie'), ('https://git.eclipse.org/r/153252', '2019-11-23 02:55:13 EST', 'genie'), ('fabrice.tiercelin', '2019-11-26 00:29:42 EST', 'fabrice.tiercelin'), ('https://git.eclipse.org/c/jdt/eclipse.jdt.ui.git/commit/?id=5043bc16856fa97d58423d6ca97198f71d8eeab8', '2019-12-18 00:08:02 EST', 'genie'), ('jjohnstn', '2019-12-18 00:09:10 EST', 'jjohnstn'), ('FIXED', '2019-12-18 00:09:10 EST', 'jjohnstn'), ('4.15 M1', '2019-12-18 00:09:10 EST', 'jjohnstn'), ('RESOLVED', '2019-12-18 00:09:10 EST', 'jjohnstn'), ('jdt-ui-inbox', '2020-01-29 15:04:12 EST', 'fabrice.tiercelin'), ('fabrice.tiercelin', '2020-01-30 02:40:23 EST', 'fabrice.tiercelin'), ('https://git.eclipse.org/c/www.eclipse.org/eclipse/news.git/commit/?id=e59b45eca5321e47a06dd79857c529a4e0e66113', '2020-02-21 16:02:22 EST', 'genie'), ('pmc_approved+', '2020-02-21 16:05:19 EST', 'Lars.Vogel'), ('VERIFIED', '2020-02-21 16:09:53 EST', 'jjohnstn')]</t>
  </si>
  <si>
    <t>570054 570057 570058</t>
  </si>
  <si>
    <t>561895 563884</t>
  </si>
  <si>
    <t>2020-03-27 04:42:14 EDT</t>
  </si>
  <si>
    <t>2020-11-21 03:58:35 EST</t>
  </si>
  <si>
    <t>2019-11-14 01:04 EST</t>
  </si>
  <si>
    <t>2019-11-14 01:05:59 EST</t>
  </si>
  <si>
    <t>2021-01-05 03:17:04 EST</t>
  </si>
  <si>
    <t>[('CREATED', '2019-11-14 01:04 EST'), ('jjohnstn, Lars.Vogel, rgrunber', '2019-11-14 01:05:59 EST', 'fabrice.tiercelin'), ('https://git.eclipse.org/r/152629', '2019-11-14 01:08:21 EST', 'genie'), ('[cleanup &amp; saveaction] Use the local variable type inference', '2019-11-14 23:51:59 EST', 'fabrice.tiercelin'), ('noopur2507', '2019-12-05 06:26:53 EST', 'fabrice.tiercelin'), ('noopur2507', '2019-12-05 06:26:53 EST', 'fabrice.tiercelin'), ('ASSIGNED', '2019-12-05 06:31:14 EST', 'fabrice.tiercelin'), ('noopur_gupta', '2020-01-07 02:18:28 EST', 'fabrice.tiercelin'), ('fabrice.tiercelin', '2020-01-07 02:18:28 EST', 'fabrice.tiercelin'), ('Lars.Vogel', '2020-01-07 04:04:18 EST', 'Lars.Vogel'), ('4.15 M3', '2020-01-07 04:04:18 EST', 'Lars.Vogel'), (nan, '2020-01-08 02:43:37 EST', 'noopur_gupta'), (nan, '2020-01-08 02:43:37 EST', 'noopur_gupta'), ('pyvesdev', '2020-01-08 14:04:19 EST', 'fabrice.tiercelin'), ('scolebourne', '2020-02-13 06:22:45 EST', 'scolebourne'), ('4.15 RC1', '2020-02-18 03:30:48 EST', 'noopur_gupta'), ('4.16 M1', '2020-02-25 04:09:28 EST', 'noopur_gupta'), ('https://git.eclipse.org/c/jdt/eclipse.jdt.ui.git/commit/?id=9aafe2747ea48ee4d284ef4ac44bee021646650f', '2020-03-19 18:35:55 EDT', 'genie'), ('noteworthy', '2020-03-20 06:13:00 EDT', 'Lars.Vogel'), ('https://git.eclipse.org/r/160049', '2020-03-26 11:38:44 EDT', 'genie'), ('jjohnstn', '2020-03-27 04:42:00 EDT', 'fabrice.tiercelin'), ('FIXED', '2020-03-27 04:42:14 EDT', 'fabrice.tiercelin'), ('RESOLVED', '2020-03-27 04:42:14 EDT', 'fabrice.tiercelin'), ('https://git.eclipse.org/c/www.eclipse.org/eclipse/news.git/commit/?id=c58b56677b47dd368ed6a494867924d192217f39', '2020-04-06 15:35:19 EDT', 'genie'), ('561895', '2020-04-08 03:41:55 EDT', 'noopur_gupta'), ('563884', '2020-06-04 01:42:44 EDT', 'noopur_gupta'), ('VERIFIED', '2020-11-21 03:58:35 EST', 'fabrice.tiercelin'), ('570054', '2021-01-05 03:14:20 EST', 'noopur_gupta'), ('570057', '2021-01-05 03:16:10 EST', 'noopur_gupta'), ('570058', '2021-01-05 03:17:04 EST', 'noopur_gupta')]</t>
  </si>
  <si>
    <t>551616</t>
  </si>
  <si>
    <t>2020-05-13 04:09:40 EDT</t>
  </si>
  <si>
    <t>2019-11-26 04:58 EST</t>
  </si>
  <si>
    <t>2019-11-26 04:59:03 EST</t>
  </si>
  <si>
    <t>[('CREATED', '2019-11-26 04:58 EST'), ('BETA J14', '2019-11-26 04:59:03 EST', 'kalyan_prasad'), ('551616', '2019-11-26 05:00:50 EST', 'kalyan_prasad'), ('4.16 M1', '2020-03-12 09:29:03 EDT', 'noopur_gupta'), ('4.16', '2020-03-31 05:14:50 EDT', 'noopur_gupta'), ('---', '2020-05-13 04:09:40 EDT', 'noopur_gupta'), ('WONTFIX', '2020-05-13 04:09:40 EDT', 'noopur_gupta'), ('CLOSED', '2020-05-13 04:09:40 EDT', 'noopur_gupta'), ('stalebug', '2020-05-13 04:09:40 EDT', 'noopur_gupta')]</t>
  </si>
  <si>
    <t>2019-12-03 04:05:13 EST</t>
  </si>
  <si>
    <t>2019-12-04 04:37:36 EST</t>
  </si>
  <si>
    <t>2019-11-27 04:13 EST</t>
  </si>
  <si>
    <t>2019-11-27 04:17:37 EST</t>
  </si>
  <si>
    <t>[('CREATED', '2019-11-27 04:13 EST'), ('https://git.eclipse.org/r/153464', '2019-11-27 04:17:37 EST', 'genie'), ('jjohnstn', '2019-12-02 11:43:55 EST', 'jjohnstn'), ('review?(manpalat)', '2019-12-02 11:43:55 EST', 'jjohnstn'), ('ASSIGNED', '2019-12-02 11:43:55 EST', 'jjohnstn'), ('jjohnstn, manpalat', '2019-12-02 11:43:55 EST', 'jjohnstn'), ('akurtako', '2019-12-02 12:04:28 EST', 'jjohnstn'), ('4.14 RC2', '2019-12-02 15:49:32 EST', 'jjohnstn'), ('review?(daniel_megert)', '2019-12-02 16:06:34 EST', 'akurtakov'), ('akurtakov, daniel_megert', '2019-12-02 16:06:34 EST', 'akurtakov'), ('https://git.eclipse.org/c/jdt/eclipse.jdt.ui.git/commit/?id=a550a2ea893339a3d386e39662f14b5da8b88822', '2019-12-03 04:04:24 EST', 'genie'), ('RESOLVED', '2019-12-03 04:05:13 EST', 'daniel_megert'), ('FIXED', '2019-12-03 04:05:13 EST', 'daniel_megert'), ('review+', '2019-12-03 04:05:13 EST', 'daniel_megert'), ('VERIFIED', '2019-12-04 04:37:36 EST', 'daniel_megert')]</t>
  </si>
  <si>
    <t>559848 (view as bug list)</t>
  </si>
  <si>
    <t>2019-12-07 13:13 EST</t>
  </si>
  <si>
    <t>[('CREATED', '2019-12-07 13:13 EST'), ('https://bugs.eclipse.org/bugs/show_bug.cgi?id=550896', '2019-12-07 13:14:15 EST', 'stephan.herrmann'), ('mateusz.matela', '2020-02-04 16:53:26 EST', 'stephan.herrmann'), ('https://bugs.eclipse.org/bugs/show_bug.cgi?id=508257, https://bugs.eclipse.org/bugs/show_bug.cgi?id=516450', '2020-05-10 06:28:34 EDT', 'stephan.herrmann')]</t>
  </si>
  <si>
    <t>2019-12-11 09:29 EST</t>
  </si>
  <si>
    <t>2019-12-11 09:35:11 EST</t>
  </si>
  <si>
    <t>2020-10-05 05:12:14 EDT</t>
  </si>
  <si>
    <t>[('CREATED', '2019-12-11 09:29 EST'), ('Allow to run Clean-up as Job in the background', '2019-12-11 09:35:11 EST', 'Lars.Vogel'), ('fabrice.tiercelin, Lars.Vogel', '2019-12-11 09:35:11 EST', 'Lars.Vogel'), ('Allow to run cleanup as Job in the background', '2020-10-05 04:41:50 EDT', 'Lars.Vogel'), ('usability', '2020-10-05 04:41:56 EDT', 'Lars.Vogel'), ('ASSIGNED', '2020-10-05 05:12:14 EDT', 'fabrice.tiercelin'), ('fabrice.tiercelin', '2020-10-05 05:12:14 EDT', 'fabrice.tiercelin')]</t>
  </si>
  <si>
    <t>2019-12-13 04:11 EST</t>
  </si>
  <si>
    <t>2019-12-13 06:18:09 EST</t>
  </si>
  <si>
    <t>2019-12-13 06:18:54 EST</t>
  </si>
  <si>
    <t>[('CREATED', '2019-12-13 04:11 EST'), ('stephan.herrmann', '2019-12-13 06:18:09 EST', 'stephan.herrmann'), ('Lars.Vogel', '2019-12-13 06:18:54 EST', 'Lars.Vogel')]</t>
  </si>
  <si>
    <t>564065</t>
  </si>
  <si>
    <t>559687</t>
  </si>
  <si>
    <t>2020-08-17 03:50:23 EDT</t>
  </si>
  <si>
    <t>2020-08-20 13:51:35 EDT</t>
  </si>
  <si>
    <t>2020-06-08 05:17:57 EDT</t>
  </si>
  <si>
    <t>2019-12-13 15:02 EST</t>
  </si>
  <si>
    <t>2019-12-16 05:03:40 EST</t>
  </si>
  <si>
    <t>[('CREATED', '2019-12-13 15:02 EST'), ('daniel_megert', '2019-12-16 05:03:40 EST', 'daniel_megert'), ('https://git.eclipse.org/r/154078', '2019-12-19 09:33:48 EST', 'genie'), ('https://git.eclipse.org/r/154353', '2019-12-19 09:36:01 EST', 'genie'), ('https://git.eclipse.org/r/154362', '2019-12-19 09:36:03 EST', 'genie'), ('https://git.eclipse.org/c/jdt/eclipse.jdt.ui.git/commit/?id=8ae2a0d8175f4ab3a7e148e50dd85ed4a0126087', '2020-01-27 18:04:04 EST', 'genie'), ('https://git.eclipse.org/c/jdt/eclipse.jdt.ui.git/commit/?id=af75327f1b97bbda46d13516d1056696de205cc0', '2020-01-27 19:29:25 EST', 'genie'), ('https://git.eclipse.org/r/156695', '2020-01-28 03:43:57 EST', 'genie'), ('Ed.Merks', '2020-01-28 03:44:46 EST', 'Ed.Merks'), ('https://git.eclipse.org/c/jdt/eclipse.jdt.ui.git/commit/?id=ba2e3b32d78d06fc6954525b8ed0f5fb5f8ab849', '2020-01-28 11:08:55 EST', 'genie'), ('559687', '2020-01-30 03:24:45 EST', 'noopur_gupta'), ('carsten.hammer, jjohnstn', '2020-01-30 03:31:50 EST', 'noopur_gupta'), ('noopur_gupta', '2020-01-30 12:29:12 EST', 'noopur_gupta'), ('https://git.eclipse.org/r/157236', '2020-02-05 15:54:18 EST', 'genie'), ('https://git.eclipse.org/r/157243', '2020-02-05 17:14:16 EST', 'genie'), ('https://git.eclipse.org/c/jdt/eclipse.jdt.ui.git/commit/?id=f7d8569f7a9fe1b60b16548d37e7852da6f56152', '2020-02-09 22:30:00 EST', 'genie'), ('https://git.eclipse.org/r/157669', '2020-02-13 15:35:13 EST', 'genie'), ('https://git.eclipse.org/c/jdt/eclipse.jdt.ui.git/commit/?id=c4081912138d040cc43004a2a40a5ab13885a3fa', '2020-02-14 21:22:54 EST', 'genie'), ('https://git.eclipse.org/c/jdt/eclipse.jdt.ui.git/commit/?id=99fa7c137e8872a5826350e41b771f13ff0a38a9', '2020-02-14 23:01:29 EST', 'genie'), ('https://git.eclipse.org/r/158098', '2020-02-21 14:47:40 EST', 'genie'), ('https://git.eclipse.org/r/158116', '2020-02-22 06:36:17 EST', 'genie'), ('https://git.eclipse.org/r/158124', '2020-02-22 12:00:18 EST', 'genie'), ('https://git.eclipse.org/c/jdt/eclipse.jdt.ui.git/commit/?id=0825adc2c9e85e535171ee027c04077094e8a494', '2020-03-19 19:28:07 EDT', 'genie'), ('https://git.eclipse.org/c/jdt/eclipse.jdt.ui.git/commit/?id=b94460cf81d3788ddf1863a2d66b71ad4a3a1125', '2020-03-20 12:49:31 EDT', 'genie'), ('https://git.eclipse.org/c/jdt/eclipse.jdt.ui.git/commit/?id=41c4f1fe82a49175a80b8e32a81b0f09ca99d1ce', '2020-03-24 21:24:20 EDT', 'genie'), ('https://git.eclipse.org/r/160063', '2020-03-26 14:59:15 EDT', 'genie'), ('https://git.eclipse.org/r/160127', '2020-03-28 06:19:22 EDT', 'genie'), ('https://git.eclipse.org/r/160130', '2020-03-28 09:13:41 EDT', 'genie'), ('https://git.eclipse.org/c/jdt/eclipse.jdt.ui.git/commit/?id=e48696e53cae3b0bea63be8ab297e7edd5cdbf32', '2020-03-29 10:07:43 EDT', 'genie'), ('https://git.eclipse.org/r/160158', '2020-03-29 12:08:22 EDT', 'genie'), ('https://git.eclipse.org/c/jdt/eclipse.jdt.ui.git/commit/?id=464409f74067f0908482de5afe8c286dff75a7f5', '2020-03-29 12:21:48 EDT', 'genie'), ('https://git.eclipse.org/c/jdt/eclipse.jdt.ui.git/commit/?id=e1af8c34d855fb0083b644319a31c41c3dd70bcc', '2020-03-30 08:02:47 EDT', 'genie'), ('https://git.eclipse.org/r/160209', '2020-03-30 13:18:46 EDT', 'genie'), ('https://git.eclipse.org/r/160212', '2020-03-30 14:01:13 EDT', 'genie'), ('https://git.eclipse.org/c/jdt/eclipse.jdt.ui.git/commit/?id=b094460b425e34391c5866391bd8c63440925e41', '2020-04-01 02:46:28 EDT', 'genie'), ('carsten.hammer', '2020-04-01 03:03:33 EDT', 'daniel_megert'), ('https://git.eclipse.org/c/jdt/eclipse.jdt.ui.git/commit/?id=faa364595a728040042e566aa2da35b04f4ec789', '2020-04-01 14:26:26 EDT', 'genie'), ('https://git.eclipse.org/r/160337', '2020-04-01 17:09:13 EDT', 'genie'), ('https://git.eclipse.org/c/jdt/eclipse.jdt.ui.git/commit/?id=64044960e32d2bc3f559df4fe3708084a511b1ab', '2020-04-02 02:36:02 EDT', 'genie'), ('https://git.eclipse.org/r/160404', '2020-04-02 16:50:59 EDT', 'genie'), ('https://git.eclipse.org/r/160441', '2020-04-03 10:22:20 EDT', 'genie'), ('https://git.eclipse.org/c/jdt/eclipse.jdt.ui.git/commit/?id=9b0d595605ab52258a0a2e81da2d647436617620', '2020-04-03 11:35:35 EDT', 'genie'), ('https://git.eclipse.org/c/jdt/eclipse.jdt.ui.git/commit/?id=67d61cdb1c7761a5158146d6a69a7b5fd17215be', '2020-04-03 14:39:51 EDT', 'genie'), ('https://git.eclipse.org/r/160473', '2020-04-04 04:07:07 EDT', 'genie'), ('https://git.eclipse.org/r/160477', '2020-04-04 07:03:39 EDT', 'genie'), ('akurtakov', '2020-04-04 07:12:42 EDT', 'akurtakov'), ('https://git.eclipse.org/c/jdt/eclipse.jdt.ui.git/commit/?id=b47925c0112c1bd2c778b27fb4a36824e646bf3a', '2020-04-04 08:29:34 EDT', 'genie'), ('https://git.eclipse.org/c/jdt/eclipse.jdt.ui.git/commit/?id=448402be619e808228ced2f7d02fc5e3c100b122', '2020-04-04 10:33:53 EDT', 'genie'), ('https://git.eclipse.org/r/160480', '2020-04-04 11:09:20 EDT', 'genie'), ('https://git.eclipse.org/c/jdt/eclipse.jdt.ui.git/commit/?id=bb72ace673427dd44340943ec5e24cfd2578145f', '2020-04-06 16:37:18 EDT', 'genie'), ('https://git.eclipse.org/r/160747', '2020-04-10 09:45:30 EDT', 'genie'), ('https://git.eclipse.org/r/160759', '2020-04-10 11:14:19 EDT', 'genie'), ('https://git.eclipse.org/c/jdt/eclipse.jdt.ui.git/commit/?id=6684c1e55da62a523039539ed1ea6eaf60ae3673', '2020-04-11 10:46:15 EDT', 'genie'), ('https://git.eclipse.org/c/jdt/eclipse.jdt.ui.git/commit/?id=08be585f985198d929b82f1f2855c82e894c582b', '2020-04-11 10:51:30 EDT', 'genie'), ('https://git.eclipse.org/c/jdt/eclipse.jdt.ui.git/commit/?id=5beb27fea10dd4d1da29d0148fce3d768dcc2e5a', '2020-04-11 10:55:44 EDT', 'genie'), ('https://git.eclipse.org/r/160828', '2020-04-13 08:26:01 EDT', 'genie'), ('https://git.eclipse.org/r/160835', '2020-04-13 09:50:41 EDT', 'genie'), ('https://git.eclipse.org/r/160881', '2020-04-14 09:57:25 EDT', 'genie'), ('https://git.eclipse.org/r/160909', '2020-04-14 09:58:59 EDT', 'genie'), ('stephan.herrmann', '2020-04-14 11:05:18 EDT', 'stephan.herrmann'), ('https://git.eclipse.org/c/jdt/eclipse.jdt.ui.git/commit/?id=72ab3b89855868d822cf9512881f4f6dc5941eac', '2020-04-15 23:49:53 EDT', 'genie'), ('https://git.eclipse.org/c/jdt/eclipse.jdt.ui.git/commit/?id=6ea6c2242b6e75eb60c6fc34440e1843b182f880', '2020-04-16 06:48:22 EDT', 'genie'), ('https://git.eclipse.org/c/jdt/eclipse.jdt.ui.git/commit/?id=38f212fb671503e72d69d2c36058c514879b434d', '2020-04-26 10:10:25 EDT', 'genie'), ('https://git.eclipse.org/c/jdt/eclipse.jdt.ui.git/commit/?id=d1ff18fb6307b81f120e34b730a381e8c6a4c8c5', '2020-04-26 10:49:52 EDT', 'genie'), ('https://git.eclipse.org/r/161861', '2020-05-01 04:59:35 EDT', 'genie'), ('https://git.eclipse.org/r/161862', '2020-05-01 05:44:03 EDT', 'genie'), ('https://git.eclipse.org/r/161865', '2020-05-01 10:06:26 EDT', 'genie'), ('https://git.eclipse.org/c/jdt/eclipse.jdt.ui.git/commit/?id=003a56bfdb7d98eb6b981b60fca2d9333fca3813', '2020-05-01 10:30:53 EDT', 'genie'), ('https://git.eclipse.org/c/jdt/eclipse.jdt.ui.git/commit/?id=0ae9e05b6d485d3cc0ec6100eca3c93dd905389d', '2020-05-01 12:53:59 EDT', 'genie'), ('https://git.eclipse.org/c/jdt/eclipse.jdt.ui.git/commit/?id=dd6ee92ee72ed35350d831dad1636c6c9f09cb3a', '2020-05-01 15:09:34 EDT', 'genie'), ('https://git.eclipse.org/r/162726', '2020-05-08 14:35:00 EDT', 'genie'), ('https://git.eclipse.org/r/162744', '2020-05-09 04:36:56 EDT', 'genie'), ('https://git.eclipse.org/r/162750', '2020-05-09 13:28:28 EDT', 'genie'), ('https://git.eclipse.org/c/jdt/eclipse.jdt.ui.git/commit/?id=2d17296a555e35a90efc03247a8815ffcabf131e', '2020-05-11 00:36:05 EDT', 'genie'), ('https://git.eclipse.org/c/jdt/eclipse.jdt.ui.git/commit/?id=9d6510e88efe7fa1763e0adb07140087de12d6c8', '2020-05-11 02:07:58 EDT', 'genie'), ('https://git.eclipse.org/c/jdt/eclipse.jdt.ui.git/commit/?id=6c97287d2567d5aa07ad2305a237e08c12c9c6d0', '2020-05-11 12:45:37 EDT', 'genie'), ('https://git.eclipse.org/r/162845', '2020-05-11 13:32:27 EDT', 'genie'), ('fabrice.tiercelin', '2020-05-11 15:17:41 EDT', 'fabrice.tiercelin'), ('ASSIGNED', '2020-05-11 15:17:41 EDT', 'fabrice.tiercelin'), ('https://git.eclipse.org/c/jdt/eclipse.jdt.ui.git/commit/?id=5c76f7051f56b2ea47e5d66c273632b747646694', '2020-05-12 14:52:29 EDT', 'genie'), ('stepper', '2020-05-12 23:11:02 EDT', 'stepper'), (nan, '2020-05-12 23:12:21 EDT', 'stepper'), ('https://git.eclipse.org/r/163129', '2020-05-16 06:10:56 EDT', 'genie'), ('https://git.eclipse.org/r/163136', '2020-05-16 12:53:31 EDT', 'genie'), ('https://git.eclipse.org/r/163145', '2020-05-17 10:11:33 EDT', 'genie'), ('https://git.eclipse.org/c/platform/eclipse.platform.releng.git/commit/?id=049fd47d125eaf058f248539140e9595e2e28c61', '2020-06-07 14:56:34 EDT', 'genie'), ('4.17 M1', '2020-06-07 14:56:53 EDT', 'akurtakov'), ('RESOLVED', '2020-06-07 14:56:53 EDT', 'akurtakov'), ('FIXED', '2020-06-07 14:56:53 EDT', 'akurtakov'), ('564065', '2020-06-08 05:17:20 EDT', 'loskutov'), ('---', '2020-06-08 05:17:57 EDT', 'loskutov'), ('loskutov', '2020-06-08 05:17:57 EDT', 'loskutov'), ('REOPENED', '2020-06-08 05:17:57 EDT', 'loskutov'), ('https://git.eclipse.org/r/164430', '2020-06-08 08:17:19 EDT', 'genie'), ('https://git.eclipse.org/c/platform/eclipse.platform.releng.git/commit/?id=2ddefb2e28f6997cbc9c955a1284cfc5578c7b29', '2020-06-08 10:33:04 EDT', 'genie'), ('https://git.eclipse.org/r/165182', '2020-06-18 15:21:54 EDT', 'genie'), ('https://git.eclipse.org/r/c/jdt/eclipse.jdt.ui/+/165182', '2020-07-02 16:21:47 EDT', 'genie'), ('https://git.eclipse.org/c/jdt/eclipse.jdt.ui.git/commit/?id=c385b31c51214389d5092c34d2d58eeab011be16', '2020-07-03 15:34:50 EDT', 'genie'), ('4.17 M3', '2020-07-04 03:32:37 EDT', 'noopur_gupta'), ('https://git.eclipse.org/r/c/jdt/eclipse.jdt.ui/+/163129', '2020-07-06 14:15:06 EDT', 'genie'), ('https://git.eclipse.org/c/jdt/eclipse.jdt.ui.git/commit/?id=6ae6fc36cfe25093c05fa7d9fec1b0c9570787f0', '2020-07-06 16:03:20 EDT', 'genie'), ('https://git.eclipse.org/r/c/platform/eclipse.platform.releng/+/166365', '2020-07-15 17:31:34 EDT', 'genie'), ('https://git.eclipse.org/c/platform/eclipse.platform.releng.git/commit/?id=c864009e22106dbf5856e5827590f881d07346bd', '2020-07-17 06:42:05 EDT', 'genie'), ('https://git.eclipse.org/r/c/jdt/eclipse.jdt.ui/+/166474', '2020-07-18 06:54:06 EDT', 'genie'), ('https://git.eclipse.org/c/jdt/eclipse.jdt.ui.git/commit/?id=194b3d99a1202803784ed439a66db50e7a6aa567', '2020-08-05 13:40:39 EDT', 'genie'), ('https://git.eclipse.org/r/c/jdt/eclipse.jdt.ui/+/163136', '2020-08-08 12:32:55 EDT', 'genie'), ('https://git.eclipse.org/c/jdt/eclipse.jdt.ui.git/commit/?id=7e9630a089f030604bf1ec45109f19f97faa945e', '2020-08-08 15:46:37 EDT', 'genie'), ('https://git.eclipse.org/r/c/jdt/eclipse.jdt.ui/+/160909', '2020-08-14 13:30:46 EDT', 'genie'), ('https://git.eclipse.org/r/c/jdt/eclipse.jdt.ui/+/167731', '2020-08-15 06:34:41 EDT', 'genie'), ('https://git.eclipse.org/r/c/jdt/eclipse.jdt.ui/+/167733', '2020-08-15 09:33:08 EDT', 'genie'), ('https://git.eclipse.org/c/jdt/eclipse.jdt.ui.git/commit/?id=f6554b0adb0e3dd2b38d197eecd8dd2e841ca1c0', '2020-08-16 14:46:24 EDT', 'genie'), ('https://git.eclipse.org/c/jdt/eclipse.jdt.ui.git/commit/?id=facbaa946dc5305efe7a0c88583770d3553ce73b', '2020-08-16 14:50:38 EDT', 'genie'), ('FIXED', '2020-08-17 03:50:23 EDT', 'noopur_gupta'), ('RESOLVED', '2020-08-17 03:50:23 EDT', 'noopur_gupta'), ('https://git.eclipse.org/c/jdt/eclipse.jdt.ui.git/commit/?id=0db882c0b55be781b46ef012b86b2d75b9877388', '2020-08-17 16:24:18 EDT', 'genie'), ('jjohnstn', '2020-08-17 16:25:18 EDT', 'jjohnstn'), ('VERIFIED', '2020-08-20 13:51:35 EDT', 'jjohnstn')]</t>
  </si>
  <si>
    <t>2019-12-15 11:52:51 EST</t>
  </si>
  <si>
    <t>2019-12-15 10:39 EST</t>
  </si>
  <si>
    <t>2019-12-15 10:40:19 EST</t>
  </si>
  <si>
    <t>[('CREATED', '2019-12-15 10:39 EST'), ('https://git.eclipse.org/r/154546', '2019-12-15 10:40:19 EST', 'genie'), ('loskutov', '2019-12-15 10:52:31 EST', 'loskutov'), ('INVALID', '2019-12-15 11:52:51 EST', 'carsten.hammer'), ('CLOSED', '2019-12-15 11:52:51 EST', 'carsten.hammer')]</t>
  </si>
  <si>
    <t>558409 (view as bug list)</t>
  </si>
  <si>
    <t>2020-03-11 13:59:25 EDT</t>
  </si>
  <si>
    <t>2019-12-31 06:17 EST</t>
  </si>
  <si>
    <t>2019-12-31 06:18:20 EST</t>
  </si>
  <si>
    <t>[('CREATED', '2019-12-31 06:17 EST'), ('https://git.eclipse.org/r/#/c/155119/', '2019-12-31 06:18:20 EST', 'carsten.hammer'), ('https://git.eclipse.org/r/155119', '2019-12-31 06:18:31 EST', 'genie'), ('michael.keppler', '2019-12-31 09:31:58 EST', 'michael.keppler'), ('noteworthy, usability', '2020-02-11 06:50:31 EST', 'Lars.Vogel'), ('Lars.Vogel', '2020-02-11 06:50:31 EST', 'Lars.Vogel'), ('553537', '2020-02-11 06:50:54 EST', 'Lars.Vogel'), ('560385', '2020-02-21 06:20:01 EST', 'Lars.Vogel'), (nan, '2020-02-21 06:20:33 EST', 'Lars.Vogel'), ('carsten.hammer', '2020-02-24 10:45:36 EST', 'Lars.Vogel'), ('4.16 M1', '2020-02-24 10:45:36 EST', 'Lars.Vogel'), ('gautier.desaintmartinlacaze', '2020-02-26 06:36:33 EST', 'gautier.desaintmartinlacaze'), ('https://git.eclipse.org/c/jdt/eclipse.jdt.ui.git/commit/?id=86d2764bcb0a4c37c9865a2df7655dab5665b951', '2020-03-11 13:53:49 EDT', 'genie'), ('RESOLVED', '2020-03-11 13:59:25 EDT', 'jjohnstn'), ('jjohnstn', '2020-03-11 13:59:25 EDT', 'jjohnstn'), ('jjohnstn', '2020-03-11 13:59:25 EDT', 'jjohnstn'), ('FIXED', '2020-03-11 13:59:25 EDT', 'jjohnstn')]</t>
  </si>
  <si>
    <t>2020-01-08 05:05 EST</t>
  </si>
  <si>
    <t>2020-01-08 05:06:27 EST</t>
  </si>
  <si>
    <t>2020-01-08 16:30:20 EST</t>
  </si>
  <si>
    <t>[('CREATED', '2020-01-08 05:05 EST'), ('Lars.Vogel', '2020-01-08 05:06:27 EST', 'Lars.Vogel'), ('loskutov', '2020-01-08 05:19:30 EST', 'loskutov'), ('stephan.herrmann', '2020-01-08 16:30:20 EST', 'stephan.herrmann')]</t>
  </si>
  <si>
    <t>2020-01-08 06:15 EST</t>
  </si>
  <si>
    <t>2020-01-08 16:24:18 EST</t>
  </si>
  <si>
    <t>2020-09-07 10:52:03 EDT</t>
  </si>
  <si>
    <t>[('CREATED', '2020-01-08 06:15 EST'), ('stephan.herrmann', '2020-01-08 16:24:18 EST', 'stephan.herrmann'), ('enhancement', '2020-01-08 16:24:18 EST', 'stephan.herrmann'), ('Lars.Vogel', '2020-09-07 10:51:51 EDT', 'Lars.Vogel'), ('rgrunber', '2020-09-07 10:52:03 EDT', 'Lars.Vogel')]</t>
  </si>
  <si>
    <t>2020-01-10 14:49 EST</t>
  </si>
  <si>
    <t>2020-01-13 16:39:35 EST</t>
  </si>
  <si>
    <t>[('CREATED', '2020-01-10 14:49 EST'), ('rgrunber', '2020-01-13 16:39:35 EST', 'rgrunber')]</t>
  </si>
  <si>
    <t>2020-01-17 06:04 EST</t>
  </si>
  <si>
    <t>2020-01-17 07:33:57 EST</t>
  </si>
  <si>
    <t>[('CREATED', '2020-01-17 06:04 EST'), ('loskutov', '2020-01-17 07:33:57 EST', 'loskutov'), ('helpwanted', '2020-01-17 07:33:57 EST', 'loskutov'), ('4.14', '2020-01-17 07:33:57 EST', 'loskutov')]</t>
  </si>
  <si>
    <t>2020-01-23 14:11:49 EST</t>
  </si>
  <si>
    <t>2020-02-19 12:16:42 EST</t>
  </si>
  <si>
    <t>2020-01-21 04:08 EST</t>
  </si>
  <si>
    <t>2020-01-21 05:13:01 EST</t>
  </si>
  <si>
    <t>[('CREATED', '2020-01-21 04:08 EST'), ('rgrunber', '2020-01-21 05:13:01 EST', 'noopur_gupta'), ('4.15 M3', '2020-01-21 05:13:01 EST', 'noopur_gupta'), ('ASSIGNED', '2020-01-21 10:44:31 EST', 'rgrunber'), ('https://git.eclipse.org/r/156275', '2020-01-21 11:49:24 EST', 'genie'), ('rgrunber', '2020-01-22 10:44:57 EST', 'rgrunber'), ('https://git.eclipse.org/c/jdt/eclipse.jdt.ui.git/commit/?id=932dae315ed5a2b423483a1f58f1627ce7f2d197', '2020-01-22 11:54:51 EST', 'genie'), ('FIXED', '2020-01-23 14:11:49 EST', 'rgrunber'), ('RESOLVED', '2020-01-23 14:11:49 EST', 'rgrunber'), ('VERIFIED', '2020-02-19 12:16:42 EST', 'rgrunber')]</t>
  </si>
  <si>
    <t>2020-01-25 05:06:58 EST</t>
  </si>
  <si>
    <t>2020-01-24 06:18 EST</t>
  </si>
  <si>
    <t>2020-01-24 06:18:56 EST</t>
  </si>
  <si>
    <t>[('CREATED', '2020-01-24 06:18 EST'), ('Lars.Vogel, noopur_gupta', '2020-01-24 06:18:56 EST', 'Lars.Vogel'), ('Windows All', '2020-01-24 06:25:26 EST', 'Lars.Vogel'), ('CLOSED', '2020-01-25 05:06:58 EST', 'Lars.Vogel'), ('WORKSFORME', '2020-01-25 05:06:58 EST', 'Lars.Vogel')]</t>
  </si>
  <si>
    <t>2020-01-27 16:05:26 EST</t>
  </si>
  <si>
    <t>2020-01-27 05:53 EST</t>
  </si>
  <si>
    <t>2020-01-27 05:53:25 EST</t>
  </si>
  <si>
    <t>[('CREATED', '2020-01-27 05:53 EST'), ('carsten.hammer, Lars.Vogel', '2020-01-27 05:53:25 EST', 'Lars.Vogel'), ('fabrice.tiercelin', '2020-01-27 05:53:36 EST', 'Lars.Vogel'), ('stephan.herrmann', '2020-01-27 15:39:46 EST', 'stephan.herrmann'), ('RESOLVED', '2020-01-27 16:05:26 EST', 'Lars.Vogel'), ('WONTFIX', '2020-01-27 16:05:26 EST', 'Lars.Vogel')]</t>
  </si>
  <si>
    <t>560081</t>
  </si>
  <si>
    <t>2020-03-04 04:00:41 EST</t>
  </si>
  <si>
    <t>2020-03-17 11:23:22 EDT</t>
  </si>
  <si>
    <t>2020-01-30 00:20 EST</t>
  </si>
  <si>
    <t>2020-01-30 00:21:10 EST</t>
  </si>
  <si>
    <t>[('CREATED', '2020-01-30 00:20 EST'), ('[14] Refactor rename is not working for component of a record.', '2020-01-30 00:21:10 EST', 'Vikas.Chandra'), ('BETA J14', '2020-02-05 05:43:34 EST', 'kalyan_prasad'), ('kalyan_prasad', '2020-02-05 05:43:34 EST', 'kalyan_prasad'), ('kalyan_prasad', '2020-02-13 05:15:41 EST', 'noopur_gupta'), ('All', '2020-02-13 05:15:41 EST', 'noopur_gupta'), ('551616', '2020-02-13 05:15:41 EST', 'noopur_gupta'), ('All', '2020-02-13 05:15:41 EST', 'noopur_gupta'), ('560081', '2020-02-13 05:16:03 EST', 'noopur_gupta'), ('https://git.eclipse.org/r/158029', '2020-02-20 05:51:47 EST', 'genie'), ('https://git.eclipse.org/r/158030', '2020-02-20 05:51:59 EST', 'genie'), ('https://bugs.eclipse.org/bugs/show_bug.cgi?id=560383', '2020-02-21 05:51:12 EST', 'Vikas.Chandra'), ('https://git.eclipse.org/c/jdt/eclipse.jdt.core.git/commit/?id=fc369a2f5999be035d8b3bf583ddd0e3d7a1d78e', '2020-02-25 00:43:33 EST', 'genie'), ('RESOLVED', '2020-03-04 04:00:41 EST', 'kalyan_prasad'), ('FIXED', '2020-03-04 04:00:41 EST', 'kalyan_prasad'), ('https://git.eclipse.org/c/jdt/eclipse.jdt.ui.git/commit/?id=7ace3456976cb4d31ea34b44af5574fe3ce4abd4', '2020-03-04 04:00:51 EST', 'genie'), ('VERIFIED', '2020-03-17 11:23:22 EDT', 'Vikas.Chandra')]</t>
  </si>
  <si>
    <t>2020-03-23 05:34:50 EDT</t>
  </si>
  <si>
    <t>2020-01-30 01:11 EST</t>
  </si>
  <si>
    <t>2020-01-30 01:15:01 EST</t>
  </si>
  <si>
    <t>2020-10-29 05:37:54 EDT</t>
  </si>
  <si>
    <t>christian.dietrich</t>
  </si>
  <si>
    <t>[('CREATED', '2020-01-30 01:11 EST'), ('akurtakov', '2020-01-30 01:15:01 EST', 'akurtakov'), ('Vikas.Chandra', '2020-01-30 01:21:52 EST', 'noopur_gupta'), ('daniel_megert', '2020-01-30 03:22:06 EST', 'daniel_megert'), ('https://bugs.eclipse.org/bugs/show_bug.cgi?id=490247', '2020-01-30 17:58:59 EST', 'stephan.herrmann'), ('https://git.eclipse.org/r/156942', '2020-01-31 07:16:41 EST', 'genie'), ('https://bugs.eclipse.org/bugs/show_bug.cgi?id=204682', '2020-01-31 07:35:17 EST', 'noopur_gupta'), ('https://git.eclipse.org/c/jdt/eclipse.jdt.ui.git/commit/?id=42a06542a0dda6ae7a843ca61709b164f3cf637b', '2020-01-31 08:18:08 EST', 'genie'), ('noopur_gupta', '2020-01-31 10:21:24 EST', 'daniel_megert'), ('4.15 M3', '2020-01-31 10:21:24 EST', 'daniel_megert'), ('https://git.eclipse.org/r/157327', '2020-02-07 03:25:22 EST', 'genie'), ('mistria', '2020-02-11 05:12:48 EST', 'noopur_gupta'), ('4.15 RC2', '2020-02-17 06:21:16 EST', 'noopur_gupta'), ('4.16 M1', '2020-03-03 06:12:33 EST', 'noopur_gupta'), ('rgrunber', '2020-03-20 17:38:53 EDT', 'noopur_gupta'), ('JUnit 4 container not properly resolved in non-p2-enabled app (eg Tycho tests, cause test failures)', '2020-03-20 18:36:53 EDT', 'mistria'), ('https://git.eclipse.org/r/159820', '2020-03-20 18:48:57 EDT', 'genie'), ('https://git.eclipse.org/c/jdt/eclipse.jdt.ui.git/commit/?id=5b9224b6405920851951afe1fe443afb310e99ad', '2020-03-23 05:30:18 EDT', 'genie'), ('All', '2020-03-23 05:34:50 EDT', 'noopur_gupta'), ('All', '2020-03-23 05:34:50 EDT', 'noopur_gupta'), ('FIXED', '2020-03-23 05:34:50 EDT', 'noopur_gupta'), ('mistria', '2020-03-23 05:34:50 EDT', 'noopur_gupta'), ('RESOLVED', '2020-03-23 05:34:50 EDT', 'noopur_gupta'), ('christian.dietrich', '2020-10-29 05:37:54 EDT', 'christian.dietrich')]</t>
  </si>
  <si>
    <t>561048 561067</t>
  </si>
  <si>
    <t>2020-03-13 03:00:57 EDT</t>
  </si>
  <si>
    <t>2020-01-30 04:45 EST</t>
  </si>
  <si>
    <t>2020-01-30 05:04:19 EST</t>
  </si>
  <si>
    <t>[('CREATED', '2020-01-30 04:45 EST'), ('551616', '2020-01-30 05:04:19 EST', 'noopur_gupta'), ('normal', '2020-01-30 05:04:19 EST', 'noopur_gupta'), ('BETA J14', '2020-01-30 05:04:19 EST', 'noopur_gupta'), ('kalyan_prasad, Vikas.Chandra', '2020-03-12 05:13:38 EDT', 'sarika.sinha'), ('561067', '2020-03-13 01:24:07 EDT', 'kalyan_prasad'), (nan, '2020-03-13 01:24:26 EDT', 'kalyan_prasad'), ('561067, 561048', '2020-03-13 01:25:40 EDT', 'kalyan_prasad'), ('RESOLVED', '2020-03-13 03:00:57 EDT', 'kalyan_prasad'), ('FIXED', '2020-03-13 03:00:57 EDT', 'kalyan_prasad')]</t>
  </si>
  <si>
    <t>2020-02-04 13:55:56 EST</t>
  </si>
  <si>
    <t>2020-04-07 13:08:08 EDT</t>
  </si>
  <si>
    <t>2020-02-03 04:36 EST</t>
  </si>
  <si>
    <t>2020-02-03 04:36:49 EST</t>
  </si>
  <si>
    <t>2020-04-07 13:08:21 EDT</t>
  </si>
  <si>
    <t>[('CREATED', '2020-02-03 04:36 EST'), ('fabrice.tiercelin, Lars.Vogel', '2020-02-03 04:36:49 EST', 'Lars.Vogel'), ('jjohnstn', '2020-02-03 04:36:58 EST', 'Lars.Vogel'), ('4.15 M3', '2020-02-03 04:38:27 EST', 'Lars.Vogel'), ('fabrice.tiercelin', '2020-02-03 13:35:52 EST', 'fabrice.tiercelin'), ('ASSIGNED', '2020-02-03 13:37:22 EST', 'fabrice.tiercelin'), ('https://git.eclipse.org/r/157116', '2020-02-04 02:16:16 EST', 'genie'), ('https://git.eclipse.org/c/jdt/eclipse.jdt.ui.git/commit/?id=90c39c09e853fdf92b68d59f8392c629c0756dcd', '2020-02-04 13:51:08 EST', 'genie'), ('FIXED', '2020-02-04 13:55:56 EST', 'jjohnstn'), ('RESOLVED', '2020-02-04 13:55:56 EST', 'jjohnstn'), ('VERIFIED', '2020-04-07 13:08:08 EDT', 'fabrice.tiercelin'), ('jjohnstn', '2020-04-07 13:08:21 EDT', 'fabrice.tiercelin')]</t>
  </si>
  <si>
    <t>2020-02-17 01:02:58 EST</t>
  </si>
  <si>
    <t>2020-02-04 03:22 EST</t>
  </si>
  <si>
    <t>2020-02-04 03:22:40 EST</t>
  </si>
  <si>
    <t>[('CREATED', '2020-02-04 03:22 EST'), ('4.15 M3', '2020-02-04 03:22:40 EST', 'Lars.Vogel'), ('Lars.Vogel', '2020-02-04 03:22:40 EST', 'Lars.Vogel'), ('Lars.Vogel', '2020-02-04 03:22:40 EST', 'Lars.Vogel'), ('https://git.eclipse.org/r/157124', '2020-02-04 03:29:31 EST', 'genie'), ('https://git.eclipse.org/c/jdt/eclipse.jdt.ui.git/commit/?id=f2b4ecaa5244920269125806b77100a8b7305376', '2020-02-17 01:02:08 EST', 'genie'), ('FIXED', '2020-02-17 01:02:58 EST', 'noopur_gupta'), ('noopur_gupta', '2020-02-17 01:02:58 EST', 'noopur_gupta'), ('RESOLVED', '2020-02-17 01:02:58 EST', 'noopur_gupta'), ('All', '2020-02-17 01:02:58 EST', 'noopur_gupta'), ('All', '2020-02-17 01:02:58 EST', 'noopur_gupta')]</t>
  </si>
  <si>
    <t>CLOSED  DUPLICATE  of bug 557993</t>
  </si>
  <si>
    <t>2020-02-04 16:53:26 EST</t>
  </si>
  <si>
    <t>2020-02-04 16:42 EST</t>
  </si>
  <si>
    <t>[('CREATED', '2020-02-04 16:42 EST'), ('DUPLICATE', '2020-02-04 16:53:26 EST', 'stephan.herrmann'), ('CLOSED', '2020-02-04 16:53:26 EST', 'stephan.herrmann'), ('stephan.herrmann', '2020-02-04 16:53:26 EST', 'stephan.herrmann')]</t>
  </si>
  <si>
    <t>560091 560238 (view as bug list)</t>
  </si>
  <si>
    <t>550560</t>
  </si>
  <si>
    <t>2020-02-24 16:14:30 EST</t>
  </si>
  <si>
    <t>2020-02-25 03:03:17 EST</t>
  </si>
  <si>
    <t>2020-02-13 10:26 EST</t>
  </si>
  <si>
    <t>2020-02-13 10:32:15 EST</t>
  </si>
  <si>
    <t>[('CREATED', '2020-02-13 10:26 EST'), ('daniel_megert', '2020-02-13 10:32:15 EST', 'daniel_megert'), ('christian.dietrich', '2020-02-13 10:42:41 EST', 'christian.dietrich'), ('https://bugs.eclipse.org/bugs/show_bug.cgi?id=560238', '2020-02-17 10:01:21 EST', 'loskutov'), ('https://bugs.eclipse.org/bugs/show_bug.cgi?id=560091', '2020-02-17 10:02:44 EST', 'christian.dietrich'), ('aobuchow', '2020-02-21 10:27:39 EST', 'andrew'), ('https://git.eclipse.org/r/158097', '2020-02-21 14:22:12 EST', 'genie'), ('pmc_approved?(daniel_megert)', '2020-02-21 16:18:14 EST', 'andrew'), ('UI', '2020-02-21 16:18:14 EST', 'andrew'), ('4.15 RC1', '2020-02-21 16:18:14 EST', 'andrew'), ('JDT', '2020-02-21 16:18:14 EST', 'andrew'), ('jdt-ui-inbox', '2020-02-21 16:18:14 EST', 'andrew'), ('pmc_approved+', '2020-02-22 08:37:21 EST', 'daniel_megert'), ('aobuchow', '2020-02-22 08:38:11 EST', 'daniel_megert'), ('https://git.eclipse.org/c/jdt/eclipse.jdt.ui.git/commit/?id=5181e5c19c2c462445fa0c6269dfbb6fd5660f99', '2020-02-23 16:12:54 EST', 'genie'), ('rolf.theunissen', '2020-02-24 16:09:52 EST', 'christian.dietrich'), ('FIXED', '2020-02-24 16:14:30 EST', 'loskutov'), ('RESOLVED', '2020-02-24 16:14:30 EST', 'loskutov'), ('Lars.Vogel', '2020-02-24 16:24:15 EST', 'Lars.Vogel'), ('VERIFIED', '2020-02-25 03:03:17 EST', 'noopur_gupta')]</t>
  </si>
  <si>
    <t>2020-06-04 12:13:28 EDT</t>
  </si>
  <si>
    <t>2020-02-16 09:04 EST</t>
  </si>
  <si>
    <t>[('CREATED', '2020-02-16 09:04 EST'), ('https://bugs.eclipse.org/bugs/show_bug.cgi?id=434747', '2020-02-16 09:09:05 EST', 'register.eclipse'), ('CLOSED', '2020-06-04 12:13:28 EDT', 'register.eclipse'), ('WONTFIX', '2020-06-04 12:13:28 EDT', 'register.eclipse')]</t>
  </si>
  <si>
    <t>CLOSED  DUPLICATE  of bug 560113</t>
  </si>
  <si>
    <t>2020-02-17 10:03:05 EST</t>
  </si>
  <si>
    <t>2020-02-17 09:51 EST</t>
  </si>
  <si>
    <t>2020-02-17 09:52:07 EST</t>
  </si>
  <si>
    <t>[('CREATED', '2020-02-17 09:51 EST'), ('https://bugs.eclipse.org/bugs/show_bug.cgi?id=560091', '2020-02-17 09:52:07 EST', 'christian.dietrich'), ('loskutov', '2020-02-17 10:01:21 EST', 'loskutov'), ('https://bugs.eclipse.org/bugs/show_bug.cgi?id=560113', '2020-02-17 10:01:21 EST', 'loskutov'), ('CLOSED', '2020-02-17 10:03:05 EST', 'loskutov'), ('DUPLICATE', '2020-02-17 10:03:05 EST', 'loskutov')]</t>
  </si>
  <si>
    <t>2020-05-15 16:53:20 EDT</t>
  </si>
  <si>
    <t>2020-05-19 14:05:00 EDT</t>
  </si>
  <si>
    <t>2020-02-23 06:29 EST</t>
  </si>
  <si>
    <t>2020-02-26 06:36:30 EST</t>
  </si>
  <si>
    <t>2020-05-26 04:02:26 EDT</t>
  </si>
  <si>
    <t>[('CREATED', '2020-02-23 06:29 EST'), ('gautier.desaintmartinlacaze', '2020-02-26 06:36:30 EST', 'gautier.desaintmartinlacaze'), ('https://git.eclipse.org/r/161592', '2020-04-27 11:59:50 EDT', 'genie'), ('https://git.eclipse.org/c/jdt/eclipse.jdt.ui.git/commit/?id=9569034d8cbb6beb08efda3d54ab0ab2534a2fd5', '2020-05-05 17:03:15 EDT', 'genie'), ('https://git.eclipse.org/r/162606', '2020-05-06 20:04:15 EDT', 'genie'), ('FIXED', '2020-05-15 16:53:20 EDT', 'jjohnstn'), ('RESOLVED', '2020-05-15 16:53:20 EDT', 'jjohnstn'), ('4.16 M3', '2020-05-15 16:53:20 EDT', 'jjohnstn'), ('jjohnstn', '2020-05-15 16:53:20 EDT', 'jjohnstn'), ('https://git.eclipse.org/r/163133', '2020-05-16 10:56:47 EDT', 'genie'), ('https://git.eclipse.org/c/jdt/eclipse.jdt.ui.git/commit/?id=e3f31112d86d2837f470b624eee91732a218b9ca', '2020-05-16 12:07:57 EDT', 'genie'), ('jjohnstn', '2020-05-18 04:23:23 EDT', 'noopur_gupta'), ('https://git.eclipse.org/r/163261', '2020-05-19 13:46:22 EDT', 'genie'), ('VERIFIED', '2020-05-19 14:05:00 EDT', 'jjohnstn'), ('https://git.eclipse.org/c/jdt/eclipse.jdt.ui.git/commit/?id=133bb6182cfed4361fdee1b14ea0ba61df725d6f', '2020-05-26 04:01:56 EDT', 'genie'), ('review+', '2020-05-26 04:02:26 EDT', 'noopur_gupta'), ('noopur_gupta', '2020-05-26 04:02:26 EDT', 'noopur_gupta'), ('4.16 RC1', '2020-05-26 04:02:26 EDT', 'noopur_gupta')]</t>
  </si>
  <si>
    <t>2020-07-09 02:49:49 EDT</t>
  </si>
  <si>
    <t>2020-02-27 05:51 EST</t>
  </si>
  <si>
    <t>2020-07-10 12:46:51 EDT</t>
  </si>
  <si>
    <t>[('CREATED', '2020-02-27 05:51 EST'), ('WORKSFORME', '2020-07-09 02:49:49 EDT', 'noopur_gupta'), ('RESOLVED', '2020-07-09 02:49:49 EDT', 'noopur_gupta'), ('https://git.eclipse.org/r/c/jdt/eclipse.jdt.ui/+/166081', '2020-07-10 12:46:51 EDT', 'genie')]</t>
  </si>
  <si>
    <t>CLOSED  DUPLICATE  of bug 562654</t>
  </si>
  <si>
    <t>2020-05-28 10:58:23 EDT</t>
  </si>
  <si>
    <t>2020-03-05 22:27 EST</t>
  </si>
  <si>
    <t>[('CREATED', '2020-03-05 22:27 EST'), ('DUPLICATE', '2020-05-28 10:58:23 EDT', 'noopur_gupta'), ('CLOSED', '2020-05-28 10:58:23 EDT', 'noopur_gupta')]</t>
  </si>
  <si>
    <t>164643 563000 (view as bug list)</t>
  </si>
  <si>
    <t>2020-04-15 16:20:12 EDT</t>
  </si>
  <si>
    <t>2020-04-20 11:17:33 EDT</t>
  </si>
  <si>
    <t>2020-03-24 11:18 EDT</t>
  </si>
  <si>
    <t>2020-03-24 11:20:48 EDT</t>
  </si>
  <si>
    <t>2020-05-09 13:20:26 EDT</t>
  </si>
  <si>
    <t>[('CREATED', '2020-03-24 11:18 EDT'), ('needinfo', '2020-03-24 11:20:48 EDT', 'loskutov'), ('loskutov', '2020-03-24 11:20:48 EDT', 'loskutov'), ('fabrice.tiercelin', '2020-04-07 15:20:26 EDT', 'fabrice.tiercelin'), ('regression', '2020-04-14 05:32:19 EDT', 'loskutov'), ('All', '2020-04-14 05:32:19 EDT', 'loskutov'), ('https://bugs.eclipse.org/bugs/show_bug.cgi?id=540953', '2020-04-14 05:32:19 EDT', 'loskutov'), ('4.10', '2020-04-14 05:32:19 EDT', 'loskutov'), ('All', '2020-04-14 05:32:19 EDT', 'loskutov'), ('stephan.herrmann', '2020-04-14 06:14:53 EDT', 'stephan.herrmann'), ('https://bugs.eclipse.org/bugs/show_bug.cgi?id=550560', '2020-04-14 08:29:53 EDT', 'loskutov'), ('4.14', '2020-04-14 08:29:53 EDT', 'loskutov'), ('christian.dietrich', '2020-04-14 09:17:39 EDT', 'christian.dietrich'), ('aobuchow, rgrunber', '2020-04-14 09:36:40 EDT', 'rgrunber'), ('mistria', '2020-04-14 09:56:58 EDT', 'mistria'), ('https://git.eclipse.org/r/160939', '2020-04-14 15:23:04 EDT', 'genie'), ('https://git.eclipse.org/r/160944', '2020-04-14 16:57:29 EDT', 'genie'), ('https://git.eclipse.org/c/jdt/eclipse.jdt.ui.git/commit/?id=90c9b01f1d0435f8623c86365e42fd61d63734d8', '2020-04-15 15:09:28 EDT', 'genie'), ('https://git.eclipse.org/c/platform/eclipse.platform.ui.git/commit/?id=6fc8920bcfd9e159c39be88f73027b198e2fdb32', '2020-04-15 16:19:35 EDT', 'genie'), ('4.16 M3', '2020-04-15 16:20:12 EDT', 'mistria'), ('mistria', '2020-04-15 16:20:12 EDT', 'mistria'), ('RESOLVED', '2020-04-15 16:20:12 EDT', 'mistria'), ('FIXED', '2020-04-15 16:20:12 EDT', 'mistria'), ('VERIFIED', '2020-04-20 11:17:33 EDT', 'andrew'), ('markus.kell.r', '2020-04-20 16:10:07 EDT', 'karsten.thoms'), ('zulus', '2020-05-09 13:20:26 EDT', 'loskutov')]</t>
  </si>
  <si>
    <t>2020-03-31 05:16 EDT</t>
  </si>
  <si>
    <t>2020-03-31 05:17:07 EDT</t>
  </si>
  <si>
    <t>2020-03-31 08:02:01 EDT</t>
  </si>
  <si>
    <t>[('CREATED', '2020-03-31 05:16 EDT'), ('UI', '2020-03-31 05:17:07 EDT', 'burzum51'), ('4.15', '2020-03-31 05:18:44 EDT', 'burzum51'), ('jdt-ui-inbox', '2020-03-31 08:02:01 EDT', 'stephan.herrmann'), ('stephan.herrmann', '2020-03-31 08:02:01 EDT', 'stephan.herrmann')]</t>
  </si>
  <si>
    <t>566680</t>
  </si>
  <si>
    <t>2020-08-08 02:46:15 EDT</t>
  </si>
  <si>
    <t>2020-08-20 17:12:04 EDT</t>
  </si>
  <si>
    <t>2020-04-04 06:54 EDT</t>
  </si>
  <si>
    <t>2020-04-04 06:55:46 EDT</t>
  </si>
  <si>
    <t>2020-09-05 12:19:18 EDT</t>
  </si>
  <si>
    <t>[('CREATED', '2020-04-04 06:54 EDT'), ('ASSIGNED', '2020-04-04 06:55:46 EDT', 'fabrice.tiercelin'), ('fabrice.tiercelin', '2020-04-04 06:55:46 EDT', 'fabrice.tiercelin'), ('jjohnstn', '2020-04-04 06:55:46 EDT', 'fabrice.tiercelin'), ('https://git.eclipse.org/r/160475', '2020-04-04 06:57:33 EDT', 'genie'), ('jjohnstn', '2020-04-11 00:53:29 EDT', 'fabrice.tiercelin'), ('gautier.desaintmartinlacaze', '2020-04-21 19:06:37 EDT', 'gautier.desaintmartinlacaze'), ('Lars.Vogel', '2020-07-21 14:39:03 EDT', 'Lars.Vogel'), ('https://git.eclipse.org/r/c/jdt/eclipse.jdt.ui/+/160475', '2020-07-23 14:17:23 EDT', 'genie'), ('https://git.eclipse.org/c/jdt/eclipse.jdt.ui.git/commit/?id=460ea99fcce37c263ca53d0a20ceb9b57641543b', '2020-07-25 22:04:48 EDT', 'genie'), ('https://git.eclipse.org/r/c/www.eclipse.org/eclipse/news/+/167212', '2020-08-04 03:03:30 EDT', 'genie'), ('https://git.eclipse.org/c/www.eclipse.org/eclipse/news.git/commit/?id=e13bee33a0afb0cffc6e7750b6daf604cf19fc68', '2020-08-04 14:06:50 EDT', 'genie'), ('RESOLVED', '2020-08-08 02:46:15 EDT', 'fabrice.tiercelin'), ('FIXED', '2020-08-08 02:46:15 EDT', 'fabrice.tiercelin'), ('4.17 M3', '2020-08-20 17:12:04 EDT', 'jjohnstn'), ('VERIFIED', '2020-08-20 17:12:04 EDT', 'jjohnstn'), ('566680', '2020-09-05 12:19:18 EDT', 'noopur_gupta')]</t>
  </si>
  <si>
    <t>563540</t>
  </si>
  <si>
    <t>2020-08-08 02:46:43 EDT</t>
  </si>
  <si>
    <t>2020-08-20 15:11:52 EDT</t>
  </si>
  <si>
    <t>2020-04-13 13:58 EDT</t>
  </si>
  <si>
    <t>2020-04-13 13:59:57 EDT</t>
  </si>
  <si>
    <t>[('CREATED', '2020-04-13 13:58 EDT'), ('https://git.eclipse.org/r/160849', '2020-04-13 13:59:57 EDT', 'genie'), ('rgrunber', '2020-04-14 01:28:55 EDT', 'fabrice.tiercelin'), ('rgrunber', '2020-04-14 01:28:55 EDT', 'fabrice.tiercelin'), ('fabrice.tiercelin', '2020-04-14 01:28:55 EDT', 'fabrice.tiercelin'), ('ASSIGNED', '2020-04-14 01:29:06 EDT', 'fabrice.tiercelin'), ('Lars.Vogel', '2020-04-14 08:13:27 EDT', 'Lars.Vogel'), ('560385', '2020-04-14 08:13:27 EDT', 'Lars.Vogel'), ('gautier.desaintmartinlacaze', '2020-04-21 19:05:11 EDT', 'gautier.desaintmartinlacaze'), ('carsten.hammer', '2020-05-12 15:50:15 EDT', 'carsten.hammer'), ('563540', '2020-05-25 05:59:47 EDT', 'Lars.Vogel'), (nan, '2020-05-25 06:00:29 EDT', 'Lars.Vogel'), ('https://git.eclipse.org/r/c/jdt/eclipse.jdt.ui/+/160849', '2020-07-15 15:30:16 EDT', 'genie'), ('https://git.eclipse.org/c/jdt/eclipse.jdt.ui.git/commit/?id=258e2bf2d72ff5aa025b6350b9f0abbec3a3be13', '2020-07-15 16:24:11 EDT', 'genie'), ('https://git.eclipse.org/r/c/jdt/eclipse.jdt.ui/+/166561', '2020-07-20 16:30:17 EDT', 'genie'), ('https://git.eclipse.org/r/c/www.eclipse.org/eclipse/news/+/166754', '2020-07-23 15:50:23 EDT', 'genie'), ('https://git.eclipse.org/c/www.eclipse.org/eclipse/news.git/commit/?id=4a570634779e5bdf02a718030f84288131446bc6', '2020-08-04 02:19:14 EDT', 'genie'), ('RESOLVED', '2020-08-08 02:46:43 EDT', 'fabrice.tiercelin'), ('FIXED', '2020-08-08 02:46:43 EDT', 'fabrice.tiercelin'), ('noopur_gupta, sarika.sinha', '2020-08-19 15:31:20 EDT', 'sarika.sinha'), ('4.17 M3', '2020-08-19 15:31:20 EDT', 'sarika.sinha'), ('VERIFIED', '2020-08-20 15:11:52 EDT', 'rgrunber')]</t>
  </si>
  <si>
    <t>2020-04-20 00:36:37 EDT</t>
  </si>
  <si>
    <t>2020-11-21 03:45:04 EST</t>
  </si>
  <si>
    <t>2020-04-14 06:24 EDT</t>
  </si>
  <si>
    <t>2020-04-14 06:24:13 EDT</t>
  </si>
  <si>
    <t>[('CREATED', '2020-04-14 06:24 EDT'), ('fabrice.tiercelin, Lars.Vogel', '2020-04-14 06:24:13 EDT', 'Lars.Vogel'), ('jjohnstn', '2020-04-14 06:24:39 EDT', 'Lars.Vogel'), ('4.16 M3', '2020-04-14 06:30:47 EDT', 'Lars.Vogel'), ('All', '2020-04-14 08:01:45 EDT', 'fabrice.tiercelin'), ('All', '2020-04-14 08:01:45 EDT', 'fabrice.tiercelin'), ('Lars.Vogel', '2020-04-14 08:01:45 EDT', 'fabrice.tiercelin'), ('fabrice.tiercelin', '2020-04-14 08:01:45 EDT', 'fabrice.tiercelin'), ('ASSIGNED', '2020-04-14 08:02:05 EDT', 'fabrice.tiercelin'), ('https://git.eclipse.org/r/160898', '2020-04-14 09:58:29 EDT', 'genie'), ('RESOLVED', '2020-04-20 00:36:37 EDT', 'fabrice.tiercelin'), ('FIXED', '2020-04-20 00:36:37 EDT', 'fabrice.tiercelin'), ('VERIFIED', '2020-11-21 03:45:04 EST', 'fabrice.tiercelin')]</t>
  </si>
  <si>
    <t>2020-04-16 06:48:52 EDT</t>
  </si>
  <si>
    <t>2020-04-28 04:09:46 EDT</t>
  </si>
  <si>
    <t>2020-04-16 05:03 EDT</t>
  </si>
  <si>
    <t>2020-04-16 05:03:22 EDT</t>
  </si>
  <si>
    <t>[('CREATED', '2020-04-16 05:03 EDT'), ('4.16 M2', '2020-04-16 05:03:22 EDT', 'kalyan_prasad'), ('4.16 M3', '2020-04-16 05:03:22 EDT', 'kalyan_prasad'), ('https://git.eclipse.org/r/161040', '2020-04-16 05:04:40 EDT', 'genie'), ('https://git.eclipse.org/c/jdt/eclipse.jdt.ui.git/commit/?id=7920a82bd0efd78e743593e816487cbd7e7e09e4', '2020-04-16 06:48:35 EDT', 'genie'), ('RESOLVED', '2020-04-16 06:48:52 EDT', 'kalyan_prasad'), ('FIXED', '2020-04-16 06:48:52 EDT', 'kalyan_prasad'), ('kalyan_prasad', '2020-04-16 06:49:01 EDT', 'kalyan_prasad'), ('VERIFIED', '2020-04-28 04:09:46 EDT', 'kalyan_prasad')]</t>
  </si>
  <si>
    <t>2020-04-19 05:57 EDT</t>
  </si>
  <si>
    <t>2020-04-19 07:23:07 EDT</t>
  </si>
  <si>
    <t>[('CREATED', '2020-04-19 05:57 EDT'), ('daniel_megert', '2020-04-19 07:23:07 EDT', 'daniel_megert')]</t>
  </si>
  <si>
    <t>CLOSED  DUPLICATE  of bug 548510</t>
  </si>
  <si>
    <t>2020-04-28 16:11:11 EDT</t>
  </si>
  <si>
    <t>2020-04-28 06:09 EDT</t>
  </si>
  <si>
    <t>2020-04-28 06:27:29 EDT</t>
  </si>
  <si>
    <t>[('CREATED', '2020-04-28 06:09 EDT'), ('NOT_ECLIPSE', '2020-04-28 06:27:29 EDT', 'stephan.herrmann'), ('stephan.herrmann', '2020-04-28 06:27:29 EDT', 'stephan.herrmann'), ('CLOSED', '2020-04-28 06:27:29 EDT', 'stephan.herrmann'), ('stephan.herrmann', '2020-04-28 06:27:29 EDT', 'stephan.herrmann'), ('4.16 M3', '2020-04-28 06:27:29 EDT', 'stephan.herrmann'), ('DUPLICATE', '2020-04-28 16:11:11 EDT', 'stephan.herrmann'), ('4.16 M1', '2020-04-28 16:11:11 EDT', 'stephan.herrmann')]</t>
  </si>
  <si>
    <t>2020-05-01 12:51:25 EDT</t>
  </si>
  <si>
    <t>2020-11-21 03:44:54 EST</t>
  </si>
  <si>
    <t>2020-04-28 06:45 EDT</t>
  </si>
  <si>
    <t>2020-04-28 06:47:08 EDT</t>
  </si>
  <si>
    <t>[('CREATED', '2020-04-28 06:45 EDT'), ('https://git.eclipse.org/r/161653', '2020-04-28 06:47:08 EDT', 'genie'), ('carsten.hammer', '2020-04-28 06:48:55 EDT', 'fabrice.tiercelin'), ('ASSIGNED', '2020-04-28 06:48:55 EDT', 'fabrice.tiercelin'), ('fabrice.tiercelin', '2020-04-28 06:48:55 EDT', 'fabrice.tiercelin'), ('https://git.eclipse.org/c/jdt/eclipse.jdt.ui.git/commit/?id=17fb7315c609cd65ab18f1fa8fff53ed6f049cd4', '2020-05-01 12:28:23 EDT', 'genie'), ('RESOLVED', '2020-05-01 12:51:25 EDT', 'fabrice.tiercelin'), ('FIXED', '2020-05-01 12:51:25 EDT', 'fabrice.tiercelin'), ('VERIFIED', '2020-11-21 03:44:54 EST', 'fabrice.tiercelin')]</t>
  </si>
  <si>
    <t>565821</t>
  </si>
  <si>
    <t>2020-05-19 06:37:24 EDT</t>
  </si>
  <si>
    <t>2020-05-19 15:51:36 EDT</t>
  </si>
  <si>
    <t>2020-04-29 02:59 EDT</t>
  </si>
  <si>
    <t>2020-04-29 03:00:20 EDT</t>
  </si>
  <si>
    <t>2020-08-05 03:42:26 EDT</t>
  </si>
  <si>
    <t>[('CREATED', '2020-04-29 02:59 EDT'), ('ASSIGNED', '2020-04-29 03:00:20 EDT', 'fabrice.tiercelin'), ('fabrice.tiercelin', '2020-04-29 03:00:20 EDT', 'fabrice.tiercelin'), ('jjohnstn', '2020-04-29 03:00:20 EDT', 'fabrice.tiercelin'), ('https://git.eclipse.org/r/161713', '2020-04-29 03:02:52 EDT', 'genie'), ('https://git.eclipse.org/c/jdt/eclipse.jdt.ui.git/commit/?id=386fd22fdeb3002f62123e51ad2c91040e2c50ba', '2020-05-01 18:46:17 EDT', 'genie'), ('https://git.eclipse.org/r/162742', '2020-05-09 03:37:35 EDT', 'genie'), ('https://git.eclipse.org/c/www.eclipse.org/eclipse/news.git/commit/?id=0789dc9e5f4fd08006977a88000e33791bf17f6b', '2020-05-11 14:42:49 EDT', 'genie'), ('sarika.sinha', '2020-05-19 05:34:30 EDT', 'sarika.sinha'), ('noopur_gupta', '2020-05-19 06:34:50 EDT', 'sarika.sinha'), ('RESOLVED', '2020-05-19 06:37:24 EDT', 'noopur_gupta'), ('FIXED', '2020-05-19 06:37:24 EDT', 'noopur_gupta'), ('4.16 M3', '2020-05-19 06:37:24 EDT', 'noopur_gupta'), ('VERIFIED', '2020-05-19 15:51:36 EDT', 'jjohnstn'), ('simeon.danailov.andreev', '2020-08-04 07:58:01 EDT', 'simeon.danailov.andreev'), ('565821', '2020-08-05 03:42:26 EDT', 'noopur_gupta')]</t>
  </si>
  <si>
    <t>CLOSED  DUPLICATE  of bug 283287</t>
  </si>
  <si>
    <t>2020-06-10 10:40:43 EDT</t>
  </si>
  <si>
    <t>2020-04-30 02:44 EDT</t>
  </si>
  <si>
    <t>2020-04-30 02:44:37 EDT</t>
  </si>
  <si>
    <t>[('CREATED', '2020-04-30 02:44 EDT'), ('fabrice.tiercelin, Lars.Vogel', '2020-04-30 02:44:37 EDT', 'Lars.Vogel'), ('rgrunber', '2020-05-08 10:15:50 EDT', 'rgrunber'), ('rgrunber', '2020-05-08 10:15:50 EDT', 'rgrunber'), (nan, '2020-05-14 13:04:07 EDT', 'fabrice.tiercelin'), ('ASSIGNED', '2020-05-14 16:47:52 EDT', 'rgrunber'), ('rgrunber', '2020-05-14 16:47:52 EDT', 'rgrunber'), ('4.16 M3', '2020-05-14 16:47:52 EDT', 'rgrunber'), ('4.17 M1', '2020-05-18 07:15:21 EDT', 'noopur_gupta'), ('https://git.eclipse.org/r/163380', '2020-05-21 14:59:07 EDT', 'genie'), ('CLOSED', '2020-06-10 10:40:43 EDT', 'rgrunber'), ('DUPLICATE', '2020-06-10 10:40:43 EDT', 'rgrunber')]</t>
  </si>
  <si>
    <t>2020-04-30 06:15:56 EDT</t>
  </si>
  <si>
    <t>2020-05-19 02:48:24 EDT</t>
  </si>
  <si>
    <t>2020-04-30 03:36 EDT</t>
  </si>
  <si>
    <t>2020-04-30 03:36:29 EDT</t>
  </si>
  <si>
    <t>[('CREATED', '2020-04-30 03:36 EDT'), ('4.16 M3', '2020-04-30 03:36:29 EDT', 'kalyan_prasad'), ('kalyan_prasad', '2020-04-30 03:36:29 EDT', 'kalyan_prasad'), ('https://git.eclipse.org/r/161810', '2020-04-30 05:20:12 EDT', 'genie'), ('https://git.eclipse.org/c/jdt/eclipse.jdt.ui.git/commit/?id=f156620bb1ae492e41e324000c7709df3471303f', '2020-04-30 06:15:37 EDT', 'genie'), ('RESOLVED', '2020-04-30 06:15:56 EDT', 'kalyan_prasad'), ('FIXED', '2020-04-30 06:15:56 EDT', 'kalyan_prasad'), ('VERIFIED', '2020-05-19 02:48:24 EDT', 'kalyan_prasad')]</t>
  </si>
  <si>
    <t>544030 560836 (view as bug list)</t>
  </si>
  <si>
    <t>2020-04-30 06:07 EDT</t>
  </si>
  <si>
    <t>2020-08-20 18:39:31 EDT</t>
  </si>
  <si>
    <t>2020-11-26 09:26:23 EST</t>
  </si>
  <si>
    <t>[('CREATED', '2020-04-30 06:07 EDT'), ('carsten.hammer', '2020-08-20 18:39:31 EDT', 'carsten.hammer'), ('ASSIGNED', '2020-11-26 09:26:23 EST', 'noopur_gupta')]</t>
  </si>
  <si>
    <t>2020-05-14 12:40:58 EDT</t>
  </si>
  <si>
    <t>2020-04-30 08:27 EDT</t>
  </si>
  <si>
    <t>2020-05-08 10:30:52 EDT</t>
  </si>
  <si>
    <t>[('CREATED', '2020-04-30 08:27 EDT'), ('rgrunber', '2020-05-08 10:30:52 EDT', 'rgrunber'), ('enhancement', '2020-05-08 10:30:52 EDT', 'rgrunber'), ('julian.honnen', '2020-05-08 10:44:31 EDT', 'julian.honnen'), ('stephan.herrmann', '2020-05-08 12:10:59 EDT', 'stephan.herrmann'), ('noopur_gupta', '2020-05-11 03:26:30 EDT', 'noopur_gupta'), ('Lars.Vogel', '2020-05-14 12:40:58 EDT', 'Lars.Vogel'), ('RESOLVED', '2020-05-14 12:40:58 EDT', 'Lars.Vogel'), ('WORKSFORME', '2020-05-14 12:40:58 EDT', 'Lars.Vogel')]</t>
  </si>
  <si>
    <t>2020-04-30 10:24 EDT</t>
  </si>
  <si>
    <t>2020-04-30 13:51:18 EDT</t>
  </si>
  <si>
    <t>[('CREATED', '2020-04-30 10:24 EDT'), ('stephan.herrmann', '2020-04-30 13:51:18 EDT', 'stephan.herrmann')]</t>
  </si>
  <si>
    <t>2020-07-15 10:06:04 EDT</t>
  </si>
  <si>
    <t>2020-08-18 16:35:33 EDT</t>
  </si>
  <si>
    <t>2020-05-15 03:42 EDT</t>
  </si>
  <si>
    <t>2020-05-15 12:18:38 EDT</t>
  </si>
  <si>
    <t>2020-10-23 03:44:08 EDT</t>
  </si>
  <si>
    <t>[('CREATED', '2020-05-15 03:42 EDT'), ('rgrunber', '2020-05-15 12:18:38 EDT', 'rgrunber'), ('[code mining] Toggle from Quick Access', '2020-05-15 12:18:38 EDT', 'rgrunber'), ('stephan.herrmann', '2020-05-15 12:27:52 EDT', 'stephan.herrmann'), ('mistria', '2020-05-19 11:09:31 EDT', 'rgrunber'), ('rgrunber', '2020-05-19 11:09:31 EDT', 'rgrunber'), ('https://git.eclipse.org/r/163443', '2020-05-22 14:39:26 EDT', 'genie'), ('rgrunber', '2020-05-22 14:39:38 EDT', 'rgrunber'), ('4.17 M1', '2020-05-22 14:39:38 EDT', 'rgrunber'), ('4.17 M3', '2020-07-06 06:30:02 EDT', 'noopur_gupta'), ('https://git.eclipse.org/c/jdt/eclipse.jdt.ui.git/commit/?id=ce46a0fce5359e85d08fa93dcbacecb4078173c5', '2020-07-14 19:01:54 EDT', 'genie'), ('FIXED', '2020-07-15 10:06:04 EDT', 'rgrunber'), ('RESOLVED', '2020-07-15 10:06:04 EDT', 'rgrunber'), ('noteworthy', '2020-07-21 14:37:54 EDT', 'Lars.Vogel'), ('Lars.Vogel', '2020-07-21 14:37:54 EDT', 'Lars.Vogel'), ('VERIFIED', '2020-08-18 16:35:33 EDT', 'rgrunber'), ('https://git.eclipse.org/r/c/www.eclipse.org/eclipse/news/+/168027', '2020-08-20 15:01:25 EDT', 'genie'), ('https://git.eclipse.org/c/www.eclipse.org/eclipse/news.git/commit/?id=a40f9ecf9609dcf40d7a6ce9b876c11acf304787', '2020-08-20 16:27:21 EDT', 'genie'), ('https://bugs.eclipse.org/bugs/show_bug.cgi?id=568109', '2020-10-23 03:44:08 EDT', 'noopur_gupta')]</t>
  </si>
  <si>
    <t>2020-09-14 10:01:49 EDT</t>
  </si>
  <si>
    <t>2020-11-21 07:56:22 EST</t>
  </si>
  <si>
    <t>2020-05-15 14:43 EDT</t>
  </si>
  <si>
    <t>2020-05-15 16:01:41 EDT</t>
  </si>
  <si>
    <t>[('CREATED', '2020-05-15 14:43 EDT'), ('fabrice.tiercelin', '2020-05-15 16:01:41 EDT', 'fabrice.tiercelin'), ('ASSIGNED', '2020-05-24 02:31:26 EDT', 'fabrice.tiercelin'), ('fabrice.tiercelin', '2020-05-24 02:31:26 EDT', 'fabrice.tiercelin'), ('carsten.hammer', '2020-05-24 02:31:26 EDT', 'fabrice.tiercelin'), ('https://git.eclipse.org/r/c/jdt/eclipse.jdt.ui/+/166612', '2020-07-21 12:56:30 EDT', 'genie'), ('https://git.eclipse.org/c/jdt/eclipse.jdt.ui.git/commit/?id=a5e9d842f5272792d7c07d77482c07201c94535b', '2020-08-07 16:23:08 EDT', 'genie'), ('jjohnstn', '2020-08-19 01:19:24 EDT', 'carsten.hammer'), ('RESOLVED', '2020-09-14 10:01:49 EDT', 'fabrice.tiercelin'), ('fabrice.tiercelin', '2020-09-14 10:01:49 EDT', 'fabrice.tiercelin'), ('carsten.hammer', '2020-09-14 10:01:49 EDT', 'fabrice.tiercelin'), ('FIXED', '2020-09-14 10:01:49 EDT', 'fabrice.tiercelin'), ('VERIFIED', '2020-11-21 07:56:22 EST', 'fabrice.tiercelin')]</t>
  </si>
  <si>
    <t>2020-06-11 12:45:40 EDT</t>
  </si>
  <si>
    <t>2020-05-17 12:28 EDT</t>
  </si>
  <si>
    <t>2020-05-19 11:55:40 EDT</t>
  </si>
  <si>
    <t>[('CREATED', '2020-05-17 12:28 EDT'), ('https://git.eclipse.org/r/163249', '2020-05-19 11:55:40 EDT', 'genie'), ('jjohnstn', '2020-06-10 17:52:30 EDT', 'jjohnstn'), ('WONTFIX', '2020-06-11 12:45:40 EDT', 'carsten.hammer'), ('CLOSED', '2020-06-11 12:45:40 EDT', 'carsten.hammer')]</t>
  </si>
  <si>
    <t>2021-01-12 01:10:58 EST</t>
  </si>
  <si>
    <t>2020-11-19 05:15:40 EST</t>
  </si>
  <si>
    <t>2020-05-21 06:49 EDT</t>
  </si>
  <si>
    <t>2020-09-04 02:55:33 EDT</t>
  </si>
  <si>
    <t>[('CREATED', '2020-05-21 06:49 EDT'), ('ASSIGNED', '2020-09-04 02:55:33 EDT', 'noopur_gupta'), ('carsten.hammer', '2020-09-12 14:11:00 EDT', 'fabrice.tiercelin'), ('fabrice.tiercelin', '2020-09-12 14:11:00 EDT', 'fabrice.tiercelin'), ('fabrice.tiercelin', '2020-09-12 14:11:00 EDT', 'fabrice.tiercelin'), ('https://git.eclipse.org/r/c/jdt/eclipse.jdt.ui/+/168871', '2020-09-12 14:14:34 EDT', 'genie'), ('FIXED', '2020-09-17 08:38:32 EDT', 'fabrice.tiercelin'), ('RESOLVED', '2020-09-17 08:38:32 EDT', 'fabrice.tiercelin'), ('https://git.eclipse.org/c/jdt/eclipse.jdt.ui.git/commit/?id=2f60afbfe832c318123b74b19aca0d0b589e17dc', '2020-09-17 08:38:54 EDT', 'genie'), ('---', '2020-11-19 05:15:40 EST', 'noopur_gupta'), ('REOPENED', '2020-11-19 05:15:40 EST', 'noopur_gupta'), ('https://git.eclipse.org/r/c/jdt/eclipse.jdt.ui/+/172964', '2021-01-09 14:54:34 EST', 'genie'), ('https://git.eclipse.org/c/jdt/eclipse.jdt.ui.git/commit/?id=2b419ebbea0e02d2a791cd7b2a77613f8cc9d452', '2021-01-12 01:02:18 EST', 'genie'), ('RESOLVED', '2021-01-12 01:10:58 EST', 'fabrice.tiercelin'), ('4.19 M3', '2021-01-12 01:10:58 EST', 'fabrice.tiercelin'), ('FIXED', '2021-01-12 01:10:58 EST', 'fabrice.tiercelin')]</t>
  </si>
  <si>
    <t>2020-06-26 03:25:03 EDT</t>
  </si>
  <si>
    <t>2020-06-05 12:38 EDT</t>
  </si>
  <si>
    <t>2020-06-05 12:44:33 EDT</t>
  </si>
  <si>
    <t>[('CREATED', '2020-06-05 12:38 EDT'), ('https://git.eclipse.org/r/164197', '2020-06-05 12:44:33 EDT', 'genie'), ('https://git.eclipse.org/c/jdt/eclipse.jdt.ui.git/commit/?id=4dce8c4f14c9acd65e2552511d8b436e73fe811e', '2020-06-23 02:21:01 EDT', 'genie'), ('https://git.eclipse.org/r/165435', '2020-06-24 14:02:57 EDT', 'genie'), ('https://git.eclipse.org/c/jdt/eclipse.jdt.ui.git/commit/?id=ed519e5eaab5a547d714db3084defa888f06bac2', '2020-06-25 00:04:15 EDT', 'genie'), ('carsten.hammer', '2020-06-25 01:48:16 EDT', 'noopur_gupta'), ('4.17 M1', '2020-06-25 01:48:16 EDT', 'noopur_gupta'), ('Ed.Merks', '2020-06-25 04:57:59 EDT', 'Ed.Merks'), ('https://git.eclipse.org/r/165475', '2020-06-25 11:07:04 EDT', 'genie'), ('https://git.eclipse.org/c/jdt/eclipse.jdt.ui.git/commit/?id=c8683d7f19bc0f4ed86a2600424af290cedefe6c', '2020-06-25 12:09:43 EDT', 'genie'), ('FIXED', '2020-06-26 03:25:03 EDT', 'noopur_gupta'), ('daniel_megert, noopur_gupta', '2020-06-26 03:25:03 EDT', 'noopur_gupta'), ('RESOLVED', '2020-06-26 03:25:03 EDT', 'noopur_gupta')]</t>
  </si>
  <si>
    <t>564696 565458 (view as bug list)</t>
  </si>
  <si>
    <t>2020-06-23 04:26:34 EDT</t>
  </si>
  <si>
    <t>2020-07-07 07:13:56 EDT</t>
  </si>
  <si>
    <t>2020-06-16 06:03 EDT</t>
  </si>
  <si>
    <t>2020-06-16 08:46:07 EDT</t>
  </si>
  <si>
    <t>2020-07-28 06:07:29 EDT</t>
  </si>
  <si>
    <t>[('CREATED', '2020-06-16 06:03 EDT'), ('JDT', '2020-06-16 08:46:07 EDT', 'kalyan_prasad'), ('jdt-ui-inbox', '2020-06-16 08:46:07 EDT', 'kalyan_prasad'), ('kalyan_prasad', '2020-06-16 08:46:07 EDT', 'kalyan_prasad'), ('UI', '2020-06-16 08:46:07 EDT', 'kalyan_prasad'), ('needinfo', '2020-06-16 10:05:01 EDT', 'daniel_megert'), ('daniel_megert', '2020-06-16 10:05:01 EDT', 'daniel_megert'), ('[14] An attempt to Refactor/Rename causes NullPointerException', '2020-06-21 09:39:51 EDT', 'noopur_gupta'), ('carsten.hammer', '2020-06-22 23:51:51 EDT', 'carsten.hammer'), ('4.17 M1', '2020-06-23 02:37:17 EDT', 'kalyan_prasad'), ('kalyan_prasad', '2020-06-23 02:37:17 EDT', 'kalyan_prasad'), ('https://git.eclipse.org/r/165334', '2020-06-23 02:50:16 EDT', 'genie'), ('https://git.eclipse.org/c/jdt/eclipse.jdt.ui.git/commit/?id=9c61965d84d687b942dc09b3bd6b804f2ecf29a6', '2020-06-23 04:11:46 EDT', 'genie'), ('RESOLVED', '2020-06-23 04:26:34 EDT', 'kalyan_prasad'), ('FIXED', '2020-06-23 04:26:34 EDT', 'kalyan_prasad'), ('pnahay', '2020-06-29 03:11:18 EDT', 'noopur_gupta'), ('VERIFIED', '2020-07-07 07:13:56 EDT', 'kalyan_prasad'), ('clovis.seragiotto', '2020-07-28 06:07:29 EDT', 'kalyan_prasad')]</t>
  </si>
  <si>
    <t>2020-06-26 03:21:57 EDT</t>
  </si>
  <si>
    <t>2020-06-22 15:47 EDT</t>
  </si>
  <si>
    <t>2020-06-22 16:43:19 EDT</t>
  </si>
  <si>
    <t>[('CREATED', '2020-06-22 15:47 EDT'), ('jjohnstn', '2020-06-22 16:43:19 EDT', 'jjohnstn'), ('noopur_gupta', '2020-06-23 04:54:38 EDT', 'noopur_gupta'), ('sravankumarl', '2020-06-23 10:01:11 EDT', 'noopur_gupta'), ('rgrunber', '2020-06-23 14:31:02 EDT', 'rgrunber'), ('WORKSFORME', '2020-06-26 03:21:57 EDT', 'noopur_gupta'), ('noopur_gupta', '2020-06-26 03:21:57 EDT', 'noopur_gupta'), ('RESOLVED', '2020-06-26 03:21:57 EDT', 'noopur_gupta'), ('4.17 M1', '2020-06-26 03:21:57 EDT', 'noopur_gupta')]</t>
  </si>
  <si>
    <t>551600</t>
  </si>
  <si>
    <t>2020-09-19 09:48:51 EDT</t>
  </si>
  <si>
    <t>2020-11-21 03:44:34 EST</t>
  </si>
  <si>
    <t>2020-06-24 14:19 EDT</t>
  </si>
  <si>
    <t>2020-06-24 14:20:48 EDT</t>
  </si>
  <si>
    <t>[('CREATED', '2020-06-24 14:19 EDT'), ('heidelmeier', '2020-06-24 14:20:48 EDT', 'heidelmeier'), ('carsten.hammer', '2020-06-24 14:45:13 EDT', 'carsten.hammer'), ('manpalat', '2020-06-24 20:14:30 EDT', 'manpalat'), ('jdt-ui-inbox', '2020-06-24 20:14:30 EDT', 'manpalat'), ('UI', '2020-06-24 20:14:30 EDT', 'manpalat'), ('jjohnstn', '2020-06-25 01:42:35 EDT', 'noopur_gupta'), ('551600', '2020-06-25 01:42:35 EDT', 'noopur_gupta'), ('fabrice.tiercelin', '2020-06-25 01:42:35 EDT', 'noopur_gupta'), ('4.17 M1', '2020-06-25 01:42:35 EDT', 'noopur_gupta'), ('4.17 M3', '2020-07-09 06:39:50 EDT', 'noopur_gupta'), ('daniel_megert, noopur_gupta', '2020-08-17 03:41:26 EDT', 'noopur_gupta'), ('4.18', '2020-08-17 13:07:48 EDT', 'fabrice.tiercelin'), ('ASSIGNED', '2020-08-17 13:08:57 EDT', 'fabrice.tiercelin'), ('https://git.eclipse.org/r/c/jdt/eclipse.jdt.ui/+/169277', '2020-09-14 02:33:41 EDT', 'genie'), ('carsten.hammer', '2020-09-14 03:28:13 EDT', 'fabrice.tiercelin'), ('https://git.eclipse.org/c/jdt/eclipse.jdt.ui.git/commit/?id=1cd9105dac327441574cbbbe8e09f74cdaef0861', '2020-09-19 09:47:46 EDT', 'genie'), ('RESOLVED', '2020-09-19 09:48:51 EDT', 'fabrice.tiercelin'), ('FIXED', '2020-09-19 09:48:51 EDT', 'fabrice.tiercelin'), ('VERIFIED', '2020-11-21 03:44:34 EST', 'fabrice.tiercelin')]</t>
  </si>
  <si>
    <t>564867 (view as bug list)</t>
  </si>
  <si>
    <t>2020-06-29 12:14:19 EDT</t>
  </si>
  <si>
    <t>2020-07-07 08:32:18 EDT</t>
  </si>
  <si>
    <t>2020-06-26 08:47 EDT</t>
  </si>
  <si>
    <t>2020-06-29 08:33:52 EDT</t>
  </si>
  <si>
    <t>[('CREATED', '2020-06-26 08:47 EDT'), ('manpalat', '2020-06-29 08:33:52 EDT', 'manpalat'), ('UI', '2020-06-29 08:33:52 EDT', 'manpalat'), ('jdt-ui-inbox', '2020-06-29 08:33:52 EDT', 'manpalat'), ('kalyan_prasad', '2020-06-29 08:44:13 EDT', 'kalyan_prasad'), ('4.17 M1', '2020-06-29 08:44:13 EDT', 'kalyan_prasad'), ('kalyan_prasad', '2020-06-29 08:44:13 EDT', 'kalyan_prasad'), ('https://git.eclipse.org/r/c/jdt/eclipse.jdt.ui/+/165566', '2020-06-29 10:46:06 EDT', 'genie'), ('https://git.eclipse.org/c/jdt/eclipse.jdt.ui.git/commit/?id=a2b5e55566dae05a95328bae0209bb6f1ad966c3', '2020-06-29 12:13:47 EDT', 'genie'), ('FIXED', '2020-06-29 12:14:19 EDT', 'kalyan_prasad'), ('RESOLVED', '2020-06-29 12:14:19 EDT', 'kalyan_prasad'), ('t.kitynski', '2020-07-02 23:03:44 EDT', 'kalyan_prasad'), ('VERIFIED', '2020-07-07 08:32:18 EDT', 'kalyan_prasad')]</t>
  </si>
  <si>
    <t>CLOSED  DUPLICATE  of bug 564329</t>
  </si>
  <si>
    <t>2020-06-29 03:11:18 EDT</t>
  </si>
  <si>
    <t>2020-06-26 15:03 EDT</t>
  </si>
  <si>
    <t>2020-06-28 07:32:32 EDT</t>
  </si>
  <si>
    <t>2020-06-29 03:11:43 EDT</t>
  </si>
  <si>
    <t>[('CREATED', '2020-06-26 15:03 EDT'), ('UI', '2020-06-28 07:32:32 EDT', 'rolf.theunissen'), ('4.16', '2020-06-28 07:32:32 EDT', 'rolf.theunissen'), ('jdt-ui-inbox', '2020-06-28 07:32:32 EDT', 'rolf.theunissen'), ('JDT', '2020-06-28 07:32:32 EDT', 'rolf.theunissen'), ('noopur_gupta', '2020-06-29 03:11:18 EDT', 'noopur_gupta'), ('CLOSED', '2020-06-29 03:11:18 EDT', 'noopur_gupta'), ('DUPLICATE', '2020-06-29 03:11:18 EDT', 'noopur_gupta'), ('[14] Refactor -&gt; Rename bug', '2020-06-29 03:11:43 EDT', 'noopur_gupta')]</t>
  </si>
  <si>
    <t>2020-06-29 12:10:50 EDT</t>
  </si>
  <si>
    <t>2020-07-07 07:12:53 EDT</t>
  </si>
  <si>
    <t>2020-06-29 08:03 EDT</t>
  </si>
  <si>
    <t>2020-06-29 08:03:23 EDT</t>
  </si>
  <si>
    <t>[('CREATED', '2020-06-29 08:03 EDT'), ('4.17 M1', '2020-06-29 08:03:23 EDT', 'kalyan_prasad'), ('kalyan_prasad', '2020-06-29 08:03:31 EDT', 'kalyan_prasad'), ('https://git.eclipse.org/c/jdt/eclipse.jdt.ui.git/commit/?id=9d24e5bfdaf599765967c3a5c3a2fcaa5fdf7637', '2020-06-29 09:11:11 EDT', 'genie'), ('RESOLVED', '2020-06-29 12:10:50 EDT', 'kalyan_prasad'), ('FIXED', '2020-06-29 12:10:50 EDT', 'kalyan_prasad'), ('VERIFIED', '2020-07-07 07:12:53 EDT', 'kalyan_prasad')]</t>
  </si>
  <si>
    <t>CLOSED  DUPLICATE  of bug 564684</t>
  </si>
  <si>
    <t>2020-07-02 23:03:44 EDT</t>
  </si>
  <si>
    <t>2020-07-02 06:37 EDT</t>
  </si>
  <si>
    <t>2020-07-02 07:45:59 EDT</t>
  </si>
  <si>
    <t>[('CREATED', '2020-07-02 06:37 EDT'), ('t.kitynski', '2020-07-02 07:45:59 EDT', 't.kitynski'), ('jdt-ui-inbox', '2020-07-02 21:01:03 EDT', 'manpalat'), ('UI', '2020-07-02 21:01:03 EDT', 'manpalat'), ('kalyan_prasad, manpalat', '2020-07-02 21:01:03 EDT', 'manpalat'), ('DUPLICATE', '2020-07-02 23:03:44 EDT', 'kalyan_prasad'), ('CLOSED', '2020-07-02 23:03:44 EDT', 'kalyan_prasad')]</t>
  </si>
  <si>
    <t>2020-07-09 02:48 EDT</t>
  </si>
  <si>
    <t>2020-08-28 12:29:04 EDT</t>
  </si>
  <si>
    <t>2020-08-30 07:33:56 EDT</t>
  </si>
  <si>
    <t>[('CREATED', '2020-07-09 02:48 EDT'), ('carsten.hammer', '2020-08-28 12:29:04 EDT', 'carsten.hammer'), ('sravankumarl', '2020-08-30 07:15:27 EDT', 'noopur_gupta'), ('ASSIGNED', '2020-08-30 07:33:56 EDT', 'noopur_gupta')]</t>
  </si>
  <si>
    <t>2020-09-16 13:45:43 EDT</t>
  </si>
  <si>
    <t>2020-07-10 02:26 EDT</t>
  </si>
  <si>
    <t>2020-07-10 04:35:04 EDT</t>
  </si>
  <si>
    <t>2020-09-16 13:45:51 EDT</t>
  </si>
  <si>
    <t>[('CREATED', '2020-07-10 02:26 EDT'), ('ASSIGNED', '2020-07-10 04:35:04 EDT', 'noopur_gupta'), ('All', '2020-07-10 04:35:04 EDT', 'noopur_gupta'), ('All', '2020-07-10 04:35:04 EDT', 'noopur_gupta'), ('jjohnstn, rgrunber', '2020-07-10 04:35:04 EDT', 'noopur_gupta'), ('https://git.eclipse.org/r/c/jdt/eclipse.jdt.ui/+/168547', '2020-09-01 01:53:12 EDT', 'genie'), ('https://git.eclipse.org/r/c/jdt/eclipse.jdt.ui/+/168548', '2020-09-01 01:55:25 EDT', 'genie'), ('https://git.eclipse.org/r/c/jdt/eclipse.jdt.ui/+/168549', '2020-09-01 01:59:37 EDT', 'genie'), ('https://git.eclipse.org/r/c/jdt/eclipse.jdt.ui/+/168550', '2020-09-01 02:40:54 EDT', 'genie'), ('https://git.eclipse.org/r/c/jdt/eclipse.jdt.ui/+/168551', '2020-09-01 02:49:07 EDT', 'genie'), ('https://git.eclipse.org/r/c/jdt/eclipse.jdt.ui/+/168552', '2020-09-01 03:02:21 EDT', 'genie'), ('https://git.eclipse.org/r/c/jdt/eclipse.jdt.ui/+/168553', '2020-09-01 04:03:40 EDT', 'genie'), ('chenshi', '2020-09-01 04:06:11 EDT', 'noopur_gupta'), ('https://git.eclipse.org/r/c/jdt/eclipse.jdt.ui/+/168566', '2020-09-01 05:58:06 EDT', 'genie'), ('https://git.eclipse.org/r/c/jdt/eclipse.jdt.ui/+/168796', '2020-09-04 03:18:27 EDT', 'genie'), ('https://git.eclipse.org/c/jdt/eclipse.jdt.ui.git/commit/?id=9c69d4e18c47b09232986bc1aa96862a29099497', '2020-09-16 13:44:05 EDT', 'genie'), ('4.18 M1', '2020-09-16 13:45:43 EDT', 'jjohnstn'), ('RESOLVED', '2020-09-16 13:45:43 EDT', 'jjohnstn'), ('FIXED', '2020-09-16 13:45:43 EDT', 'jjohnstn'), ('jjohnstn', '2020-09-16 13:45:51 EDT', 'jjohnstn')]</t>
  </si>
  <si>
    <t>CLOSED  DUPLICATE  of bug 565352</t>
  </si>
  <si>
    <t>2020-07-20 04:58:28 EDT</t>
  </si>
  <si>
    <t>2020-07-20 04:54 EDT</t>
  </si>
  <si>
    <t>[('CREATED', '2020-07-20 04:54 EDT'), ('CLOSED', '2020-07-20 04:58:28 EDT', 'loskutov'), ('DUPLICATE', '2020-07-20 04:58:28 EDT', 'loskutov'), ('loskutov', '2020-07-20 04:58:28 EDT', 'loskutov')]</t>
  </si>
  <si>
    <t>2020-07-23 00:56 EDT</t>
  </si>
  <si>
    <t>[('CREATED', '2020-07-23 00:56 EDT'), ('kalyan_prasad', '2020-07-28 06:07:29 EDT', 'kalyan_prasad'), ('DUPLICATE', '2020-07-28 06:07:29 EDT', 'kalyan_prasad'), ('CLOSED', '2020-07-28 06:07:29 EDT', 'kalyan_prasad')]</t>
  </si>
  <si>
    <t>561403</t>
  </si>
  <si>
    <t>2020-07-31 05:30:37 EDT</t>
  </si>
  <si>
    <t>2020-07-29 09:21 EDT</t>
  </si>
  <si>
    <t>2020-07-29 09:22:13 EDT</t>
  </si>
  <si>
    <t>[('CREATED', '2020-07-29 09:21 EDT'), ('kalyan_prasad, manpalat', '2020-07-29 09:22:13 EDT', 'manpalat'), ('561403', '2020-07-30 02:12:21 EDT', 'noopur_gupta'), ('BETA J15', '2020-07-30 02:12:21 EDT', 'noopur_gupta'), ('kalyan_prasad', '2020-07-30 02:12:21 EDT', 'noopur_gupta'), ('ASSIGNED', '2020-07-30 02:12:21 EDT', 'noopur_gupta'), ('CLOSED', '2020-07-31 05:30:37 EDT', 'kalyan_prasad'), ('WORKSFORME', '2020-07-31 05:30:37 EDT', 'kalyan_prasad')]</t>
  </si>
  <si>
    <t>567364</t>
  </si>
  <si>
    <t>2020-10-02 23:09:05 EDT</t>
  </si>
  <si>
    <t>2020-11-21 03:44:25 EST</t>
  </si>
  <si>
    <t>2020-08-08 13:42 EDT</t>
  </si>
  <si>
    <t>2020-08-08 13:45:38 EDT</t>
  </si>
  <si>
    <t>[('CREATED', '2020-08-08 13:42 EDT'), ('https://git.eclipse.org/r/c/jdt/eclipse.jdt.ui/+/167424', '2020-08-08 13:45:38 EDT', 'genie'), ('jjohnstn', '2020-08-08 13:48:11 EDT', 'fabrice.tiercelin'), ('fabrice.tiercelin', '2020-08-08 13:48:11 EDT', 'fabrice.tiercelin'), ('ASSIGNED', '2020-08-08 13:48:11 EDT', 'fabrice.tiercelin'), ('567364', '2020-09-29 06:27:54 EDT', 'fabrice.tiercelin'), ('https://git.eclipse.org/c/jdt/eclipse.jdt.ui.git/commit/?id=4d007753dedb661eacfa9efceba5be0ea1b3db15', '2020-10-02 18:25:36 EDT', 'genie'), ('4.18 M1', '2020-10-02 18:26:36 EDT', 'jjohnstn'), ('RESOLVED', '2020-10-02 23:09:05 EDT', 'fabrice.tiercelin'), ('FIXED', '2020-10-02 23:09:05 EDT', 'fabrice.tiercelin'), ('[AutoRefactor immigration #18/136] [cleanup &amp; saveaction] Raise embedded if into parent if', '2020-10-06 12:10:47 EDT', 'fabrice.tiercelin'), ('https://git.eclipse.org/r/c/www.eclipse.org/eclipse/news/+/170391', '2020-10-06 12:22:50 EDT', 'genie'), ('https://git.eclipse.org/c/www.eclipse.org/eclipse/news.git/commit/?id=41c704f0ff96f44864285b8f0c79602a4a7a0796', '2020-10-06 12:30:03 EDT', 'genie'), ('VERIFIED', '2020-11-21 03:44:25 EST', 'fabrice.tiercelin')]</t>
  </si>
  <si>
    <t>563664</t>
  </si>
  <si>
    <t>2020-10-12 23:39:49 EDT</t>
  </si>
  <si>
    <t>2020-11-18 01:13:30 EST</t>
  </si>
  <si>
    <t>2020-08-30 07:09 EDT</t>
  </si>
  <si>
    <t>2020-08-30 07:09:58 EDT</t>
  </si>
  <si>
    <t>[('CREATED', '2020-08-30 07:09 EDT'), ('BETA J15', '2020-08-30 07:09:58 EDT', 'noopur_gupta'), ('regression', '2020-08-31 03:01:48 EDT', 'noopur_gupta'), ('Vikas.Chandra', '2020-08-31 06:09:17 EDT', 'sarika.sinha'), ('kalyan_prasad', '2020-09-01 02:01:55 EDT', 'kalyan_prasad'), ('Vikas.Chandra', '2020-09-01 03:10:30 EDT', 'kalyan_prasad'), ('kalyan_prasad', '2020-09-01 03:10:30 EDT', 'kalyan_prasad'), ('https://git.eclipse.org/r/c/jdt/eclipse.jdt.core/+/168564', '2020-09-01 05:55:51 EDT', 'genie'), ('https://git.eclipse.org/r/c/jdt/eclipse.jdt.core/+/168930', '2020-09-07 05:19:35 EDT', 'genie'), ('https://git.eclipse.org/r/c/jdt/eclipse.jdt.core/+/168935', '2020-09-07 07:29:32 EDT', 'genie'), ('https://git.eclipse.org/c/jdt/eclipse.jdt.core.git/commit/?id=ad13fa01cc09ee2baa3a67fcc1148cf2c5d2874c', '2020-09-07 08:19:33 EDT', 'genie'), ('normal', '2020-09-08 02:40:37 EDT', 'kalyan_prasad'), ('4.18 M1', '2020-09-08 02:40:37 EDT', 'kalyan_prasad'), ('noopur_gupta', '2020-09-08 02:48:17 EDT', 'kalyan_prasad'), ('UI', '2020-09-08 02:48:17 EDT', 'kalyan_prasad'), ('[15] Problems in renaming canonical constructor parameter', '2020-09-08 02:48:17 EDT', 'kalyan_prasad'), ('kalyan_prasad', '2020-09-08 02:48:17 EDT', 'kalyan_prasad'), (nan, '2020-09-08 02:48:32 EDT', 'kalyan_prasad'), ('4.18 M3', '2020-10-05 05:47:37 EDT', 'kalyan_prasad'), ('https://git.eclipse.org/r/c/jdt/eclipse.jdt.ui/+/170626', '2020-10-12 07:37:05 EDT', 'genie'), ('https://git.eclipse.org/c/jdt/eclipse.jdt.ui.git/commit/?id=d917db1c2051cc9456271ea8f637ff0f08d034b5', '2020-10-12 23:38:49 EDT', 'genie'), ('FIXED', '2020-10-12 23:39:49 EDT', 'kalyan_prasad'), ('RESOLVED', '2020-10-12 23:39:49 EDT', 'kalyan_prasad'), ('VERIFIED', '2020-11-18 01:13:30 EST', 'kalyan_prasad')]</t>
  </si>
  <si>
    <t>2020-09-02 04:49 EDT</t>
  </si>
  <si>
    <t>2020-09-02 05:21:42 EDT</t>
  </si>
  <si>
    <t>2020-09-02 05:29:29 EDT</t>
  </si>
  <si>
    <t>[('CREATED', '2020-09-02 04:49 EDT'), ('ASSIGNED', '2020-09-02 05:21:42 EDT', 'noopur_gupta'), ('enhancement', '2020-09-02 05:21:42 EDT', 'noopur_gupta'), ('Move packages from one plug-in to another with drag and drop', '2020-09-02 05:29:29 EDT', 'noopur_gupta')]</t>
  </si>
  <si>
    <t>2020-09-20 01:46:25 EDT</t>
  </si>
  <si>
    <t>2020-09-02 13:24 EDT</t>
  </si>
  <si>
    <t>2020-09-02 13:27:18 EDT</t>
  </si>
  <si>
    <t>[('CREATED', '2020-09-02 13:24 EDT'), ('https://git.eclipse.org/r/c/jdt/eclipse.jdt.ui/+/168681', '2020-09-02 13:27:18 EDT', 'genie'), ('carsten.hammer', '2020-09-03 07:10:52 EDT', 'noopur_gupta'), ('https://git.eclipse.org/c/jdt/eclipse.jdt.ui.git/commit/?id=458d75bdb00e8253a2af22d7dee0d019edbe3c92', '2020-09-18 18:00:48 EDT', 'genie'), ('4.18 M1', '2020-09-20 01:44:37 EDT', 'carsten.hammer'), ('jjohnstn', '2020-09-20 01:45:30 EDT', 'carsten.hammer'), ('RESOLVED', '2020-09-20 01:46:25 EDT', 'carsten.hammer'), ('FIXED', '2020-09-20 01:46:25 EDT', 'carsten.hammer')]</t>
  </si>
  <si>
    <t>2020-09-02 13:57 EDT</t>
  </si>
  <si>
    <t>2020-09-02 14:04:39 EDT</t>
  </si>
  <si>
    <t>2020-09-03 07:10:20 EDT</t>
  </si>
  <si>
    <t>[('CREATED', '2020-09-02 13:57 EDT'), ('https://git.eclipse.org/r/c/jdt/eclipse.jdt.ui/+/168684', '2020-09-02 14:04:39 EDT', 'genie'), ('carsten.hammer', '2020-09-03 07:10:20 EDT', 'noopur_gupta')]</t>
  </si>
  <si>
    <t>2020-09-28 15:35:51 EDT</t>
  </si>
  <si>
    <t>2020-09-02 14:17 EDT</t>
  </si>
  <si>
    <t>2020-09-02 14:20:06 EDT</t>
  </si>
  <si>
    <t>[('CREATED', '2020-09-02 14:17 EDT'), ('https://git.eclipse.org/r/c/jdt/eclipse.jdt.ui/+/168687', '2020-09-02 14:20:06 EDT', 'genie'), ('carsten.hammer', '2020-09-03 07:10:10 EDT', 'noopur_gupta'), ('https://git.eclipse.org/c/jdt/eclipse.jdt.ui.git/commit/?id=7b72c4792f2dd3d08f0c460df347182d0763596d', '2020-09-28 15:25:49 EDT', 'genie'), ('RESOLVED', '2020-09-28 15:35:51 EDT', 'carsten.hammer'), ('4.18 M1', '2020-09-28 15:35:51 EDT', 'carsten.hammer'), ('FIXED', '2020-09-28 15:35:51 EDT', 'carsten.hammer')]</t>
  </si>
  <si>
    <t>2020-09-08 05:42:15 EDT</t>
  </si>
  <si>
    <t>2020-09-08 03:38 EDT</t>
  </si>
  <si>
    <t>2020-09-08 03:38:19 EDT</t>
  </si>
  <si>
    <t>2020-09-08 05:42:39 EDT</t>
  </si>
  <si>
    <t>[('CREATED', '2020-09-08 03:38 EDT'), ('regression', '2020-09-08 03:38:19 EDT', 'kalyan_prasad'), ('kalyan_prasad', '2020-09-08 03:38:19 EDT', 'kalyan_prasad'), ('BETA J15', '2020-09-08 03:38:19 EDT', 'kalyan_prasad'), ('noopur_gupta, Vikas.Chandra', '2020-09-08 03:39:58 EDT', 'kalyan_prasad'), ('https://git.eclipse.org/r/c/jdt/eclipse.jdt.ui/+/168976', '2020-09-08 03:41:08 EDT', 'genie'), ('RESOLVED', '2020-09-08 05:42:15 EDT', 'kalyan_prasad'), ('FIXED', '2020-09-08 05:42:15 EDT', 'kalyan_prasad'), ('https://git.eclipse.org/c/jdt/eclipse.jdt.ui.git/commit/?id=a0ead784dd9f9849838ccbcb97b511446970cd43', '2020-09-08 05:42:39 EDT', 'genie')]</t>
  </si>
  <si>
    <t>568584</t>
  </si>
  <si>
    <t>2020-11-04 11:35:59 EST</t>
  </si>
  <si>
    <t>2020-11-24 00:17:31 EST</t>
  </si>
  <si>
    <t>2020-09-08 05:44 EDT</t>
  </si>
  <si>
    <t>2020-09-08 05:46:37 EDT</t>
  </si>
  <si>
    <t>2020-12-19 09:47:50 EST</t>
  </si>
  <si>
    <t>[('CREATED', '2020-09-08 05:44 EDT'), ('noopur_gupta', '2020-09-08 05:46:37 EDT', 'noopur_gupta'), ('4.18 M1', '2020-09-08 05:46:37 EDT', 'noopur_gupta'), ('kalyan_prasad', '2020-09-08 05:46:37 EDT', 'noopur_gupta'), ('ASSIGNED', '2020-09-08 05:46:37 EDT', 'noopur_gupta'), ('4.18 M3', '2020-10-05 05:49:08 EDT', 'kalyan_prasad'), ('https://git.eclipse.org/r/c/jdt/eclipse.jdt.ui/+/171736', '2020-11-04 05:25:51 EST', 'genie'), ('https://git.eclipse.org/c/jdt/eclipse.jdt.ui.git/commit/?id=76a15cdfb09a63a6656b32d0d7087f9ef8cc0ede', '2020-11-04 05:48:46 EST', 'genie'), ('FIXED', '2020-11-04 11:35:59 EST', 'kalyan_prasad'), ('RESOLVED', '2020-11-04 11:35:59 EST', 'kalyan_prasad'), ('568584', '2020-11-06 02:57:12 EST', 'noopur_gupta'), ('VERIFIED', '2020-11-24 00:17:31 EST', 'kalyan_prasad'), ('pyvesdev', '2020-12-19 09:47:50 EST', 'pyvesdev')]</t>
  </si>
  <si>
    <t>567438</t>
  </si>
  <si>
    <t>2020-09-30 03:19:46 EDT</t>
  </si>
  <si>
    <t>2020-11-21 07:52:53 EST</t>
  </si>
  <si>
    <t>2020-09-29 08:08:41 EDT</t>
  </si>
  <si>
    <t>2020-09-08 13:48 EDT</t>
  </si>
  <si>
    <t>2020-09-08 16:49:39 EDT</t>
  </si>
  <si>
    <t>[('CREATED', '2020-09-08 13:48 EDT'), ('ASSIGNED', '2020-09-08 16:49:39 EDT', 'jjohnstn'), ('jjohnstn', '2020-09-08 16:49:39 EDT', 'jjohnstn'), ('https://git.eclipse.org/r/c/jdt/eclipse.jdt.ui/+/169033', '2020-09-12 11:40:43 EDT', 'genie'), ('carsten.hammer', '2020-09-17 07:51:17 EDT', 'fabrice.tiercelin'), ('RESOLVED', '2020-09-17 07:51:17 EDT', 'fabrice.tiercelin'), ('FIXED', '2020-09-17 07:51:17 EDT', 'fabrice.tiercelin'), ('fabrice.tiercelin', '2020-09-17 07:51:17 EDT', 'fabrice.tiercelin'), ('fabrice.tiercelin', '2020-09-17 07:51:17 EDT', 'fabrice.tiercelin'), ('https://git.eclipse.org/c/jdt/eclipse.jdt.ui.git/commit/?id=edfc413ab84698826a23cf1e30b0536f6757279f', '2020-09-17 07:51:26 EDT', 'genie'), ('4.18 M1', '2020-09-18 22:56:25 EDT', 'kalyan_prasad'), ('kalyan_prasad', '2020-09-18 22:56:25 EDT', 'kalyan_prasad'), ('[dogfooding][cleanup][mass change] Merge conditions of if/else if/else that have the same blocks', '2020-09-28 05:45:45 EDT', 'fabrice.tiercelin'), ('https://git.eclipse.org/r/c/jdt/eclipse.jdt.ui/+/168923', '2020-09-29 08:06:55 EDT', 'genie'), ('---', '2020-09-29 08:08:41 EDT', 'noopur_gupta'), ('REOPENED', '2020-09-29 08:08:41 EDT', 'noopur_gupta'), ('daniel_megert, noopur_gupta', '2020-09-29 08:08:41 EDT', 'noopur_gupta'), ('loskutov', '2020-09-29 08:11:36 EDT', 'loskutov'), ('567438', '2020-09-29 08:15:13 EDT', 'noopur_gupta'), ('RESOLVED', '2020-09-30 03:19:46 EDT', 'noopur_gupta'), ('FIXED', '2020-09-30 03:19:46 EDT', 'noopur_gupta'), ('https://git.eclipse.org/c/jdt/eclipse.jdt.ui.git/commit/?id=b363823de5c913cb8a509a5caa11932cd5613dd4', '2020-10-02 01:35:07 EDT', 'genie'), ('VERIFIED', '2020-11-21 07:52:53 EST', 'fabrice.tiercelin')]</t>
  </si>
  <si>
    <t>2020-09-08 15:59 EDT</t>
  </si>
  <si>
    <t>2020-09-08 18:38:29 EDT</t>
  </si>
  <si>
    <t>2020-11-05 16:23:42 EST</t>
  </si>
  <si>
    <t>[('CREATED', '2020-09-08 15:59 EDT'), ('akurtako, jjohnstn, mat.booth', '2020-09-08 18:38:29 EDT', 'jjohnstn'), ('Lars.Vogel', '2020-09-29 11:23:53 EDT', 'Lars.Vogel'), ('https://git.eclipse.org/r/c/jdt/eclipse.jdt.ui/+/170041', '2020-09-29 11:27:16 EDT', 'genie'), ('https://bugs.eclipse.org/bugs/show_bug.cgi?id=567979', '2020-11-05 16:23:42 EST', 'carsten.hammer')]</t>
  </si>
  <si>
    <t>2021-01-13 01:46:24 EST</t>
  </si>
  <si>
    <t>2020-09-10 06:44 EDT</t>
  </si>
  <si>
    <t>2020-09-10 06:44:36 EDT</t>
  </si>
  <si>
    <t>2021-01-13 01:46:35 EST</t>
  </si>
  <si>
    <t>[('CREATED', '2020-09-10 06:44 EDT'), ('manpalat', '2020-09-10 06:44:36 EDT', 'manpalat'), ('[15] record - Refactor -&gt; Extract Interface not adding implements', '2020-09-10 06:49:27 EDT', 'manpalat'), ('kalyan_prasad', '2020-09-10 06:51:14 EDT', 'manpalat'), ('ASSIGNED', '2020-12-09 07:01:47 EST', 'noopur_gupta'), ('noopur_gupta', '2020-12-09 07:01:47 EST', 'noopur_gupta'), ('4.19 M1', '2020-12-09 07:01:47 EST', 'noopur_gupta'), ('noopur_gupta', '2020-12-09 07:01:47 EST', 'noopur_gupta'), ('All', '2020-12-09 07:02:10 EST', 'noopur_gupta'), ('All', '2020-12-09 07:02:10 EST', 'noopur_gupta'), ('4.19 M3', '2021-01-04 02:53:09 EST', 'noopur_gupta'), ('https://git.eclipse.org/r/c/jdt/eclipse.jdt.ui/+/174691', '2021-01-12 06:02:23 EST', 'genie'), ('FIXED', '2021-01-13 01:46:24 EST', 'noopur_gupta'), ('RESOLVED', '2021-01-13 01:46:24 EST', 'noopur_gupta'), ('4.19 M2', '2021-01-13 01:46:33 EST', 'noopur_gupta'), ('https://git.eclipse.org/c/jdt/eclipse.jdt.ui.git/commit/?id=f6acc30d17cdf3691713aad6d741921688019bdb', '2021-01-13 01:46:35 EST', 'genie')]</t>
  </si>
  <si>
    <t>2020-11-20 04:02:36 EST</t>
  </si>
  <si>
    <t>2020-11-24 00:15:07 EST</t>
  </si>
  <si>
    <t>2020-11-18 06:39:57 EST</t>
  </si>
  <si>
    <t>2020-09-10 11:19 EDT</t>
  </si>
  <si>
    <t>2020-09-10 11:19:16 EDT</t>
  </si>
  <si>
    <t>[('CREATED', '2020-09-10 11:19 EDT'), ('kalyan_prasad, manpalat', '2020-09-10 11:19:16 EDT', 'manpalat'), ('kalyan_prasad', '2020-09-10 11:36:23 EDT', 'noopur_gupta'), ('4.18 M1', '2020-09-10 11:36:23 EDT', 'noopur_gupta'), ('4.18 M3', '2020-10-05 05:48:16 EDT', 'kalyan_prasad'), ('https://git.eclipse.org/r/c/jdt/eclipse.jdt.ui/+/171656', '2020-11-03 02:32:01 EST', 'genie'), ('https://git.eclipse.org/c/jdt/eclipse.jdt.ui.git/commit/?id=473732f524bc249284bde05e5b1000c5ad3a876e', '2020-11-04 02:27:02 EST', 'genie'), ('FIXED', '2020-11-04 02:29:23 EST', 'kalyan_prasad'), ('RESOLVED', '2020-11-04 02:29:23 EST', 'kalyan_prasad'), ('VERIFIED', '2020-11-18 01:16:05 EST', 'kalyan_prasad'), ('REOPENED', '2020-11-18 06:39:57 EST', 'kalyan_prasad'), ('4.18 RC1', '2020-11-18 06:39:57 EST', 'kalyan_prasad'), ('---', '2020-11-18 06:39:57 EST', 'kalyan_prasad'), ('https://git.eclipse.org/r/c/jdt/eclipse.jdt.ui/+/172427', '2020-11-18 06:57:53 EST', 'genie'), ('noopur_gupta', '2020-11-18 07:02:11 EST', 'kalyan_prasad'), ('review?(noopur_gupta)', '2020-11-18 07:02:11 EST', 'kalyan_prasad'), ('ASSIGNED', '2020-11-19 01:42:57 EST', 'noopur_gupta'), ('review+', '2020-11-19 01:44:12 EST', 'noopur_gupta'), ('https://git.eclipse.org/c/jdt/eclipse.jdt.ui.git/commit/?id=212dd1de750ce15c1abcefc85785a516261a8001', '2020-11-20 04:01:35 EST', 'genie'), ('FIXED', '2020-11-20 04:02:36 EST', 'kalyan_prasad'), ('RESOLVED', '2020-11-20 04:02:36 EST', 'kalyan_prasad'), ('VERIFIED', '2020-11-24 00:15:07 EST', 'kalyan_prasad')]</t>
  </si>
  <si>
    <t>2020-09-11 01:30 EDT</t>
  </si>
  <si>
    <t>2020-09-11 02:16:08 EDT</t>
  </si>
  <si>
    <t>2020-09-11 02:16:41 EDT</t>
  </si>
  <si>
    <t>[('CREATED', '2020-09-11 01:30 EDT'), ('jarthana, kalyan_prasad, manpalat', '2020-09-11 02:16:08 EDT', 'manpalat'), ('[15] refactoring pattern instanceof with Use SuperType option produces incorrect code', '2020-09-11 02:16:41 EDT', 'manpalat')]</t>
  </si>
  <si>
    <t>2020-09-11 02:26 EDT</t>
  </si>
  <si>
    <t>2020-09-11 02:26:31 EDT</t>
  </si>
  <si>
    <t>[('CREATED', '2020-09-11 02:26 EDT'), ('jarthana, kalyan_prasad, manpalat', '2020-09-11 02:26:31 EDT', 'manpalat')]</t>
  </si>
  <si>
    <t>2020-09-11 02:38 EDT</t>
  </si>
  <si>
    <t>2020-09-11 02:38:54 EDT</t>
  </si>
  <si>
    <t>[('CREATED', '2020-09-11 02:38 EDT'), ('jarthana, kalyan_prasad, manpalat', '2020-09-11 02:38:54 EDT', 'manpalat')]</t>
  </si>
  <si>
    <t>2020-10-05 03:14:15 EDT</t>
  </si>
  <si>
    <t>2020-10-07 02:19:57 EDT</t>
  </si>
  <si>
    <t>2020-09-14 05:07 EDT</t>
  </si>
  <si>
    <t>2020-09-14 05:08:07 EDT</t>
  </si>
  <si>
    <t>[('CREATED', '2020-09-14 05:07 EDT'), ('kalyan_prasad, manpalat', '2020-09-14 05:08:07 EDT', 'manpalat'), ('[15] refactor move record component gives Internal Error', '2020-09-14 05:08:07 EDT', 'manpalat'), ('ASSIGNED', '2020-09-14 05:45:21 EDT', 'kalyan_prasad'), ('4.18 M1', '2020-09-14 05:45:21 EDT', 'kalyan_prasad'), ('kalyan_prasad', '2020-09-14 05:45:30 EDT', 'kalyan_prasad'), ('https://git.eclipse.org/r/c/jdt/eclipse.jdt.ui/+/170294', '2020-10-05 02:01:38 EDT', 'genie'), ('https://git.eclipse.org/c/jdt/eclipse.jdt.ui.git/commit/?id=b2ea56aa12dc09b5f95ec858203e734ab23c9d41', '2020-10-05 03:01:23 EDT', 'genie'), ('RESOLVED', '2020-10-05 03:14:15 EDT', 'kalyan_prasad'), ('FIXED', '2020-10-05 03:14:15 EDT', 'kalyan_prasad'), ('VERIFIED', '2020-10-07 02:19:57 EDT', 'kalyan_prasad')]</t>
  </si>
  <si>
    <t>2020-11-20 07:15:17 EST</t>
  </si>
  <si>
    <t>2020-11-24 00:12:52 EST</t>
  </si>
  <si>
    <t>2020-09-14 05:49 EDT</t>
  </si>
  <si>
    <t>2020-09-14 05:50:08 EDT</t>
  </si>
  <si>
    <t>[('CREATED', '2020-09-14 05:49 EDT'), ('kalyan_prasad, manpalat', '2020-09-14 05:50:08 EDT', 'manpalat'), ('4.18', '2020-09-15 02:41:59 EDT', 'kalyan_prasad'), ('ASSIGNED', '2020-09-15 02:41:59 EDT', 'kalyan_prasad'), ('noopur_gupta', '2020-10-08 07:59:40 EDT', 'noopur_gupta'), ('noopur_gupta', '2020-10-08 07:59:40 EDT', 'noopur_gupta'), ('4.18 M3', '2020-10-08 07:59:40 EDT', 'noopur_gupta'), ('4.18 M1', '2020-11-10 04:59:31 EST', 'noopur_gupta'), ('4.19 M1', '2020-11-10 05:00:17 EST', 'noopur_gupta'), ('https://git.eclipse.org/r/c/jdt/eclipse.jdt.ui/+/172556', '2020-11-20 05:05:47 EST', 'genie'), ('review?(noopur_gupta)', '2020-11-20 05:06:14 EST', 'kalyan_prasad'), ('kalyan_prasad', '2020-11-20 05:06:14 EST', 'kalyan_prasad'), ('4.18 RC1', '2020-11-20 05:06:14 EST', 'kalyan_prasad'), ('review+', '2020-11-20 05:17:26 EST', 'noopur_gupta'), ('https://git.eclipse.org/c/jdt/eclipse.jdt.ui.git/commit/?id=b09d4f56148a1c94e4f74a26f9dae0c513e45ca3', '2020-11-20 07:14:46 EST', 'genie'), ('FIXED', '2020-11-20 07:15:17 EST', 'kalyan_prasad'), ('RESOLVED', '2020-11-20 07:15:17 EST', 'kalyan_prasad'), ('VERIFIED', '2020-11-24 00:12:52 EST', 'kalyan_prasad')]</t>
  </si>
  <si>
    <t>2020-09-14 06:04 EDT</t>
  </si>
  <si>
    <t>2020-09-14 06:05:01 EDT</t>
  </si>
  <si>
    <t>2020-11-10 07:24:02 EST</t>
  </si>
  <si>
    <t>[('CREATED', '2020-09-14 06:04 EDT'), ('kalyan_prasad, manpalat', '2020-09-14 06:05:01 EDT', 'manpalat'), ('ASSIGNED', '2020-09-15 02:36:47 EDT', 'kalyan_prasad'), ('4.18', '2020-09-15 02:36:57 EDT', 'kalyan_prasad'), ('4.19', '2020-11-10 07:24:02 EST', 'noopur_gupta')]</t>
  </si>
  <si>
    <t>2020-12-09 06:32:25 EST</t>
  </si>
  <si>
    <t>2021-01-06 04:51:33 EST</t>
  </si>
  <si>
    <t>2020-09-14 06:11 EDT</t>
  </si>
  <si>
    <t>2020-09-14 06:11:44 EDT</t>
  </si>
  <si>
    <t>[('CREATED', '2020-09-14 06:11 EDT'), ('kalyan_prasad, manpalat', '2020-09-14 06:11:44 EDT', 'manpalat'), ('All', '2020-09-14 06:11:44 EDT', 'manpalat'), ('All', '2020-09-14 06:11:44 EDT', 'manpalat'), ('[15] record Compact Constructor - Refactor -&gt; Introduce Factory gives InvocationTargetException due to IAE', '2020-09-14 06:11:53 EDT', 'manpalat'), ('ASSIGNED', '2020-12-09 06:28:54 EST', 'noopur_gupta'), ('noopur_gupta', '2020-12-09 06:28:54 EST', 'noopur_gupta'), ('4.19 M1', '2020-12-09 06:28:54 EST', 'noopur_gupta'), ('RESOLVED', '2020-12-09 06:32:25 EST', 'noopur_gupta'), ('FIXED', '2020-12-09 06:32:25 EST', 'noopur_gupta'), ('VERIFIED', '2021-01-06 04:51:33 EST', 'noopur_gupta')]</t>
  </si>
  <si>
    <t>2020-09-15 00:20 EDT</t>
  </si>
  <si>
    <t>2020-09-15 03:01:33 EDT</t>
  </si>
  <si>
    <t>[('CREATED', '2020-09-15 00:20 EDT'), ('UI', '2020-09-15 03:01:33 EDT', 'noopur_gupta'), ('jdt-ui-inbox', '2020-09-15 03:01:33 EDT', 'noopur_gupta')]</t>
  </si>
  <si>
    <t>2020-10-05 04:53:32 EDT</t>
  </si>
  <si>
    <t>2020-10-07 02:23:29 EDT</t>
  </si>
  <si>
    <t>2020-09-15 02:53 EDT</t>
  </si>
  <si>
    <t>2020-09-15 02:53:28 EDT</t>
  </si>
  <si>
    <t>[('CREATED', '2020-09-15 02:53 EDT'), ('kalyan_prasad, manpalat', '2020-09-15 02:53:28 EDT', 'manpalat'), ('[15] record - Compact Constructor Refactor -&gt; Move to class - gives error', '2020-09-15 02:54:49 EDT', 'manpalat'), ('ASSIGNED', '2020-09-16 01:12:33 EDT', 'kalyan_prasad'), ('4.18 M1', '2020-09-16 01:12:33 EDT', 'kalyan_prasad'), ('kalyan_prasad', '2020-10-01 07:21:38 EDT', 'noopur_gupta'), ('[15] record - Compact Constructor Refactor -&gt; Move to class - gives error . Move Operation should not be allowed for Constructors', '2020-10-05 03:15:16 EDT', 'kalyan_prasad'), ('https://git.eclipse.org/r/c/jdt/eclipse.jdt.ui/+/170304', '2020-10-05 03:16:36 EDT', 'genie'), ('https://git.eclipse.org/c/jdt/eclipse.jdt.ui.git/commit/?id=cd85f417d0f06ba035c5846856aee1ceff8a3ab8', '2020-10-05 04:52:48 EDT', 'genie'), ('RESOLVED', '2020-10-05 04:53:32 EDT', 'kalyan_prasad'), ('FIXED', '2020-10-05 04:53:32 EDT', 'kalyan_prasad'), ('VERIFIED', '2020-10-07 02:23:29 EDT', 'kalyan_prasad')]</t>
  </si>
  <si>
    <t>2020-09-22 01:37:10 EDT</t>
  </si>
  <si>
    <t>2020-11-21 03:43:57 EST</t>
  </si>
  <si>
    <t>2020-09-15 07:03 EDT</t>
  </si>
  <si>
    <t>2020-09-15 07:04:48 EDT</t>
  </si>
  <si>
    <t>[('CREATED', '2020-09-15 07:03 EDT'), ('https://git.eclipse.org/r/c/jdt/eclipse.jdt.ui/+/169360', '2020-09-15 07:04:48 EDT', 'genie'), ('ASSIGNED', '2020-09-15 08:14:01 EDT', 'fabrice.tiercelin'), ('carsten.hammer', '2020-09-15 08:14:01 EDT', 'fabrice.tiercelin'), ('fabrice.tiercelin', '2020-09-15 08:14:01 EDT', 'fabrice.tiercelin'), ('https://bugs.eclipse.org/bugs/show_bug.cgi?id=567151', '2020-09-20 04:48:02 EDT', 'carsten.hammer'), ('https://git.eclipse.org/c/jdt/eclipse.jdt.ui.git/commit/?id=8e9b31a17c13bc2592fd7e434edab6e062cd26d3', '2020-09-22 01:36:45 EDT', 'genie'), ('4.18 M1', '2020-09-22 01:37:10 EDT', 'fabrice.tiercelin'), ('RESOLVED', '2020-09-22 01:37:10 EDT', 'fabrice.tiercelin'), ('FIXED', '2020-09-22 01:37:10 EDT', 'fabrice.tiercelin'), ('https://git.eclipse.org/r/c/www.eclipse.org/eclipse/news/+/170383', '2020-10-06 11:33:37 EDT', 'genie'), ('https://git.eclipse.org/c/www.eclipse.org/eclipse/news.git/commit/?id=39c73291421b2922af592f274ca89248bc0090b5', '2020-10-06 11:40:03 EDT', 'genie'), ('VERIFIED', '2020-11-21 03:43:57 EST', 'fabrice.tiercelin')]</t>
  </si>
  <si>
    <t>2020-09-18 01:59:59 EDT</t>
  </si>
  <si>
    <t>2020-11-21 03:43:32 EST</t>
  </si>
  <si>
    <t>2020-09-15 13:23 EDT</t>
  </si>
  <si>
    <t>2020-09-15 13:24:28 EDT</t>
  </si>
  <si>
    <t>[('CREATED', '2020-09-15 13:23 EDT'), ('https://git.eclipse.org/r/c/jdt/eclipse.jdt.ui/+/169402', '2020-09-15 13:24:28 EDT', 'genie'), ('RESOLVED', '2020-09-18 01:59:59 EDT', 'fabrice.tiercelin'), ('FIXED', '2020-09-18 01:59:59 EDT', 'fabrice.tiercelin'), ('https://git.eclipse.org/c/jdt/eclipse.jdt.ui.git/commit/?id=e314adc8962eca3f45dcb31f34d9c0dc1b19374d', '2020-09-18 02:00:49 EDT', 'genie'), ('VERIFIED', '2020-11-21 03:43:32 EST', 'fabrice.tiercelin')]</t>
  </si>
  <si>
    <t>2020-09-16 03:41 EDT</t>
  </si>
  <si>
    <t>2020-09-16 04:03:28 EDT</t>
  </si>
  <si>
    <t>[('CREATED', '2020-09-16 03:41 EDT'), ('jdt-ui-inbox', '2020-09-16 04:03:28 EDT', 'manpalat'), ('UI', '2020-09-16 04:03:28 EDT', 'manpalat'), ('kalyan_prasad, manpalat', '2020-09-16 04:03:28 EDT', 'manpalat')]</t>
  </si>
  <si>
    <t>2020-09-18 11:58:06 EDT</t>
  </si>
  <si>
    <t>2020-11-21 07:48:52 EST</t>
  </si>
  <si>
    <t>2020-09-18 03:38:51 EDT</t>
  </si>
  <si>
    <t>2020-09-17 13:22 EDT</t>
  </si>
  <si>
    <t>2020-09-17 13:24:23 EDT</t>
  </si>
  <si>
    <t>[('CREATED', '2020-09-17 13:22 EDT'), ('https://git.eclipse.org/r/c/jdt/eclipse.jdt.ui/+/168530', '2020-09-17 13:24:23 EDT', 'genie'), ('kalyan_prasad', '2020-09-17 23:56:45 EDT', 'kalyan_prasad'), ('ASSIGNED', '2020-09-17 23:56:45 EDT', 'kalyan_prasad'), ('carsten.hammer', '2020-09-17 23:56:45 EDT', 'kalyan_prasad'), ('noopur_gupta', '2020-09-18 00:00:23 EDT', 'kalyan_prasad'), ('https://git.eclipse.org/c/jdt/eclipse.jdt.ui.git/commit/?id=04e62f48181a4f5a36ba31b42e44ada42465b941', '2020-09-18 03:20:46 EDT', 'genie'), ('fabrice.tiercelin', '2020-09-18 03:21:06 EDT', 'fabrice.tiercelin'), ('fabrice.tiercelin', '2020-09-18 03:21:06 EDT', 'fabrice.tiercelin'), ('RESOLVED', '2020-09-18 03:21:06 EDT', 'fabrice.tiercelin'), ('FIXED', '2020-09-18 03:21:06 EDT', 'fabrice.tiercelin'), ('daniel_megert, jjohnstn', '2020-09-18 03:38:51 EDT', 'noopur_gupta'), ('REOPENED', '2020-09-18 03:38:51 EDT', 'noopur_gupta'), ('---', '2020-09-18 03:38:51 EDT', 'noopur_gupta'), ('4.18 M1', '2020-09-18 03:38:51 EDT', 'noopur_gupta'), ('RESOLVED', '2020-09-18 11:58:06 EDT', 'noopur_gupta'), ('FIXED', '2020-09-18 11:58:06 EDT', 'noopur_gupta'), ('https://git.eclipse.org/c/jdt/eclipse.jdt.ui.git/commit/?id=70519e80d01d7c68a54e479fdd72edede76b07c1', '2020-10-25 16:13:50 EDT', 'genie'), ('VERIFIED', '2020-11-21 07:48:52 EST', 'fabrice.tiercelin')]</t>
  </si>
  <si>
    <t>2020-09-19 13:58:14 EDT</t>
  </si>
  <si>
    <t>2020-11-21 03:43:12 EST</t>
  </si>
  <si>
    <t>2020-09-19 07:09 EDT</t>
  </si>
  <si>
    <t>2020-09-19 07:13:11 EDT</t>
  </si>
  <si>
    <t>[('CREATED', '2020-09-19 07:09 EDT'), ('https://git.eclipse.org/r/c/jdt/eclipse.jdt.ui/+/169613', '2020-09-19 07:13:11 EDT', 'genie'), ('https://git.eclipse.org/c/jdt/eclipse.jdt.ui.git/commit/?id=08d549602b14574f415b6a813175f51370b017ea', '2020-09-19 13:57:39 EDT', 'genie'), ('RESOLVED', '2020-09-19 13:58:14 EDT', 'fabrice.tiercelin'), ('FIXED', '2020-09-19 13:58:14 EDT', 'fabrice.tiercelin'), ('[cleanup] "Unnecessary array creation" cleanup should not refactor single array in array', '2020-09-19 13:58:14 EDT', 'fabrice.tiercelin'), ('4.18 M1', '2020-09-20 01:49:14 EDT', 'fabrice.tiercelin'), ('VERIFIED', '2020-11-21 03:43:12 EST', 'fabrice.tiercelin')]</t>
  </si>
  <si>
    <t>2020-09-24 05:46:24 EDT</t>
  </si>
  <si>
    <t>2020-11-21 03:42:24 EST</t>
  </si>
  <si>
    <t>2020-09-19 10:53 EDT</t>
  </si>
  <si>
    <t>2020-09-19 10:55:10 EDT</t>
  </si>
  <si>
    <t>[('CREATED', '2020-09-19 10:53 EDT'), ('https://git.eclipse.org/r/c/jdt/eclipse.jdt.ui/+/169616', '2020-09-19 10:55:10 EDT', 'genie'), ('Lars.Vogel', '2020-09-22 05:02:31 EDT', 'Lars.Vogel'), ('https://git.eclipse.org/c/jdt/eclipse.jdt.ui.git/commit/?id=bf913f7e218cf4cd4f27f73d5d79e50562cdfcdf', '2020-09-24 05:46:09 EDT', 'genie'), ('RESOLVED', '2020-09-24 05:46:24 EDT', 'fabrice.tiercelin'), ('4.18 M1', '2020-09-24 05:46:24 EDT', 'fabrice.tiercelin'), ('FIXED', '2020-09-24 05:46:24 EDT', 'fabrice.tiercelin'), ('https://git.eclipse.org/r/c/www.eclipse.org/eclipse/news/+/170370', '2020-10-06 09:59:25 EDT', 'genie'), ('https://git.eclipse.org/c/www.eclipse.org/eclipse/news.git/commit/?id=02d464f8c89abecee9869eed4f2f36a77b595a26', '2020-10-06 10:07:37 EDT', 'genie'), ('VERIFIED', '2020-11-21 03:42:24 EST', 'fabrice.tiercelin')]</t>
  </si>
  <si>
    <t>2020-09-20 03:20 EDT</t>
  </si>
  <si>
    <t>2020-09-20 08:14:47 EDT</t>
  </si>
  <si>
    <t>[('CREATED', '2020-09-20 03:20 EDT'), ('fabrice.tiercelin', '2020-09-20 08:14:47 EDT', 'carsten.hammer')]</t>
  </si>
  <si>
    <t>2020-09-21 12:59:40 EDT</t>
  </si>
  <si>
    <t>2020-11-21 03:42:07 EST</t>
  </si>
  <si>
    <t>2020-09-21 09:49 EDT</t>
  </si>
  <si>
    <t>2020-09-21 09:50:26 EDT</t>
  </si>
  <si>
    <t>[('CREATED', '2020-09-21 09:49 EDT'), ('https://git.eclipse.org/r/c/jdt/eclipse.jdt.ui/+/169664', '2020-09-21 09:50:26 EDT', 'genie'), ('https://git.eclipse.org/c/jdt/eclipse.jdt.ui.git/commit/?id=a85acfbd8eb22640bccc0a112c33dbff61241369', '2020-09-21 12:58:35 EDT', 'genie'), ('FIXED', '2020-09-21 12:59:40 EDT', 'fabrice.tiercelin'), ('RESOLVED', '2020-09-21 12:59:40 EDT', 'fabrice.tiercelin'), ('4.18 M1', '2020-09-21 12:59:40 EDT', 'fabrice.tiercelin'), ('VERIFIED', '2020-11-21 03:42:07 EST', 'fabrice.tiercelin')]</t>
  </si>
  <si>
    <t>2020-09-24 01:06:01 EDT</t>
  </si>
  <si>
    <t>2020-11-21 03:41:51 EST</t>
  </si>
  <si>
    <t>2020-09-23 00:05 EDT</t>
  </si>
  <si>
    <t>2020-09-23 00:06:03 EDT</t>
  </si>
  <si>
    <t>[('CREATED', '2020-09-23 00:05 EDT'), ('https://git.eclipse.org/r/c/jdt/eclipse.jdt.ui/+/169761', '2020-09-23 00:06:03 EDT', 'genie'), ('https://git.eclipse.org/c/jdt/eclipse.jdt.ui.git/commit/?id=ecafb3aa08d4e89fd8b1bdb3a9be2c7b2edc33a0', '2020-09-24 01:04:43 EDT', 'genie'), ('RESOLVED', '2020-09-24 01:06:01 EDT', 'fabrice.tiercelin'), ('FIXED', '2020-09-24 01:06:01 EDT', 'fabrice.tiercelin'), ('4.18 M1', '2020-09-24 01:06:01 EDT', 'fabrice.tiercelin'), ('https://git.eclipse.org/r/c/www.eclipse.org/eclipse/news/+/170387', '2020-10-06 11:50:37 EDT', 'genie'), ('https://git.eclipse.org/c/www.eclipse.org/eclipse/news.git/commit/?id=5e25e2faf58e81d984aaf52053d0f764cad8cf38', '2020-10-06 11:57:49 EDT', 'genie'), ('VERIFIED', '2020-11-21 03:41:51 EST', 'fabrice.tiercelin')]</t>
  </si>
  <si>
    <t>2020-09-23 15:35:09 EDT</t>
  </si>
  <si>
    <t>2020-11-21 03:41:41 EST</t>
  </si>
  <si>
    <t>2020-09-23 01:27 EDT</t>
  </si>
  <si>
    <t>2020-09-23 01:28:22 EDT</t>
  </si>
  <si>
    <t>[('CREATED', '2020-09-23 01:27 EDT'), ('https://git.eclipse.org/r/c/jdt/eclipse.jdt.ui/+/169762', '2020-09-23 01:28:22 EDT', 'genie'), ('https://git.eclipse.org/c/jdt/eclipse.jdt.ui.git/commit/?id=0c96fa26fc5f339325dd2013dfeda90c9db3912b', '2020-09-23 15:34:09 EDT', 'genie'), ('4.18 M1', '2020-09-23 15:35:09 EDT', 'fabrice.tiercelin'), ('FIXED', '2020-09-23 15:35:09 EDT', 'fabrice.tiercelin'), ('RESOLVED', '2020-09-23 15:35:09 EDT', 'fabrice.tiercelin'), ('https://git.eclipse.org/r/c/jdt/eclipse.jdt.ui/+/169919', '2020-09-25 12:45:57 EDT', 'genie'), ('https://git.eclipse.org/c/jdt/eclipse.jdt.ui.git/commit/?id=b64bac0adb04d0e95e67879ede6fb7a8ec609625', '2020-09-25 14:49:18 EDT', 'genie'), ('https://git.eclipse.org/r/c/www.eclipse.org/eclipse/news/+/170369', '2020-10-06 09:39:38 EDT', 'genie'), ('https://git.eclipse.org/c/www.eclipse.org/eclipse/news.git/commit/?id=2996363b6f98c355ff1cd9d091515e538746e2f4', '2020-10-06 09:44:01 EDT', 'genie'), ('https://bugs.eclipse.org/bugs/show_bug.cgi?id=567645', '2020-10-06 13:28:05 EDT', 'carsten.hammer'), ('VERIFIED', '2020-11-21 03:41:41 EST', 'fabrice.tiercelin')]</t>
  </si>
  <si>
    <t>2020-09-25 11:12:19 EDT</t>
  </si>
  <si>
    <t>2020-11-21 03:41:31 EST</t>
  </si>
  <si>
    <t>2020-09-23 07:53 EDT</t>
  </si>
  <si>
    <t>2020-09-23 07:56:33 EDT</t>
  </si>
  <si>
    <t>[('CREATED', '2020-09-23 07:53 EDT'), ('https://git.eclipse.org/r/c/jdt/eclipse.jdt.ui/+/169782', '2020-09-23 07:56:33 EDT', 'genie'), ('https://git.eclipse.org/c/jdt/eclipse.jdt.ui.git/commit/?id=8b10465f416d9f950dee1767ff9255760a308e42', '2020-09-25 10:34:38 EDT', 'genie'), ('4.18 M1', '2020-09-25 11:12:19 EDT', 'fabrice.tiercelin'), ('RESOLVED', '2020-09-25 11:12:19 EDT', 'fabrice.tiercelin'), ('FIXED', '2020-09-25 11:12:19 EDT', 'fabrice.tiercelin'), ('carsten.hammer', '2020-09-30 13:51:10 EDT', 'carsten.hammer'), ('https://git.eclipse.org/r/c/www.eclipse.org/eclipse/news/+/170394', '2020-10-06 12:41:46 EDT', 'genie'), ('https://git.eclipse.org/c/www.eclipse.org/eclipse/news.git/commit/?id=eadd3de8726ac283e0fe7b6e5b4da4abaa4867a2', '2020-10-06 12:48:58 EDT', 'genie'), ('VERIFIED', '2020-11-21 03:41:31 EST', 'fabrice.tiercelin')]</t>
  </si>
  <si>
    <t>2020-11-21 09:12:37 EST</t>
  </si>
  <si>
    <t>2020-11-21 09:13:37 EST</t>
  </si>
  <si>
    <t>2020-11-20 07:39:21 EST</t>
  </si>
  <si>
    <t>2020-09-25 01:05 EDT</t>
  </si>
  <si>
    <t>2020-09-25 01:06:33 EDT</t>
  </si>
  <si>
    <t>[('CREATED', '2020-09-25 01:05 EDT'), ('https://git.eclipse.org/r/c/jdt/eclipse.jdt.ui/+/169874', '2020-09-25 01:06:33 EDT', 'genie'), ('Lars.Vogel', '2020-09-25 07:21:35 EDT', 'Lars.Vogel'), ('https://bugs.eclipse.org/bugs/show_bug.cgi?id=548727', '2020-09-25 07:21:35 EDT', 'Lars.Vogel'), ('https://git.eclipse.org/c/jdt/eclipse.jdt.ui.git/commit/?id=0907c34f90322319afb4bc5b03b9be511f61f934', '2020-10-01 01:10:48 EDT', 'genie'), ('FIXED', '2020-10-01 01:12:57 EDT', 'fabrice.tiercelin'), ('RESOLVED', '2020-10-01 01:12:57 EDT', 'fabrice.tiercelin'), ('4.18 M1', '2020-10-01 01:12:57 EDT', 'fabrice.tiercelin'), ('https://git.eclipse.org/r/c/www.eclipse.org/eclipse/news/+/170358', '2020-10-06 08:29:03 EDT', 'genie'), ('https://git.eclipse.org/c/www.eclipse.org/eclipse/news.git/commit/?id=799c1b12e0aaaad71b95c1343a48a7577259fa11', '2020-10-06 08:29:50 EDT', 'genie'), ('REOPENED', '2020-10-13 02:56:26 EDT', 'Lars.Vogel'), ('---', '2020-10-13 02:56:26 EDT', 'Lars.Vogel'), ('https://git.eclipse.org/r/c/jdt/eclipse.jdt.ui/+/170736', '2020-10-13 15:32:18 EDT', 'genie'), ('4.18 M3', '2020-10-20 05:16:33 EDT', 'noopur_gupta'), ('https://git.eclipse.org/c/jdt/eclipse.jdt.ui.git/commit/?id=9c4b78fc6a6db7c7d6c737e82c7bfaed93918991', '2020-10-21 00:09:14 EDT', 'genie'), ('RESOLVED', '2020-10-21 00:10:29 EDT', 'fabrice.tiercelin'), ('FIXED', '2020-10-21 00:10:29 EDT', 'fabrice.tiercelin'), ('https://git.eclipse.org/r/c/jdt/eclipse.jdt.ui/+/172265', '2020-11-15 11:48:08 EST', 'genie'), ('https://git.eclipse.org/r/c/jdt/eclipse.jdt.ui/+/172266', '2020-11-15 11:49:20 EST', 'genie'), ('https://git.eclipse.org/c/jdt/eclipse.jdt.ui.git/commit/?id=335c75d05d0225c24d62725fe74432818c8f490f', '2020-11-15 13:30:03 EST', 'genie'), ('https://git.eclipse.org/r/c/www.eclipse.org/eclipse/news/+/172546', '2020-11-20 03:06:15 EST', 'genie'), ('https://git.eclipse.org/c/www.eclipse.org/eclipse/news.git/commit/?id=90768fd2c1cdf0444999a5d99c39046e332e7ecd', '2020-11-20 03:07:26 EST', 'genie'), ('sarika.sinha', '2020-11-20 07:36:56 EST', 'sarika.sinha'), ('REOPENED', '2020-11-20 07:39:21 EST', 'sarika.sinha'), ('4.18 RC1', '2020-11-20 07:39:21 EST', 'sarika.sinha'), ('---', '2020-11-20 07:39:21 EST', 'sarika.sinha'), ('noopur_gupta', '2020-11-20 07:39:21 EST', 'sarika.sinha'), ('https://git.eclipse.org/r/c/www.eclipse.org/eclipse/news/+/172623', '2020-11-21 09:08:24 EST', 'genie'), ('https://git.eclipse.org/c/www.eclipse.org/eclipse/news.git/commit/?id=fde09da159ca12e484bdc30c4a32792e9e5088b0', '2020-11-21 09:11:36 EST', 'genie'), ('RESOLVED', '2020-11-21 09:12:37 EST', 'fabrice.tiercelin'), ('FIXED', '2020-11-21 09:12:37 EST', 'fabrice.tiercelin'), ('[AutoRefactor immigration #25/136] [cleanup &amp; saveaction] Use Collection.addAll() or Collections.addAll() instead of loop', '2020-11-21 09:13:37 EST', 'fabrice.tiercelin'), ('VERIFIED', '2020-11-21 09:13:37 EST', 'fabrice.tiercelin')]</t>
  </si>
  <si>
    <t>2020-09-25 14:53:00 EDT</t>
  </si>
  <si>
    <t>2020-11-21 07:43:47 EST</t>
  </si>
  <si>
    <t>2020-09-25 12:44 EDT</t>
  </si>
  <si>
    <t>[('CREATED', '2020-09-25 12:44 EDT'), ('fabrice.tiercelin', '2020-09-25 14:53:00 EDT', 'fabrice.tiercelin'), ('FIXED', '2020-09-25 14:53:00 EDT', 'fabrice.tiercelin'), ('fabrice.tiercelin', '2020-09-25 14:53:00 EDT', 'fabrice.tiercelin'), ('4.18 M1', '2020-09-25 14:53:00 EDT', 'fabrice.tiercelin'), ('carsten.hammer', '2020-09-25 14:53:00 EDT', 'fabrice.tiercelin'), ('RESOLVED', '2020-09-25 14:53:00 EDT', 'fabrice.tiercelin'), ('[cleanup] use several new quickfixes on jdt.ui codebase', '2020-09-25 14:53:50 EDT', 'fabrice.tiercelin'), ('[dogfooding] [cleanup] use several new quickfixes on jdt.ui codebase', '2020-09-28 05:40:07 EDT', 'fabrice.tiercelin'), ('VERIFIED', '2020-11-21 07:43:47 EST', 'fabrice.tiercelin')]</t>
  </si>
  <si>
    <t>2020-10-05 06:19:29 EDT</t>
  </si>
  <si>
    <t>2020-11-21 03:41:13 EST</t>
  </si>
  <si>
    <t>2020-09-28 07:59 EDT</t>
  </si>
  <si>
    <t>2020-09-28 09:01:51 EDT</t>
  </si>
  <si>
    <t>[('CREATED', '2020-09-28 07:59 EDT'), ('https://git.eclipse.org/r/c/jdt/eclipse.jdt.ui/+/169976', '2020-09-28 09:01:51 EDT', 'genie'), ('https://git.eclipse.org/c/jdt/eclipse.jdt.ui.git/commit/?id=877044c25d1a1a63b281815ff91909e0538c90f9', '2020-10-05 06:16:12 EDT', 'genie'), ('FIXED', '2020-10-05 06:19:29 EDT', 'fabrice.tiercelin'), ('4.18 M1', '2020-10-05 06:19:29 EDT', 'fabrice.tiercelin'), ('RESOLVED', '2020-10-05 06:19:29 EDT', 'fabrice.tiercelin'), ('https://git.eclipse.org/r/c/www.eclipse.org/eclipse/news/+/170397', '2020-10-06 12:59:10 EDT', 'genie'), ('https://git.eclipse.org/c/www.eclipse.org/eclipse/news.git/commit/?id=0d69e8ddc0efb273e5fa0604b9cd330a88e6862d', '2020-10-06 13:03:05 EDT', 'genie'), ('VERIFIED', '2020-11-21 03:41:13 EST', 'fabrice.tiercelin')]</t>
  </si>
  <si>
    <t>566791</t>
  </si>
  <si>
    <t>2020-09-30 03:11:56 EDT</t>
  </si>
  <si>
    <t>2020-11-21 06:56:34 EST</t>
  </si>
  <si>
    <t>2020-09-29 08:02 EDT</t>
  </si>
  <si>
    <t>2020-09-29 08:05:42 EDT</t>
  </si>
  <si>
    <t>[('CREATED', '2020-09-29 08:02 EDT'), ('4.18 M1', '2020-09-29 08:05:42 EDT', 'kalyan_prasad'), ('daniel_megert, noopur_gupta', '2020-09-29 08:08:02 EDT', 'noopur_gupta'), ('566791', '2020-09-29 08:15:13 EDT', 'noopur_gupta'), ('https://git.eclipse.org/r/c/jdt/eclipse.jdt.ui/+/170017', '2020-09-29 08:33:34 EDT', 'genie'), ('fabrice.tiercelin', '2020-09-29 08:35:28 EDT', 'fabrice.tiercelin'), ('fabrice.tiercelin', '2020-09-29 08:35:28 EDT', 'fabrice.tiercelin'), ('ASSIGNED', '2020-09-29 08:35:28 EDT', 'fabrice.tiercelin'), ('noopur_gupta', '2020-09-29 09:53:14 EDT', 'fabrice.tiercelin'), ('https://git.eclipse.org/c/jdt/eclipse.jdt.ui.git/commit/?id=9968e5186009eb3b935f52bd8c0f04975a36b2be', '2020-09-30 03:07:49 EDT', 'genie'), ('FIXED', '2020-09-30 03:11:56 EDT', 'noopur_gupta'), ('RESOLVED', '2020-09-30 03:11:56 EDT', 'noopur_gupta'), ('VERIFIED', '2020-11-21 06:56:34 EST', 'fabrice.tiercelin')]</t>
  </si>
  <si>
    <t>2020-10-02 15:44:59 EDT</t>
  </si>
  <si>
    <t>2020-11-21 07:43:24 EST</t>
  </si>
  <si>
    <t>2020-09-30 12:34 EDT</t>
  </si>
  <si>
    <t>2020-10-02 15:29:14 EDT</t>
  </si>
  <si>
    <t>[('CREATED', '2020-09-30 12:34 EDT'), ('https://git.eclipse.org/c/jdt/eclipse.jdt.ui.git/commit/?id=2a5cd8df8a684f5fff7cec9d1632e279a252534b', '2020-10-02 15:29:14 EDT', 'genie'), ('ASSIGNED', '2020-10-02 15:29:48 EDT', 'fabrice.tiercelin'), ('carsten.hammer', '2020-10-02 15:29:48 EDT', 'fabrice.tiercelin'), ('fabrice.tiercelin', '2020-10-02 15:29:48 EDT', 'fabrice.tiercelin'), ('fabrice.tiercelin', '2020-10-02 15:29:48 EDT', 'fabrice.tiercelin'), ('4.18 M1', '2020-10-02 15:44:59 EDT', 'carsten.hammer'), ('RESOLVED', '2020-10-02 15:44:59 EDT', 'carsten.hammer'), ('FIXED', '2020-10-02 15:44:59 EDT', 'carsten.hammer'), ('VERIFIED', '2020-11-21 07:43:24 EST', 'fabrice.tiercelin')]</t>
  </si>
  <si>
    <t>2020-10-02 15:55:49 EDT</t>
  </si>
  <si>
    <t>2020-09-30 18:04 EDT</t>
  </si>
  <si>
    <t>[('CREATED', '2020-09-30 18:04 EDT'), ('INVALID', '2020-10-02 15:55:49 EDT', 'carsten.hammer'), ('CLOSED', '2020-10-02 15:55:49 EDT', 'carsten.hammer')]</t>
  </si>
  <si>
    <t>2020-10-05 02:51:13 EDT</t>
  </si>
  <si>
    <t>2020-11-21 03:40:24 EST</t>
  </si>
  <si>
    <t>2020-10-02 11:49 EDT</t>
  </si>
  <si>
    <t>2020-10-02 11:52:01 EDT</t>
  </si>
  <si>
    <t>[('CREATED', '2020-10-02 11:49 EDT'), ('https://git.eclipse.org/r/c/jdt/eclipse.jdt.ui/+/170243', '2020-10-02 11:52:01 EDT', 'genie'), ('https://git.eclipse.org/c/jdt/eclipse.jdt.ui.git/commit/?id=99e68fbc7b1140c2adf8f33dd7fc39b03c66bdbe', '2020-10-05 02:50:16 EDT', 'genie'), ('All', '2020-10-05 02:51:13 EDT', 'fabrice.tiercelin'), ('enhancement', '2020-10-05 02:51:13 EDT', 'fabrice.tiercelin'), ('All', '2020-10-05 02:51:13 EDT', 'fabrice.tiercelin'), ('FIXED', '2020-10-05 02:51:13 EDT', 'fabrice.tiercelin'), ('RESOLVED', '2020-10-05 02:51:13 EDT', 'fabrice.tiercelin'), ('4.18 M1', '2020-10-05 02:51:13 EDT', 'fabrice.tiercelin'), ('https://git.eclipse.org/r/c/www.eclipse.org/eclipse/news/+/170373', '2020-10-06 10:32:53 EDT', 'genie'), ('https://git.eclipse.org/c/www.eclipse.org/eclipse/news.git/commit/?id=0249afd7929d6f4fe4df06eb1ac094c707474bf9', '2020-10-06 10:49:54 EDT', 'genie'), ('VERIFIED', '2020-11-21 03:40:24 EST', 'fabrice.tiercelin')]</t>
  </si>
  <si>
    <t>2020-10-05 05:07:51 EDT</t>
  </si>
  <si>
    <t>2020-11-21 03:40:16 EST</t>
  </si>
  <si>
    <t>2020-10-03 01:55 EDT</t>
  </si>
  <si>
    <t>2020-10-03 01:56:10 EDT</t>
  </si>
  <si>
    <t>[('CREATED', '2020-10-03 01:55 EDT'), ('https://git.eclipse.org/r/c/jdt/eclipse.jdt.ui/+/170256', '2020-10-03 01:56:10 EDT', 'genie'), ('https://git.eclipse.org/c/jdt/eclipse.jdt.ui.git/commit/?id=768cd6ce5759646d33e941251f584fe5358695cb', '2020-10-05 05:07:01 EDT', 'genie'), ('RESOLVED', '2020-10-05 05:07:51 EDT', 'fabrice.tiercelin'), ('FIXED', '2020-10-05 05:07:51 EDT', 'fabrice.tiercelin'), ('4.18 M1', '2020-10-05 05:07:51 EDT', 'fabrice.tiercelin'), ('https://git.eclipse.org/r/c/www.eclipse.org/eclipse/news/+/170400', '2020-10-06 13:38:20 EDT', 'genie'), ('https://git.eclipse.org/c/www.eclipse.org/eclipse/news.git/commit/?id=b958ecbc55139c4a72defe997e04bca9d0429502', '2020-10-06 13:48:44 EDT', 'genie'), ('VERIFIED', '2020-11-21 03:40:16 EST', 'fabrice.tiercelin')]</t>
  </si>
  <si>
    <t>2020-11-19 12:24:20 EST</t>
  </si>
  <si>
    <t>2020-11-19 12:24:28 EST</t>
  </si>
  <si>
    <t>2020-10-03 12:54 EDT</t>
  </si>
  <si>
    <t>2020-10-03 12:56:52 EDT</t>
  </si>
  <si>
    <t>[('CREATED', '2020-10-03 12:54 EDT'), ('https://git.eclipse.org/r/c/jdt/eclipse.jdt.ui/+/170270', '2020-10-03 12:56:52 EDT', 'genie'), ('https://git.eclipse.org/c/jdt/eclipse.jdt.ui.git/commit/?id=26400fed802ebf75779b227a76804de058f69b9c', '2020-10-14 14:41:39 EDT', 'genie'), ('https://git.eclipse.org/r/c/jdt/eclipse.jdt.ui/+/172243', '2020-11-14 05:46:30 EST', 'genie'), ('https://git.eclipse.org/c/jdt/eclipse.jdt.ui.git/commit/?id=9148815e2eb76c4f56db14553e556b208859210c', '2020-11-14 12:58:13 EST', 'genie'), ('https://git.eclipse.org/r/c/www.eclipse.org/eclipse/news/+/172395', '2020-11-18 00:31:04 EST', 'genie'), ('https://git.eclipse.org/c/www.eclipse.org/eclipse/news.git/commit/?id=f238145a0530acbe0c6fa8da753f763b950203ca', '2020-11-18 00:35:16 EST', 'genie'), ('RESOLVED', '2020-11-19 12:24:20 EST', 'fabrice.tiercelin'), ('FIXED', '2020-11-19 12:24:20 EST', 'fabrice.tiercelin'), ('VERIFIED', '2020-11-19 12:24:28 EST', 'fabrice.tiercelin')]</t>
  </si>
  <si>
    <t>2020-10-05 16:03:06 EDT</t>
  </si>
  <si>
    <t>2020-11-21 03:40:05 EST</t>
  </si>
  <si>
    <t>2020-10-05 05:58 EDT</t>
  </si>
  <si>
    <t>2020-10-05 05:59:59 EDT</t>
  </si>
  <si>
    <t>[('CREATED', '2020-10-05 05:58 EDT'), ('https://git.eclipse.org/r/c/jdt/eclipse.jdt.ui/+/170314', '2020-10-05 05:59:59 EDT', 'genie'), ('https://git.eclipse.org/c/jdt/eclipse.jdt.ui.git/commit/?id=c73bc68c4f6160040a5f8759f9038969ba554c3f', '2020-10-05 16:02:23 EDT', 'genie'), ('FIXED', '2020-10-05 16:03:06 EDT', 'fabrice.tiercelin'), ('4.18 M1', '2020-10-05 16:03:06 EDT', 'fabrice.tiercelin'), ('RESOLVED', '2020-10-05 16:03:06 EDT', 'fabrice.tiercelin'), ('https://git.eclipse.org/r/c/www.eclipse.org/eclipse/news/+/170378', '2020-10-06 11:08:47 EDT', 'genie'), ('https://git.eclipse.org/c/www.eclipse.org/eclipse/news.git/commit/?id=6911471986a3b3b9b2b2bbc89cd26c28ab059b7c', '2020-10-06 11:16:59 EDT', 'genie'), ('VERIFIED', '2020-11-21 03:40:05 EST', 'fabrice.tiercelin')]</t>
  </si>
  <si>
    <t>2020-10-06 13:27 EDT</t>
  </si>
  <si>
    <t>2020-10-06 13:27:35 EDT</t>
  </si>
  <si>
    <t>2020-10-20 03:23:26 EDT</t>
  </si>
  <si>
    <t>[('CREATED', '2020-10-06 13:27 EDT'), ('enhancement', '2020-10-06 13:27:35 EDT', 'carsten.hammer'), ('https://bugs.eclipse.org/bugs/show_bug.cgi?id=567264', '2020-10-06 13:28:05 EDT', 'carsten.hammer'), ('fabrice.tiercelin', '2020-10-20 03:23:26 EDT', 'noopur_gupta'), ('ASSIGNED', '2020-10-20 03:23:26 EDT', 'noopur_gupta')]</t>
  </si>
  <si>
    <t>566539</t>
  </si>
  <si>
    <t>2020-10-18 11:57:07 EDT</t>
  </si>
  <si>
    <t>2020-11-19 12:23:37 EST</t>
  </si>
  <si>
    <t>2020-10-08 00:24 EDT</t>
  </si>
  <si>
    <t>2020-10-08 00:27:04 EDT</t>
  </si>
  <si>
    <t>2020-12-17 01:06:19 EST</t>
  </si>
  <si>
    <t>[('CREATED', '2020-10-08 00:24 EDT'), ('https://git.eclipse.org/r/c/jdt/eclipse.jdt.ui/+/170468', '2020-10-08 00:27:04 EDT', 'genie'), ('https://git.eclipse.org/c/jdt/eclipse.jdt.ui.git/commit/?id=64e5a9cab23ee26c331d3fabad5e5c83e09b6f6f', '2020-10-18 11:52:32 EDT', 'genie'), ('4.18 M3', '2020-10-18 11:57:07 EDT', 'fabrice.tiercelin'), ('carsten.hammer', '2020-10-18 11:57:07 EDT', 'fabrice.tiercelin'), ('FIXED', '2020-10-18 11:57:07 EDT', 'fabrice.tiercelin'), ('RESOLVED', '2020-10-18 11:57:07 EDT', 'fabrice.tiercelin'), ('https://git.eclipse.org/r/c/www.eclipse.org/eclipse/news/+/172396', '2020-11-18 01:38:45 EST', 'genie'), ('https://git.eclipse.org/c/www.eclipse.org/eclipse/news.git/commit/?id=9b83037d76ed2c46000e5c7c26dafc5998e0f01c', '2020-11-18 01:40:56 EST', 'genie'), ('VERIFIED', '2020-11-19 12:23:37 EST', 'fabrice.tiercelin'), ('https://git.eclipse.org/c/jdt/eclipse.jdt.ui.git/commit/?id=29ad95c917b536f9d15b7755ee47f5d166573525', '2020-12-17 01:06:19 EST', 'genie')]</t>
  </si>
  <si>
    <t>CLOSED  DUPLICATE  of bug 515643</t>
  </si>
  <si>
    <t>2020-10-20 02:28:43 EDT</t>
  </si>
  <si>
    <t>2020-10-09 00:11 EDT</t>
  </si>
  <si>
    <t>[('CREATED', '2020-10-09 00:11 EDT'), ('CLOSED', '2020-10-20 02:28:43 EDT', 'noopur_gupta'), ('noopur_gupta', '2020-10-20 02:28:43 EDT', 'noopur_gupta'), ('DUPLICATE', '2020-10-20 02:28:43 EDT', 'noopur_gupta')]</t>
  </si>
  <si>
    <t>2020-11-06 14:09:51 EST</t>
  </si>
  <si>
    <t>2020-11-19 12:23:12 EST</t>
  </si>
  <si>
    <t>2020-10-10 02:58 EDT</t>
  </si>
  <si>
    <t>2020-10-10 03:00:42 EDT</t>
  </si>
  <si>
    <t>[('CREATED', '2020-10-10 02:58 EDT'), ('https://git.eclipse.org/r/c/jdt/eclipse.jdt.ui/+/170574', '2020-10-10 03:00:42 EDT', 'genie'), ('https://git.eclipse.org/c/jdt/eclipse.jdt.ui.git/commit/?id=6ee8afb9dbffe20ec68eea559c4a79140a3c0b7c', '2020-11-06 14:07:31 EST', 'genie'), ('RESOLVED', '2020-11-06 14:09:51 EST', 'fabrice.tiercelin'), ('FIXED', '2020-11-06 14:09:51 EST', 'fabrice.tiercelin'), ('4.18 M3', '2020-11-06 14:09:51 EST', 'fabrice.tiercelin'), ('https://git.eclipse.org/r/c/www.eclipse.org/eclipse/news/+/172467', '2020-11-18 13:10:58 EST', 'genie'), ('https://git.eclipse.org/c/www.eclipse.org/eclipse/news.git/commit/?id=21edd442c8a85e24c962072e850e769bb78d3c26', '2020-11-18 13:13:11 EST', 'genie'), ('VERIFIED', '2020-11-19 12:23:12 EST', 'fabrice.tiercelin')]</t>
  </si>
  <si>
    <t>2020-10-18 15:15:58 EDT</t>
  </si>
  <si>
    <t>2020-11-19 12:22:50 EST</t>
  </si>
  <si>
    <t>2020-10-11 14:17 EDT</t>
  </si>
  <si>
    <t>2020-10-11 14:17:42 EDT</t>
  </si>
  <si>
    <t>2021-01-01 08:15:26 EST</t>
  </si>
  <si>
    <t>[('CREATED', '2020-10-11 14:17 EDT'), ('https://git.eclipse.org/r/c/jdt/eclipse.jdt.ui/+/170611', '2020-10-11 14:17:42 EDT', 'genie'), ('https://git.eclipse.org/c/jdt/eclipse.jdt.ui.git/commit/?id=1d2df174ec8e59c7800cf23e03c454d70f281e8a', '2020-10-18 15:15:39 EDT', 'genie'), ('RESOLVED', '2020-10-18 15:15:58 EDT', 'fabrice.tiercelin'), ('FIXED', '2020-10-18 15:15:58 EDT', 'fabrice.tiercelin'), ('4.18 M3', '2020-10-18 15:15:58 EDT', 'fabrice.tiercelin'), ('https://git.eclipse.org/r/c/jdt/eclipse.jdt.ui/+/171072', '2020-10-21 12:38:00 EDT', 'genie'), ('https://git.eclipse.org/c/jdt/eclipse.jdt.ui.git/commit/?id=a4a6fb0f586a9040470d6c1f95cf06bea986e1fc', '2020-10-23 12:56:06 EDT', 'genie'), ('https://git.eclipse.org/r/c/www.eclipse.org/eclipse/news/+/172474', '2020-11-18 13:50:49 EST', 'genie'), ('https://git.eclipse.org/c/www.eclipse.org/eclipse/news.git/commit/?id=5f9250b50f4785d764123e3d3f5a066ae8ad98e4', '2020-11-18 13:57:43 EST', 'genie'), ('VERIFIED', '2020-11-19 12:22:50 EST', 'fabrice.tiercelin'), ('https://git.eclipse.org/c/jdt/eclipse.jdt.ui.git/commit/?id=76074bf62ad41c615cf8b68af5bd1b7f8a01a694', '2020-12-19 02:45:29 EST', 'genie'), ('https://git.eclipse.org/c/jdt/eclipse.jdt.debug.git/commit/?id=a707529377bfe9b55206c5e7ea97f49784598600', '2021-01-01 08:15:26 EST', 'genie')]</t>
  </si>
  <si>
    <t>2020-10-13 03:58 EDT</t>
  </si>
  <si>
    <t>2020-10-20 03:26:24 EDT</t>
  </si>
  <si>
    <t>2020-10-20 11:41:25 EDT</t>
  </si>
  <si>
    <t>manderse</t>
  </si>
  <si>
    <t>[('CREATED', '2020-10-13 03:58 EDT'), ('needinfo', '2020-10-20 03:26:24 EDT', 'noopur_gupta'), ('jjohnstn, noopur_gupta', '2020-10-20 03:26:24 EDT', 'noopur_gupta'), ('first quickfix selection broken on content assist for inferring generic arguments', '2020-10-20 11:41:25 EDT', 'manderse')]</t>
  </si>
  <si>
    <t>2020-10-18 12:39 EDT</t>
  </si>
  <si>
    <t>2020-10-19 03:23:22 EDT</t>
  </si>
  <si>
    <t>[('CREATED', '2020-10-18 12:39 EDT'), ('needinfo', '2020-10-19 03:23:22 EDT', 'noopur_gupta')]</t>
  </si>
  <si>
    <t>2020-10-23 15:08:07 EDT</t>
  </si>
  <si>
    <t>2020-11-19 12:21:33 EST</t>
  </si>
  <si>
    <t>2020-10-18 13:42 EDT</t>
  </si>
  <si>
    <t>2020-10-18 13:44:19 EDT</t>
  </si>
  <si>
    <t>2020-12-19 03:30:56 EST</t>
  </si>
  <si>
    <t>[('CREATED', '2020-10-18 13:42 EDT'), ('https://git.eclipse.org/r/c/jdt/eclipse.jdt.ui/+/170918', '2020-10-18 13:44:19 EDT', 'genie'), ('https://git.eclipse.org/c/jdt/eclipse.jdt.ui.git/commit/?id=7008c724f69222f07e578f3ef58512d17abd98ee', '2020-10-23 15:06:52 EDT', 'genie'), ('RESOLVED', '2020-10-23 15:08:07 EDT', 'fabrice.tiercelin'), ('FIXED', '2020-10-23 15:08:07 EDT', 'fabrice.tiercelin'), ('4.18 M3', '2020-10-23 15:08:07 EDT', 'fabrice.tiercelin'), ('https://git.eclipse.org/r/c/www.eclipse.org/eclipse/news/+/172477', '2020-11-18 14:24:18 EST', 'genie'), ('https://git.eclipse.org/c/www.eclipse.org/eclipse/news.git/commit/?id=94055a5d9bc6e6fdfe42279fe8e9794614ec9c18', '2020-11-18 14:29:30 EST', 'genie'), ('VERIFIED', '2020-11-19 12:21:33 EST', 'fabrice.tiercelin'), ('https://git.eclipse.org/r/c/jdt/eclipse.jdt.ui/+/171076', '2020-12-19 02:21:14 EST', 'genie'), ('https://git.eclipse.org/c/jdt/eclipse.jdt.ui.git/commit/?id=d6a1f5781e12858b9bc3ce03955f3a2cc3e70084', '2020-12-19 03:30:56 EST', 'genie')]</t>
  </si>
  <si>
    <t>2020-10-20 01:23:40 EDT</t>
  </si>
  <si>
    <t>2020-11-19 02:59:59 EST</t>
  </si>
  <si>
    <t>2020-11-20 04:57:12 EST</t>
  </si>
  <si>
    <t>2020-10-19 13:47 EDT</t>
  </si>
  <si>
    <t>2020-10-19 13:49:29 EDT</t>
  </si>
  <si>
    <t>2020-11-22 02:47:27 EST</t>
  </si>
  <si>
    <t>[('CREATED', '2020-10-19 13:47 EDT'), ('https://git.eclipse.org/r/c/jdt/eclipse.jdt.ui/+/170954', '2020-10-19 13:49:29 EDT', 'genie'), ('https://git.eclipse.org/c/jdt/eclipse.jdt.ui.git/commit/?id=05a45c828f9489536fa1a20668dc214c1851525d', '2020-10-20 01:22:46 EDT', 'genie'), ('4.18 M3', '2020-10-20 01:23:40 EDT', 'fabrice.tiercelin'), ('FIXED', '2020-10-20 01:23:40 EDT', 'fabrice.tiercelin'), ('RESOLVED', '2020-10-20 01:23:40 EDT', 'fabrice.tiercelin'), ('https://git.eclipse.org/r/c/jdt/eclipse.jdt.ui/+/170968', '2020-10-26 13:38:04 EDT', 'genie'), ('https://git.eclipse.org/r/c/jdt/eclipse.jdt.core/+/170970', '2020-10-26 13:48:27 EDT', 'genie'), ('https://git.eclipse.org/r/c/jdt/eclipse.jdt.ui/+/171271', '2020-10-28 17:14:29 EDT', 'genie'), ('https://git.eclipse.org/c/jdt/eclipse.jdt.ui.git/commit/?id=133784cc0aceeba253ee2ad5ca87db44488157fa', '2020-10-31 02:51:30 EDT', 'genie'), ('https://git.eclipse.org/r/c/www.eclipse.org/eclipse/news/+/172488', '2020-11-19 02:26:54 EST', 'genie'), ('https://git.eclipse.org/c/www.eclipse.org/eclipse/news.git/commit/?id=dc85d9c2e4d3fd60726aedb151ad78f557d9da96', '2020-11-19 02:43:07 EST', 'genie'), ('VERIFIED', '2020-11-19 02:59:59 EST', 'fabrice.tiercelin'), ('4.18 RC1', '2020-11-20 04:57:12 EST', 'sarika.sinha'), ('REOPENED', '2020-11-20 04:57:12 EST', 'sarika.sinha'), ('---', '2020-11-20 04:57:12 EST', 'sarika.sinha'), ('noopur_gupta, sarika.sinha', '2020-11-20 04:57:12 EST', 'sarika.sinha'), ('https://git.eclipse.org/r/c/jdt/eclipse.jdt.ui/+/172624', '2020-11-21 09:51:52 EST', 'genie'), ('https://git.eclipse.org/c/jdt/eclipse.jdt.ui.git/commit/?id=41b5728cbca2c9fe47ec4692b1b6bb8d3fadbeb9', '2020-11-21 13:44:00 EST', 'genie'), ('https://git.eclipse.org/r/c/www.eclipse.org/eclipse/news/+/172628', '2020-11-21 13:51:12 EST', 'genie'), ('https://git.eclipse.org/c/www.eclipse.org/eclipse/news.git/commit/?id=4f1693b9c9923174d04df60abc51748d67a0d275', '2020-11-21 14:01:36 EST', 'genie'), ('---', '2020-11-22 02:47:27 EST', 'noopur_gupta'), ('ASSIGNED', '2020-11-22 02:47:27 EST', 'noopur_gupta')]</t>
  </si>
  <si>
    <t>2020-10-30 15:41:42 EDT</t>
  </si>
  <si>
    <t>2020-11-19 12:34:07 EST</t>
  </si>
  <si>
    <t>2020-10-20 15:09 EDT</t>
  </si>
  <si>
    <t>2020-10-20 15:10:24 EDT</t>
  </si>
  <si>
    <t>[('CREATED', '2020-10-20 15:09 EDT'), ('https://git.eclipse.org/r/c/jdt/eclipse.jdt.ui/+/171026', '2020-10-20 15:10:24 EDT', 'genie'), ('https://git.eclipse.org/c/jdt/eclipse.jdt.ui.git/commit/?id=13ac98691c016d0b1d1e4a7a776c8ace36f1b8a7', '2020-10-30 15:39:28 EDT', 'genie'), ('FIXED', '2020-10-30 15:41:42 EDT', 'fabrice.tiercelin'), ('RESOLVED', '2020-10-30 15:41:42 EDT', 'fabrice.tiercelin'), ('4.18 M3', '2020-10-30 15:41:42 EDT', 'fabrice.tiercelin'), ('https://git.eclipse.org/r/c/www.eclipse.org/eclipse/news/+/172520', '2020-11-19 12:20:42 EST', 'genie'), ('https://git.eclipse.org/c/www.eclipse.org/eclipse/news.git/commit/?id=f7377d6c1350b735d5ffe0cde2fce8dd8de9f694', '2020-11-19 12:31:55 EST', 'genie'), ('VERIFIED', '2020-11-19 12:34:07 EST', 'fabrice.tiercelin')]</t>
  </si>
  <si>
    <t>2020-10-28 11:14:27 EDT</t>
  </si>
  <si>
    <t>2020-11-19 14:52:31 EST</t>
  </si>
  <si>
    <t>2020-10-21 04:38 EDT</t>
  </si>
  <si>
    <t>2020-10-21 04:56:34 EDT</t>
  </si>
  <si>
    <t>[('CREATED', '2020-10-21 04:38 EDT'), ('https://git.eclipse.org/r/c/jdt/eclipse.jdt.ui/+/171040', '2020-10-21 04:56:34 EDT', 'genie'), ('ASSIGNED', '2020-10-23 04:04:06 EDT', 'noopur_gupta'), ('rgrunber', '2020-10-25 19:32:10 EDT', 'rgrunber'), ('rgrunber', '2020-10-25 19:32:10 EDT', 'rgrunber'), ('rgrunber', '2020-10-25 19:32:10 EDT', 'rgrunber'), ('https://git.eclipse.org/c/jdt/eclipse.jdt.ui.git/commit/?id=23823ad7368ae918c68e22799fc33147b7a7f142', '2020-10-28 11:06:44 EDT', 'genie'), ('4.18 M3', '2020-10-28 11:14:27 EDT', 'rgrunber'), ('FIXED', '2020-10-28 11:14:27 EDT', 'rgrunber'), ('RESOLVED', '2020-10-28 11:14:27 EDT', 'rgrunber'), ('VERIFIED', '2020-11-19 14:52:31 EST', 'rgrunber')]</t>
  </si>
  <si>
    <t>2020-11-15 10:10:24 EST</t>
  </si>
  <si>
    <t>2020-11-19 12:39:59 EST</t>
  </si>
  <si>
    <t>2020-10-21 23:48 EDT</t>
  </si>
  <si>
    <t>2020-10-21 23:49:29 EDT</t>
  </si>
  <si>
    <t>[('CREATED', '2020-10-21 23:48 EDT'), ('https://git.eclipse.org/r/c/jdt/eclipse.jdt.ui/+/171097', '2020-10-21 23:49:29 EDT', 'genie'), ('566539', '2020-10-22 00:44:41 EDT', 'fabrice.tiercelin'), ('https://git.eclipse.org/c/jdt/eclipse.jdt.ui.git/commit/?id=b4d4824ed84c5dd3f8af41448ac1c2ced44cde76', '2020-11-15 10:08:02 EST', 'genie'), ('FIXED', '2020-11-15 10:10:24 EST', 'fabrice.tiercelin'), ('RESOLVED', '2020-11-15 10:10:24 EST', 'fabrice.tiercelin'), ('4.18 M3', '2020-11-15 10:10:24 EST', 'fabrice.tiercelin'), ('https://git.eclipse.org/r/c/www.eclipse.org/eclipse/news/+/172522', '2020-11-19 12:37:18 EST', 'genie'), ('https://git.eclipse.org/c/www.eclipse.org/eclipse/news.git/commit/?id=0db30a015a92d9d6b742193f57590a2b92cdfe4d', '2020-11-19 12:39:30 EST', 'genie'), ('VERIFIED', '2020-11-19 12:39:59 EST', 'fabrice.tiercelin')]</t>
  </si>
  <si>
    <t>2020-10-28 18:01:09 EDT</t>
  </si>
  <si>
    <t>2020-11-17 14:34:12 EST</t>
  </si>
  <si>
    <t>2020-10-23 03:57 EDT</t>
  </si>
  <si>
    <t>2020-10-23 04:02:51 EDT</t>
  </si>
  <si>
    <t>[('CREATED', '2020-10-23 03:57 EDT'), ('ASSIGNED', '2020-10-23 04:02:51 EDT', 'noopur_gupta'), ('https://git.eclipse.org/r/c/jdt/eclipse.jdt.ui/+/171169', '2020-10-23 05:11:01 EDT', 'genie'), ('https://git.eclipse.org/c/jdt/eclipse.jdt.ui.git/commit/?id=10d4ec67649ed96e0f214228fb9b3525a8c8fab4', '2020-10-27 14:19:12 EDT', 'genie'), ('jjohnstn', '2020-10-27 14:19:53 EDT', 'jjohnstn'), ('jjohnstn', '2020-10-28 18:01:09 EDT', 'jjohnstn'), ('RESOLVED', '2020-10-28 18:01:09 EDT', 'jjohnstn'), ('FIXED', '2020-10-28 18:01:09 EDT', 'jjohnstn'), ('jjohnstn', '2020-10-28 18:01:09 EDT', 'jjohnstn'), ('4.18 M3', '2020-10-28 18:01:09 EDT', 'jjohnstn'), ('4.18M2', '2020-10-28 18:01:09 EDT', 'jjohnstn'), ('VERIFIED', '2020-11-17 14:34:12 EST', 'jjohnstn')]</t>
  </si>
  <si>
    <t>2020-10-30 13:58:28 EDT</t>
  </si>
  <si>
    <t>2020-11-19 12:59:31 EST</t>
  </si>
  <si>
    <t>2020-10-24 01:09 EDT</t>
  </si>
  <si>
    <t>2020-10-24 01:11:08 EDT</t>
  </si>
  <si>
    <t>[('CREATED', '2020-10-24 01:09 EDT'), ('https://git.eclipse.org/r/c/jdt/eclipse.jdt.ui/+/171211', '2020-10-24 01:11:08 EDT', 'genie'), ('https://git.eclipse.org/c/jdt/eclipse.jdt.ui.git/commit/?id=25a33bb2089eb4ff0201fb1399418b66179ef895', '2020-10-30 13:53:55 EDT', 'genie'), ('4.18 M3', '2020-10-30 13:58:28 EDT', 'fabrice.tiercelin'), ('FIXED', '2020-10-30 13:58:28 EDT', 'fabrice.tiercelin'), ('RESOLVED', '2020-10-30 13:58:28 EDT', 'fabrice.tiercelin'), ('https://git.eclipse.org/r/c/www.eclipse.org/eclipse/news/+/172523', '2020-11-19 12:56:43 EST', 'genie'), ('https://git.eclipse.org/c/www.eclipse.org/eclipse/news.git/commit/?id=2cdaced6ce8e68a890a88dbfe98c821e42b61333', '2020-11-19 12:58:55 EST', 'genie'), ('VERIFIED', '2020-11-19 12:59:31 EST', 'fabrice.tiercelin')]</t>
  </si>
  <si>
    <t>2020-10-26 15:50 EDT</t>
  </si>
  <si>
    <t>2020-10-26 15:51:36 EDT</t>
  </si>
  <si>
    <t>2020-12-28 13:25:46 EST</t>
  </si>
  <si>
    <t>[('CREATED', '2020-10-26 15:50 EDT'), ('https://git.eclipse.org/r/c/jdt/eclipse.jdt.ui/+/171219', '2020-10-26 15:51:36 EDT', 'genie'), ('[dogfooding] Primitive boxed just to call toString', '2020-10-29 03:59:14 EDT', 'fabrice.tiercelin'), ('ASSIGNED', '2020-10-29 03:59:14 EDT', 'fabrice.tiercelin'), ('fabrice.tiercelin', '2020-10-29 03:59:14 EDT', 'fabrice.tiercelin'), ('carsten.hammer', '2020-10-29 03:59:14 EDT', 'fabrice.tiercelin'), ('fabrice.tiercelin', '2020-10-29 03:59:14 EDT', 'fabrice.tiercelin'), ('https://git.eclipse.org/c/jdt/eclipse.jdt.ui.git/commit/?id=d6a7e2652bb485e2e24f18df7e8af103731f1150', '2020-12-28 13:25:46 EST', 'genie')]</t>
  </si>
  <si>
    <t>2020-10-27 13:54:16 EDT</t>
  </si>
  <si>
    <t>2020-10-26 16:43 EDT</t>
  </si>
  <si>
    <t>2020-10-26 16:44:04 EDT</t>
  </si>
  <si>
    <t>[('CREATED', '2020-10-26 16:43 EDT'), ('https://git.eclipse.org/r/c/jdt/eclipse.jdt.ui/+/171222', '2020-10-26 16:44:04 EDT', 'genie'), ('https://git.eclipse.org/c/jdt/eclipse.jdt.ui.git/commit/?id=47a555c463142b5400e0c359974e4181a3845fe2', '2020-10-27 13:53:23 EDT', 'genie'), ('4.18 M3', '2020-10-27 13:54:16 EDT', 'jjohnstn'), ('jjohnstn', '2020-10-27 13:54:16 EDT', 'jjohnstn'), ('4.18M2', '2020-10-27 13:54:16 EDT', 'jjohnstn'), ('RESOLVED', '2020-10-27 13:54:16 EDT', 'jjohnstn'), ('FIXED', '2020-10-27 13:54:16 EDT', 'jjohnstn')]</t>
  </si>
  <si>
    <t>2020-10-29 16:46:27 EDT</t>
  </si>
  <si>
    <t>2020-11-19 13:31:57 EST</t>
  </si>
  <si>
    <t>2020-10-28 04:08 EDT</t>
  </si>
  <si>
    <t>2020-10-28 04:09:09 EDT</t>
  </si>
  <si>
    <t>[('CREATED', '2020-10-28 04:08 EDT'), ('https://git.eclipse.org/r/c/jdt/eclipse.jdt.ui/+/171388', '2020-10-28 04:09:09 EDT', 'genie'), ('https://git.eclipse.org/c/jdt/eclipse.jdt.ui.git/commit/?id=f5f14be309ca126af87cb2b906aaaf4505fa746f', '2020-10-29 16:43:52 EDT', 'genie'), ('FIXED', '2020-10-29 16:46:27 EDT', 'fabrice.tiercelin'), ('4.18 M3', '2020-10-29 16:46:27 EDT', 'fabrice.tiercelin'), ('RESOLVED', '2020-10-29 16:46:27 EDT', 'fabrice.tiercelin'), ('https://git.eclipse.org/r/c/www.eclipse.org/eclipse/news/+/172525', '2020-11-19 13:27:09 EST', 'genie'), ('https://git.eclipse.org/c/www.eclipse.org/eclipse/news.git/commit/?id=06037a131e3db2ad8db0bbf49d72bc003ee6374b', '2020-11-19 13:30:21 EST', 'genie'), ('VERIFIED', '2020-11-19 13:31:57 EST', 'fabrice.tiercelin')]</t>
  </si>
  <si>
    <t>2020-11-01 23:32:19 EST</t>
  </si>
  <si>
    <t>2020-11-19 14:02:31 EST</t>
  </si>
  <si>
    <t>2020-10-31 14:13 EDT</t>
  </si>
  <si>
    <t>2020-10-31 14:14:45 EDT</t>
  </si>
  <si>
    <t>2021-01-01 07:35:00 EST</t>
  </si>
  <si>
    <t>[('CREATED', '2020-10-31 14:13 EDT'), ('https://git.eclipse.org/r/c/jdt/eclipse.jdt.ui/+/171539', '2020-10-31 14:14:45 EDT', 'genie'), ('https://git.eclipse.org/c/jdt/eclipse.jdt.ui.git/commit/?id=6f4f02857c7e0b834ea14bd6d12232c432014a37', '2020-11-01 23:29:58 EST', 'genie'), ('FIXED', '2020-11-01 23:32:19 EST', 'fabrice.tiercelin'), ('RESOLVED', '2020-11-01 23:32:19 EST', 'fabrice.tiercelin'), ('4.18 M3', '2020-11-01 23:32:19 EST', 'fabrice.tiercelin'), ('https://git.eclipse.org/r/c/www.eclipse.org/eclipse/news/+/172527', '2020-11-19 13:59:35 EST', 'genie'), ('https://git.eclipse.org/c/www.eclipse.org/eclipse/news.git/commit/?id=26c531c6194994991ec80a9c38bcb0e5b43038ca', '2020-11-19 14:01:46 EST', 'genie'), ('VERIFIED', '2020-11-19 14:02:31 EST', 'fabrice.tiercelin'), ('https://git.eclipse.org/c/jdt/eclipse.jdt.ui.git/commit/?id=0375d79d6bce5f25f50ab223c84aef88b823c9b0', '2021-01-01 07:35:00 EST', 'genie')]</t>
  </si>
  <si>
    <t>2020-11-03 00:07:06 EST</t>
  </si>
  <si>
    <t>2020-11-20 01:30:59 EST</t>
  </si>
  <si>
    <t>2020-10-31 16:25 EDT</t>
  </si>
  <si>
    <t>2020-10-31 16:28:11 EDT</t>
  </si>
  <si>
    <t>2020-12-19 07:13:27 EST</t>
  </si>
  <si>
    <t>[('CREATED', '2020-10-31 16:25 EDT'), ('https://git.eclipse.org/r/c/jdt/eclipse.jdt.ui/+/171546', '2020-10-31 16:28:11 EDT', 'genie'), ('https://git.eclipse.org/c/jdt/eclipse.jdt.ui.git/commit/?id=a0c0bb4d688a26a44e83304232f555b741812d0e', '2020-11-03 00:06:29 EST', 'genie'), ('RESOLVED', '2020-11-03 00:07:06 EST', 'fabrice.tiercelin'), ('4.18 M3', '2020-11-03 00:07:06 EST', 'fabrice.tiercelin'), ('FIXED', '2020-11-03 00:07:06 EST', 'fabrice.tiercelin'), ('https://git.eclipse.org/r/c/www.eclipse.org/eclipse/news/+/172544', '2020-11-20 01:26:45 EST', 'genie'), ('https://git.eclipse.org/c/www.eclipse.org/eclipse/news.git/commit/?id=153c3f11ea03c3e7277b62a21ed877c2e8548dab', '2020-11-20 01:29:57 EST', 'genie'), ('VERIFIED', '2020-11-20 01:30:59 EST', 'fabrice.tiercelin'), ('https://git.eclipse.org/c/jdt/eclipse.jdt.ui.git/commit/?id=b865b1ca2b3097176927267e4ed99bbb15a4592d', '2020-12-19 07:13:27 EST', 'genie')]</t>
  </si>
  <si>
    <t>565366</t>
  </si>
  <si>
    <t>2020-11-04 15:07:42 EST</t>
  </si>
  <si>
    <t>2020-11-20 13:09:47 EST</t>
  </si>
  <si>
    <t>2020-11-03 01:04 EST</t>
  </si>
  <si>
    <t>2020-11-03 01:06:36 EST</t>
  </si>
  <si>
    <t>2021-01-14 11:28:20 EST</t>
  </si>
  <si>
    <t>[('CREATED', '2020-11-03 01:04 EST'), ('https://git.eclipse.org/r/c/jdt/eclipse.jdt.ui/+/171654', '2020-11-03 01:06:36 EST', 'genie'), ('565366', '2020-11-03 06:57:13 EST', 'Lars.Vogel'), ('https://git.eclipse.org/c/jdt/eclipse.jdt.ui.git/commit/?id=97bc7e2c31c6ab99f428245d96a85e1cff0703ac', '2020-11-04 15:04:15 EST', 'genie'), ('FIXED', '2020-11-04 15:07:42 EST', 'fabrice.tiercelin'), ('RESOLVED', '2020-11-04 15:07:42 EST', 'fabrice.tiercelin'), ('4.18 M3', '2020-11-04 15:07:42 EST', 'fabrice.tiercelin'), ('https://git.eclipse.org/r/c/jdt/eclipse.jdt.ui/+/171702', '2020-11-12 14:06:46 EST', 'genie'), ('https://git.eclipse.org/r/c/jdt/eclipse.jdt.debug/+/171701', '2020-11-12 14:10:59 EST', 'genie'), ('https://git.eclipse.org/r/c/www.eclipse.org/eclipse/news/+/172588', '2020-11-20 13:06:38 EST', 'genie'), ('https://git.eclipse.org/c/www.eclipse.org/eclipse/news.git/commit/?id=c9f98c5b1b41416c22f2fa591a0f8b8aae99bebc', '2020-11-20 13:08:49 EST', 'genie'), ('VERIFIED', '2020-11-20 13:09:47 EST', 'fabrice.tiercelin'), ('https://git.eclipse.org/c/jdt/eclipse.jdt.ui.git/commit/?id=aa2a0b2814e1f062445e7521b9e89a15b8bc19d9', '2021-01-01 07:50:12 EST', 'genie'), ('https://bugs.eclipse.org/bugs/show_bug.cgi?id=107988', '2021-01-14 11:27:50 EST', 'carsten.hammer'), ('https://bugs.eclipse.org/bugs/show_bug.cgi?id=492287', '2021-01-14 11:28:20 EST', 'carsten.hammer')]</t>
  </si>
  <si>
    <t>566771</t>
  </si>
  <si>
    <t>2020-11-06 04:22:24 EST</t>
  </si>
  <si>
    <t>2020-11-17 00:27:56 EST</t>
  </si>
  <si>
    <t>2020-11-06 02:57 EST</t>
  </si>
  <si>
    <t>2020-11-06 02:58:13 EST</t>
  </si>
  <si>
    <t>[('CREATED', '2020-11-06 02:57 EST'), ('https://git.eclipse.org/r/c/jdt/eclipse.jdt.ui/+/171886', '2020-11-06 02:58:13 EST', 'genie'), ('kalyan_prasad', '2020-11-06 02:58:28 EST', 'noopur_gupta'), ('4.18 M3', '2020-11-06 02:58:28 EST', 'noopur_gupta'), ('ASSIGNED', '2020-11-06 02:58:28 EST', 'noopur_gupta'), ('noopur_gupta', '2020-11-06 02:58:28 EST', 'noopur_gupta'), ('https://git.eclipse.org/c/jdt/eclipse.jdt.ui.git/commit/?id=38f099f57b741b58e5411506bb9bad3889a8d78c', '2020-11-06 04:22:09 EST', 'genie'), ('FIXED', '2020-11-06 04:22:24 EST', 'noopur_gupta'), ('RESOLVED', '2020-11-06 04:22:24 EST', 'noopur_gupta'), ('VERIFIED', '2020-11-17 00:27:56 EST', 'noopur_gupta')]</t>
  </si>
  <si>
    <t>2020-11-07 04:05 EST</t>
  </si>
  <si>
    <t>2020-11-07 11:08:05 EST</t>
  </si>
  <si>
    <t>2020-11-08 06:12:28 EST</t>
  </si>
  <si>
    <t>[('CREATED', '2020-11-07 04:05 EST'), ('4.17', '2020-11-07 11:08:05 EST', 'gunnar'), ('JDT', '2020-11-07 11:08:05 EST', 'gunnar'), ('---', '2020-11-07 11:08:05 EST', 'gunnar'), ('jdt-ui-inbox', '2020-11-07 11:08:05 EST', 'gunnar'), (nan, '2020-11-07 11:08:05 EST', 'gunnar'), ('UI', '2020-11-07 11:08:05 EST', 'gunnar'), ('loskutov', '2020-11-07 13:36:32 EST', 'loskutov'), ('text/plain', '2020-11-07 13:36:32 EST', 'loskutov'), ('NOT_ECLIPSE', '2020-11-08 06:12:28 EST', 'loskutov'), ('CLOSED', '2020-11-08 06:12:28 EST', 'loskutov')]</t>
  </si>
  <si>
    <t>2020-11-18 00:50:41 EST</t>
  </si>
  <si>
    <t>2020-11-20 13:59:07 EST</t>
  </si>
  <si>
    <t>2020-11-17 02:46:04 EST</t>
  </si>
  <si>
    <t>2020-11-07 13:58 EST</t>
  </si>
  <si>
    <t>2020-11-07 13:59:17 EST</t>
  </si>
  <si>
    <t>[('CREATED', '2020-11-07 13:58 EST'), ('https://git.eclipse.org/r/c/jdt/eclipse.jdt.ui/+/171937', '2020-11-07 13:59:17 EST', 'genie'), ('https://git.eclipse.org/c/jdt/eclipse.jdt.ui.git/commit/?id=be05e73941642d62da465ee2e1d695c44bfd4311', '2020-11-16 14:26:55 EST', 'genie'), ('FIXED', '2020-11-16 14:30:59 EST', 'fabrice.tiercelin'), ('4.18 M3', '2020-11-16 14:30:59 EST', 'fabrice.tiercelin'), ('RESOLVED', '2020-11-16 14:30:59 EST', 'fabrice.tiercelin'), ('carsten.hammer, jjohnstn, kalyan_prasad, noopur_gupta', '2020-11-17 02:46:04 EST', 'noopur_gupta'), ('REOPENED', '2020-11-17 02:46:04 EST', 'noopur_gupta'), ('---', '2020-11-17 02:46:04 EST', 'noopur_gupta'), ('https://git.eclipse.org/r/c/jdt/eclipse.jdt.ui/+/172348', '2020-11-17 02:55:09 EST', 'genie'), ('https://git.eclipse.org/c/jdt/eclipse.jdt.ui.git/commit/?id=4b4b277e142c1314f82230df0b6890fa4c0c1239', '2020-11-18 00:46:28 EST', 'genie'), ('RESOLVED', '2020-11-18 00:50:41 EST', 'noopur_gupta'), ('FIXED', '2020-11-18 00:50:41 EST', 'noopur_gupta'), ('niraj.modi', '2020-11-19 03:49:15 EST', 'niraj.modi'), ('https://git.eclipse.org/r/c/www.eclipse.org/eclipse/news/+/172589', '2020-11-20 13:49:05 EST', 'genie'), ('https://git.eclipse.org/c/www.eclipse.org/eclipse/news.git/commit/?id=5aa3d62819a31c8b9fff70756aef6b0e63ee2fbc', '2020-11-20 13:58:18 EST', 'genie'), ('VERIFIED', '2020-11-20 13:59:07 EST', 'fabrice.tiercelin')]</t>
  </si>
  <si>
    <t>2020-11-14 00:30:00 EST</t>
  </si>
  <si>
    <t>2020-11-20 14:28:43 EST</t>
  </si>
  <si>
    <t>2020-11-08 00:34 EST</t>
  </si>
  <si>
    <t>2020-11-08 00:36:17 EST</t>
  </si>
  <si>
    <t>[('CREATED', '2020-11-08 00:34 EST'), ('https://git.eclipse.org/r/c/jdt/eclipse.jdt.ui/+/171942', '2020-11-08 00:36:17 EST', 'genie'), ('https://git.eclipse.org/c/jdt/eclipse.jdt.ui.git/commit/?id=d9886a90bf9a82ecf032206d6e6450c235ac66d2', '2020-11-13 16:34:19 EST', 'genie'), ('FIXED', '2020-11-14 00:30:00 EST', 'fabrice.tiercelin'), ('RESOLVED', '2020-11-14 00:30:00 EST', 'fabrice.tiercelin'), ('4.18 M3', '2020-11-14 00:30:00 EST', 'fabrice.tiercelin'), ('https://git.eclipse.org/r/c/www.eclipse.org/eclipse/news/+/172593', '2020-11-20 14:26:33 EST', 'genie'), ('https://git.eclipse.org/c/www.eclipse.org/eclipse/news.git/commit/?id=8f3a2cff2c2407d29bb089478975f9e24101b08b', '2020-11-20 14:27:44 EST', 'genie'), ('VERIFIED', '2020-11-20 14:28:43 EST', 'fabrice.tiercelin')]</t>
  </si>
  <si>
    <t>2021-01-03 13:08:32 EST</t>
  </si>
  <si>
    <t>2021-01-07 07:47:49 EST</t>
  </si>
  <si>
    <t>2020-11-09 23:51 EST</t>
  </si>
  <si>
    <t>2020-11-10 00:00:03 EST</t>
  </si>
  <si>
    <t>2021-01-08 03:27:35 EST</t>
  </si>
  <si>
    <t>[('CREATED', '2020-11-09 23:51 EST'), ('https://git.eclipse.org/r/c/jdt/eclipse.jdt.ui/+/172026', '2020-11-10 00:00:03 EST', 'genie'), ('https://git.eclipse.org/c/jdt/eclipse.jdt.ui.git/commit/?id=f14bd693b9898b109e7a703a97e10826117ea533', '2020-12-18 23:29:43 EST', 'genie'), ('4.19 M1', '2020-12-19 01:18:31 EST', 'fabrice.tiercelin'), ('https://git.eclipse.org/r/c/www.eclipse.org/eclipse/news/+/174194', '2021-01-03 12:06:36 EST', 'genie'), ('https://git.eclipse.org/c/www.eclipse.org/eclipse/news.git/commit/?id=a12ffe41ca949af950c4c53b84ac1984d6f21591', '2021-01-03 13:06:54 EST', 'genie'), ('RESOLVED', '2021-01-03 13:08:32 EST', 'fabrice.tiercelin'), ('FIXED', '2021-01-03 13:08:32 EST', 'fabrice.tiercelin'), ('noopur_gupta', '2021-01-06 05:23:03 EST', 'noopur_gupta'), ('https://git.eclipse.org/r/c/www.eclipse.org/eclipse/news/+/174332', '2021-01-06 09:43:54 EST', 'genie'), ('https://git.eclipse.org/c/www.eclipse.org/eclipse/news.git/commit/?id=14255e156f8d61b5ed0ef92ddc360cab73f948cc', '2021-01-06 09:47:06 EST', 'genie'), ('https://git.eclipse.org/r/c/jdt/eclipse.jdt.ui/+/174339', '2021-01-06 10:21:28 EST', 'genie'), ('VERIFIED', '2021-01-07 07:47:49 EST', 'fabrice.tiercelin'), ('https://git.eclipse.org/c/jdt/eclipse.jdt.ui.git/commit/?id=56988323a0883d617464c1fcbacdb5412df2a3da', '2021-01-08 03:27:35 EST', 'genie')]</t>
  </si>
  <si>
    <t>2020-11-16 17:13:26 EST</t>
  </si>
  <si>
    <t>2020-11-21 00:31:12 EST</t>
  </si>
  <si>
    <t>2020-11-21 14:35:34 EST</t>
  </si>
  <si>
    <t>2020-11-15 11:37 EST</t>
  </si>
  <si>
    <t>2020-11-15 11:39:56 EST</t>
  </si>
  <si>
    <t>2021-01-05 07:21:50 EST</t>
  </si>
  <si>
    <t>[('CREATED', '2020-11-15 11:37 EST'), ('https://git.eclipse.org/r/c/jdt/eclipse.jdt.ui/+/172264', '2020-11-15 11:39:56 EST', 'genie'), ('https://git.eclipse.org/c/jdt/eclipse.jdt.ui.git/commit/?id=5bde24f1d9277823cef18c6e8e5b4800a8be936e', '2020-11-16 17:12:50 EST', 'genie'), ('FIXED', '2020-11-16 17:13:26 EST', 'fabrice.tiercelin'), ('4.18 M3', '2020-11-16 17:13:26 EST', 'fabrice.tiercelin'), ('RESOLVED', '2020-11-16 17:13:26 EST', 'fabrice.tiercelin'), ('https://git.eclipse.org/r/c/www.eclipse.org/eclipse/news/+/172604', '2020-11-21 00:28:04 EST', 'genie'), ('https://git.eclipse.org/c/www.eclipse.org/eclipse/news.git/commit/?id=cb110c69f04c33ba29aabff7f208a7a42dfb42d9', '2020-11-21 00:30:16 EST', 'genie'), ('VERIFIED', '2020-11-21 00:31:12 EST', 'fabrice.tiercelin'), ('https://git.eclipse.org/r/c/jdt/eclipse.jdt.ui/+/172626', '2020-11-21 13:37:36 EST', 'genie'), ('REOPENED', '2020-11-21 14:35:34 EST', 'fabrice.tiercelin'), ('---', '2020-11-21 14:35:34 EST', 'fabrice.tiercelin'), ('4.18 RC1', '2020-11-22 02:41:18 EST', 'noopur_gupta'), ('4.19 M1', '2020-11-23 13:32:50 EST', 'noopur_gupta'), ('ASSIGNED', '2020-11-23 13:32:50 EST', 'noopur_gupta'), ('4.19 M3', '2021-01-05 07:21:50 EST', 'fabrice.tiercelin')]</t>
  </si>
  <si>
    <t>2020-11-20 16:31:18 EST</t>
  </si>
  <si>
    <t>2020-11-24 00:11:22 EST</t>
  </si>
  <si>
    <t>2020-11-20 05:59 EST</t>
  </si>
  <si>
    <t>2020-11-20 05:59:50 EST</t>
  </si>
  <si>
    <t>[('CREATED', '2020-11-20 05:59 EST'), ('4.18 RC1', '2020-11-20 05:59:50 EST', 'kalyan_prasad'), ('kalyan_prasad', '2020-11-20 05:59:50 EST', 'kalyan_prasad'), ('https://git.eclipse.org/r/c/jdt/eclipse.jdt.ui/+/172569', '2020-11-20 07:37:02 EST', 'genie'), ('review?(noopur_gupta)', '2020-11-20 09:03:59 EST', 'kalyan_prasad'), ('noopur_gupta', '2020-11-20 09:03:59 EST', 'kalyan_prasad'), ('review+', '2020-11-20 16:30:54 EST', 'noopur_gupta'), ('https://git.eclipse.org/c/jdt/eclipse.jdt.ui.git/commit/?id=390c2e3e443b5738252dd615820e356c37644ea9', '2020-11-20 16:30:58 EST', 'genie'), ('RESOLVED', '2020-11-20 16:31:18 EST', 'noopur_gupta'), ('FIXED', '2020-11-20 16:31:18 EST', 'noopur_gupta'), ('VERIFIED', '2020-11-24 00:11:22 EST', 'kalyan_prasad')]</t>
  </si>
  <si>
    <t>2020-11-21 14:00 EST</t>
  </si>
  <si>
    <t>2020-11-23 13:56:38 EST</t>
  </si>
  <si>
    <t>[('CREATED', '2020-11-21 14:00 EST'), ('https://git.eclipse.org/r/c/jdt/eclipse.jdt.ui/+/171863', '2020-11-23 13:56:38 EST', 'genie')]</t>
  </si>
  <si>
    <t>2020-11-22 03:31 EST</t>
  </si>
  <si>
    <t>2020-11-24 00:56:15 EST</t>
  </si>
  <si>
    <t>[('CREATED', '2020-11-22 03:31 EST'), (4.19, '2020-11-24 00:56:15 EST', 'fabrice.tiercelin')]</t>
  </si>
  <si>
    <t>2020-12-11 12:53 EST</t>
  </si>
  <si>
    <t>2020-12-11 12:53:32 EST</t>
  </si>
  <si>
    <t>2020-12-14 01:33:53 EST</t>
  </si>
  <si>
    <t>[('CREATED', '2020-12-11 12:53 EST'), ('fabrice.tiercelin', '2020-12-11 12:53:32 EST', 'fabrice.tiercelin'), ('carsten.hammer', '2020-12-11 12:53:32 EST', 'fabrice.tiercelin'), ('https://git.eclipse.org/r/c/jdt/eclipse.jdt.ui/+/173713', '2020-12-11 12:55:38 EST', 'genie'), ('sarika.sinha', '2020-12-14 01:33:53 EST', 'sarika.sinha')]</t>
  </si>
  <si>
    <t>CLOSED  DUPLICATE  of bug 569739</t>
  </si>
  <si>
    <t>2020-12-16 04:27:56 EST</t>
  </si>
  <si>
    <t>2020-12-16 04:18 EST</t>
  </si>
  <si>
    <t>[('CREATED', '2020-12-16 04:18 EST'), ('CLOSED', '2020-12-16 04:27:56 EST', 'loskutov'), ('DUPLICATE', '2020-12-16 04:27:56 EST', 'loskutov')]</t>
  </si>
  <si>
    <t>2020-12-18 01:56 EST</t>
  </si>
  <si>
    <t>2020-12-18 01:57:52 EST</t>
  </si>
  <si>
    <t>2020-12-18 02:01:50 EST</t>
  </si>
  <si>
    <t>[('CREATED', '2020-12-18 01:56 EST'), ('fabrice.tiercelin', '2020-12-18 01:57:52 EST', 'fabrice.tiercelin'), ('rgrunber', '2020-12-18 01:57:52 EST', 'fabrice.tiercelin'), ('https://git.eclipse.org/r/c/jdt/eclipse.jdt.ui/+/173952', '2020-12-18 02:01:50 EST', 'genie')]</t>
  </si>
  <si>
    <t>2020-12-19 12:59 EST</t>
  </si>
  <si>
    <t>2020-12-19 13:02:23 EST</t>
  </si>
  <si>
    <t>2020-12-19 13:58:35 EST</t>
  </si>
  <si>
    <t>[('CREATED', '2020-12-19 12:59 EST'), ('https://git.eclipse.org/r/c/jdt/eclipse.jdt.ui/+/173995', '2020-12-19 13:02:23 EST', 'genie'), ('fabrice.tiercelin', '2020-12-19 13:58:35 EST', 'fabrice.tiercelin'), ('karsten.thoms', '2020-12-19 13:58:35 EST', 'fabrice.tiercelin')]</t>
  </si>
  <si>
    <t>569904</t>
  </si>
  <si>
    <t>2020-12-20 09:07 EST</t>
  </si>
  <si>
    <t>2020-12-20 09:08:46 EST</t>
  </si>
  <si>
    <t>2020-12-24 00:22:29 EST</t>
  </si>
  <si>
    <t>[('CREATED', '2020-12-20 09:07 EST'), ('https://git.eclipse.org/r/c/jdt/eclipse.jdt.ui/+/174008', '2020-12-20 09:08:46 EST', 'genie'), ('kenneth', '2020-12-20 10:02:41 EST', 'fabrice.tiercelin'), ('fabrice.tiercelin', '2020-12-20 10:02:41 EST', 'fabrice.tiercelin'), ('4.18', '2020-12-20 10:02:41 EST', 'fabrice.tiercelin'), ('569904', '2020-12-24 00:22:29 EST', 'fabrice.tiercelin')]</t>
  </si>
  <si>
    <t>2020-12-20 13:40 EST</t>
  </si>
  <si>
    <t>2020-12-20 13:40:50 EST</t>
  </si>
  <si>
    <t>2021-01-09 00:29:15 EST</t>
  </si>
  <si>
    <t>[('CREATED', '2020-12-20 13:40 EST'), ('https://git.eclipse.org/r/c/jdt/eclipse.jdt.ui/+/174012', '2020-12-20 13:40:50 EST', 'genie'), ('fabrice.tiercelin', '2020-12-21 00:50:08 EST', 'fabrice.tiercelin'), ('jjohnstn', '2020-12-21 00:50:08 EST', 'fabrice.tiercelin'), ('https://git.eclipse.org/c/jdt/eclipse.jdt.ui.git/commit/?id=fbaa51a7a140179311ad64af6b22798a83897eb8', '2021-01-09 00:28:16 EST', 'genie'), ('4.19 M3', '2021-01-09 00:29:15 EST', 'fabrice.tiercelin')]</t>
  </si>
  <si>
    <t>351179 (view as bug list)</t>
  </si>
  <si>
    <t>2021-01-03 11:02:56 EST</t>
  </si>
  <si>
    <t>2021-01-07 07:47:11 EST</t>
  </si>
  <si>
    <t>2020-12-22 12:37 EST</t>
  </si>
  <si>
    <t>2020-12-22 12:38:34 EST</t>
  </si>
  <si>
    <t>2021-01-16 09:54:44 EST</t>
  </si>
  <si>
    <t>[('CREATED', '2020-12-22 12:37 EST'), ('https://git.eclipse.org/r/c/jdt/eclipse.jdt.ui/+/174066', '2020-12-22 12:38:34 EST', 'genie'), ('fabrice.tiercelin', '2020-12-22 13:37:08 EST', 'fabrice.tiercelin'), ('Lars.Vogel', '2020-12-22 13:37:08 EST', 'fabrice.tiercelin'), ('https://git.eclipse.org/c/jdt/eclipse.jdt.ui.git/commit/?id=16051ece96111f64ce9bea65b133c80e5bc56b30', '2020-12-22 23:37:35 EST', 'genie'), ('4.19 M1', '2020-12-22 23:38:08 EST', 'fabrice.tiercelin'), ('https://git.eclipse.org/r/c/www.eclipse.org/eclipse/news/+/174192', '2021-01-03 11:00:54 EST', 'genie'), ('https://git.eclipse.org/c/www.eclipse.org/eclipse/news.git/commit/?id=5b155761f19f215b7bfb2b52e5f78494c0eb4081', '2021-01-03 11:02:05 EST', 'genie'), ('RESOLVED', '2021-01-03 11:02:56 EST', 'fabrice.tiercelin'), ('FIXED', '2021-01-03 11:02:56 EST', 'fabrice.tiercelin'), ('VERIFIED', '2021-01-07 07:47:11 EST', 'fabrice.tiercelin'), ('deepakazad', '2021-01-16 09:54:44 EST', 'fabrice.tiercelin')]</t>
  </si>
  <si>
    <t>2021-01-02 08:09:07 EST</t>
  </si>
  <si>
    <t>2021-01-01 03:33 EST</t>
  </si>
  <si>
    <t>2021-01-01 03:34:31 EST</t>
  </si>
  <si>
    <t>[('CREATED', '2021-01-01 03:33 EST'), ('4.19 M1', '2021-01-01 03:34:31 EST', 'sravankumarl'), ('https://git.eclipse.org/r/c/jdt/eclipse.jdt.ui/+/174174', '2021-01-01 15:08:18 EST', 'genie'), ('loskutov', '2021-01-01 15:08:37 EST', 'loskutov'), ('All', '2021-01-01 15:08:37 EST', 'loskutov'), ('loskutov', '2021-01-01 15:08:37 EST', 'loskutov'), ('All', '2021-01-01 15:08:37 EST', 'loskutov'), ('https://git.eclipse.org/c/jdt/eclipse.jdt.ui.git/commit/?id=fbf8ba9d28ba2884202f30aab938af492da5fbad', '2021-01-01 16:00:47 EST', 'genie'), ('https://git.eclipse.org/r/c/jdt/eclipse.jdt.ui/+/174176', '2021-01-02 04:17:31 EST', 'genie'), ('https://git.eclipse.org/c/jdt/eclipse.jdt.ui.git/commit/?id=d37330ba542a697a297646e5df0d66ee2050292d', '2021-01-02 05:18:03 EST', 'genie'), ('FIXED', '2021-01-02 08:09:07 EST', 'loskutov'), ('RESOLVED', '2021-01-02 08:09:07 EST', 'loskutov')]</t>
  </si>
  <si>
    <t>2021-01-08 03:45:40 EST</t>
  </si>
  <si>
    <t>2021-01-01 08:33 EST</t>
  </si>
  <si>
    <t>2021-01-01 08:34:39 EST</t>
  </si>
  <si>
    <t>[('CREATED', '2021-01-01 08:33 EST'), ('https://git.eclipse.org/r/c/jdt/eclipse.jdt.ui/+/174172', '2021-01-01 08:34:39 EST', 'genie'), ('carsten.hammer', '2021-01-01 10:46:22 EST', 'fabrice.tiercelin'), ('fabrice.tiercelin', '2021-01-01 10:46:22 EST', 'fabrice.tiercelin'), ('https://git.eclipse.org/c/jdt/eclipse.jdt.ui.git/commit/?id=a75a070cd733f876207bb3a50dae53acab085a48', '2021-01-08 03:36:50 EST', 'genie'), ('RESOLVED', '2021-01-08 03:45:40 EST', 'fabrice.tiercelin'), ('4.19 M3', '2021-01-08 03:45:40 EST', 'fabrice.tiercelin'), ('FIXED', '2021-01-08 03:45:40 EST', 'fabrice.tiercelin')]</t>
  </si>
  <si>
    <t>2021-01-02 10:56:59 EST</t>
  </si>
  <si>
    <t>2021-01-02 08:19 EST</t>
  </si>
  <si>
    <t>2021-01-02 08:19:39 EST</t>
  </si>
  <si>
    <t>[('CREATED', '2021-01-02 08:19 EST'), ('fabrice.tiercelin', '2021-01-02 08:19:39 EST', 'carsten.hammer'), ('carsten.hammer', '2021-01-02 10:31:53 EST', 'fabrice.tiercelin'), ('fabrice.tiercelin', '2021-01-02 10:31:53 EST', 'fabrice.tiercelin'), ('ASSIGNED', '2021-01-02 10:31:53 EST', 'fabrice.tiercelin'), ('INVALID', '2021-01-02 10:56:59 EST', 'carsten.hammer'), ('RESOLVED', '2021-01-02 10:56:59 EST', 'carsten.hammer')]</t>
  </si>
  <si>
    <t>2021-01-03 05:44 EST</t>
  </si>
  <si>
    <t>2021-01-05 03:33:31 EST</t>
  </si>
  <si>
    <t>[('CREATED', '2021-01-03 05:44 EST'), ('noopur_gupta', '2021-01-05 03:33:31 EST', 'noopur_gupta')]</t>
  </si>
  <si>
    <t>2021-01-03 09:08 EST</t>
  </si>
  <si>
    <t>2021-01-03 09:10:19 EST</t>
  </si>
  <si>
    <t>2021-01-16 09:51:39 EST</t>
  </si>
  <si>
    <t>[('CREATED', '2021-01-03 09:08 EST'), ('https://git.eclipse.org/r/c/jdt/eclipse.jdt.ui/+/174187', '2021-01-03 09:10:19 EST', 'genie'), ('carsten.hammer', '2021-01-03 10:43:59 EST', 'fabrice.tiercelin'), ('fabrice.tiercelin', '2021-01-03 10:43:59 EST', 'fabrice.tiercelin'), ('https://git.eclipse.org/c/jdt/eclipse.jdt.ui.git/commit/?id=2b83cf472a6a51733e0d08ed2918a2c53ec27082', '2021-01-16 09:45:21 EST', 'genie'), ('4.19 M3', '2021-01-16 09:51:39 EST', 'fabrice.tiercelin')]</t>
  </si>
  <si>
    <t>2021-01-05 13:33 EST</t>
  </si>
  <si>
    <t>2021-01-05 13:35:28 EST</t>
  </si>
  <si>
    <t>[('CREATED', '2021-01-05 13:33 EST'), ('https://git.eclipse.org/r/c/jdt/eclipse.jdt.ui/+/174295', '2021-01-05 13:35:28 EST', 'genie')]</t>
  </si>
  <si>
    <t>2021-01-07 04:37 EST</t>
  </si>
  <si>
    <t>2021-01-07 04:38:48 EST</t>
  </si>
  <si>
    <t>2021-01-12 23:14:08 EST</t>
  </si>
  <si>
    <t>[('CREATED', '2021-01-07 04:37 EST'), ('https://git.eclipse.org/r/c/jdt/eclipse.jdt.ui/+/174371', '2021-01-07 04:38:48 EST', 'genie'), ('carsten.hammer', '2021-01-07 05:40:50 EST', 'fabrice.tiercelin'), ('fabrice.tiercelin', '2021-01-07 05:40:50 EST', 'fabrice.tiercelin'), ('https://git.eclipse.org/c/jdt/eclipse.jdt.ui.git/commit/?id=54117a5a0e8cb380b938006fd028381b6d72663d', '2021-01-12 23:13:06 EST', 'genie'), ('4.19 M3', '2021-01-12 23:14:08 EST', 'fabrice.tiercelin')]</t>
  </si>
  <si>
    <t>570248</t>
  </si>
  <si>
    <t>568025</t>
  </si>
  <si>
    <t>2021-01-11 07:13 EST</t>
  </si>
  <si>
    <t>2021-01-11 07:14:52 EST</t>
  </si>
  <si>
    <t>2021-01-12 01:38:30 EST</t>
  </si>
  <si>
    <t>[('CREATED', '2021-01-11 07:13 EST'), ('568025', '2021-01-11 07:14:52 EST', 'noopur_gupta'), ('BETA J16', '2021-01-11 07:14:52 EST', 'noopur_gupta'), ('All', '2021-01-11 07:15:30 EST', 'noopur_gupta'), ('ASSIGNED', '2021-01-11 07:15:30 EST', 'noopur_gupta'), ('kalyan_prasad', '2021-01-11 07:15:30 EST', 'noopur_gupta'), ('All', '2021-01-11 07:15:30 EST', 'noopur_gupta'), ('570248', '2021-01-12 01:38:30 EST', 'kalyan_prasad')]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</si>
</sst>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60"/>
  <sheetViews>
    <sheetView tabSelected="1" topLeftCell="L1" workbookViewId="0"/>
  </sheetViews>
  <sheetFormatPr defaultRowHeight="15"/>
  <cols>
    <col min="20" max="20" width="20" customWidth="1"/>
    <col min="25" max="25" width="20.140625" customWidth="1"/>
    <col min="26" max="26" width="23.425781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0</v>
      </c>
      <c r="B2" t="str">
        <f>HYPERLINK("https://bugs.eclipse.org/bugs/show_bug.cgi?id=2855", "2855")</f>
        <v>2855</v>
      </c>
      <c r="C2" t="s">
        <v>25</v>
      </c>
      <c r="D2" t="s">
        <v>25</v>
      </c>
      <c r="F2" t="s">
        <v>26</v>
      </c>
      <c r="G2" t="s">
        <v>27</v>
      </c>
      <c r="L2" t="s">
        <v>28</v>
      </c>
      <c r="P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>
        <v>202</v>
      </c>
    </row>
    <row r="3" spans="1:26">
      <c r="A3" s="1">
        <v>1</v>
      </c>
      <c r="B3" t="str">
        <f>HYPERLINK("https://bugs.eclipse.org/bugs/show_bug.cgi?id=3338", "3338")</f>
        <v>3338</v>
      </c>
      <c r="C3" t="s">
        <v>35</v>
      </c>
      <c r="D3" t="s">
        <v>11</v>
      </c>
      <c r="E3" t="s">
        <v>12</v>
      </c>
      <c r="F3" t="s">
        <v>26</v>
      </c>
      <c r="L3" t="s">
        <v>36</v>
      </c>
      <c r="M3" t="s">
        <v>37</v>
      </c>
      <c r="N3" t="s">
        <v>36</v>
      </c>
      <c r="T3" t="s">
        <v>38</v>
      </c>
      <c r="U3" t="s">
        <v>39</v>
      </c>
      <c r="V3" t="s">
        <v>37</v>
      </c>
      <c r="W3" t="s">
        <v>40</v>
      </c>
      <c r="X3" t="s">
        <v>41</v>
      </c>
      <c r="Y3">
        <v>1</v>
      </c>
      <c r="Z3">
        <v>98.041666666666671</v>
      </c>
    </row>
    <row r="4" spans="1:26">
      <c r="A4" s="1">
        <v>2</v>
      </c>
      <c r="B4" t="str">
        <f>HYPERLINK("https://bugs.eclipse.org/bugs/show_bug.cgi?id=3473", "3473")</f>
        <v>3473</v>
      </c>
      <c r="C4" t="s">
        <v>35</v>
      </c>
      <c r="D4" t="s">
        <v>11</v>
      </c>
      <c r="E4" t="s">
        <v>12</v>
      </c>
      <c r="F4" t="s">
        <v>26</v>
      </c>
      <c r="L4" t="s">
        <v>42</v>
      </c>
      <c r="M4" t="s">
        <v>43</v>
      </c>
      <c r="N4" t="s">
        <v>42</v>
      </c>
      <c r="T4" t="s">
        <v>44</v>
      </c>
      <c r="U4" t="s">
        <v>45</v>
      </c>
      <c r="V4" t="s">
        <v>43</v>
      </c>
      <c r="W4" t="s">
        <v>40</v>
      </c>
      <c r="X4" t="s">
        <v>46</v>
      </c>
      <c r="Y4">
        <v>2</v>
      </c>
      <c r="Z4">
        <v>98.041666666666671</v>
      </c>
    </row>
    <row r="5" spans="1:26">
      <c r="A5" s="1">
        <v>3</v>
      </c>
      <c r="B5" t="str">
        <f>HYPERLINK("https://bugs.eclipse.org/bugs/show_bug.cgi?id=3476", "3476")</f>
        <v>3476</v>
      </c>
      <c r="C5" t="s">
        <v>35</v>
      </c>
      <c r="D5" t="s">
        <v>11</v>
      </c>
      <c r="E5" t="s">
        <v>12</v>
      </c>
      <c r="F5" t="s">
        <v>26</v>
      </c>
      <c r="L5" t="s">
        <v>47</v>
      </c>
      <c r="M5" t="s">
        <v>48</v>
      </c>
      <c r="N5" t="s">
        <v>47</v>
      </c>
      <c r="T5" t="s">
        <v>44</v>
      </c>
      <c r="U5" t="s">
        <v>47</v>
      </c>
      <c r="V5" t="s">
        <v>48</v>
      </c>
      <c r="W5" t="s">
        <v>49</v>
      </c>
      <c r="X5" t="s">
        <v>50</v>
      </c>
      <c r="Y5">
        <v>104.0416666666667</v>
      </c>
      <c r="Z5">
        <v>105.0416666666667</v>
      </c>
    </row>
    <row r="6" spans="1:26">
      <c r="A6" s="1">
        <v>4</v>
      </c>
      <c r="B6" t="str">
        <f>HYPERLINK("https://bugs.eclipse.org/bugs/show_bug.cgi?id=3477", "3477")</f>
        <v>3477</v>
      </c>
      <c r="C6" t="s">
        <v>35</v>
      </c>
      <c r="D6" t="s">
        <v>11</v>
      </c>
      <c r="E6" t="s">
        <v>12</v>
      </c>
      <c r="F6" t="s">
        <v>51</v>
      </c>
      <c r="L6" t="s">
        <v>52</v>
      </c>
      <c r="M6" t="s">
        <v>53</v>
      </c>
      <c r="N6" t="s">
        <v>52</v>
      </c>
      <c r="T6" t="s">
        <v>44</v>
      </c>
      <c r="U6" t="s">
        <v>54</v>
      </c>
      <c r="V6" t="s">
        <v>53</v>
      </c>
      <c r="W6" t="s">
        <v>40</v>
      </c>
      <c r="X6" t="s">
        <v>55</v>
      </c>
      <c r="Y6">
        <v>6</v>
      </c>
      <c r="Z6">
        <v>98.041666666666671</v>
      </c>
    </row>
    <row r="7" spans="1:26">
      <c r="A7" s="1">
        <v>5</v>
      </c>
      <c r="B7" t="str">
        <f>HYPERLINK("https://bugs.eclipse.org/bugs/show_bug.cgi?id=3518", "3518")</f>
        <v>3518</v>
      </c>
      <c r="C7" t="s">
        <v>56</v>
      </c>
      <c r="D7" t="s">
        <v>10</v>
      </c>
      <c r="E7" t="s">
        <v>14</v>
      </c>
      <c r="F7" t="s">
        <v>51</v>
      </c>
      <c r="L7" t="s">
        <v>57</v>
      </c>
      <c r="P7" t="s">
        <v>57</v>
      </c>
      <c r="T7" t="s">
        <v>58</v>
      </c>
      <c r="U7" t="s">
        <v>59</v>
      </c>
      <c r="V7" t="s">
        <v>57</v>
      </c>
      <c r="W7" t="s">
        <v>60</v>
      </c>
      <c r="X7" t="s">
        <v>61</v>
      </c>
      <c r="Y7">
        <v>6</v>
      </c>
      <c r="Z7">
        <v>140.04166666666671</v>
      </c>
    </row>
    <row r="8" spans="1:26">
      <c r="A8" s="1">
        <v>6</v>
      </c>
      <c r="B8" t="str">
        <f>HYPERLINK("https://bugs.eclipse.org/bugs/show_bug.cgi?id=3546", "3546")</f>
        <v>3546</v>
      </c>
      <c r="C8" t="s">
        <v>56</v>
      </c>
      <c r="D8" t="s">
        <v>10</v>
      </c>
      <c r="E8" t="s">
        <v>14</v>
      </c>
      <c r="F8" t="s">
        <v>51</v>
      </c>
      <c r="L8" t="s">
        <v>62</v>
      </c>
      <c r="P8" t="s">
        <v>62</v>
      </c>
      <c r="T8" t="s">
        <v>58</v>
      </c>
      <c r="U8" t="s">
        <v>63</v>
      </c>
      <c r="V8" t="s">
        <v>64</v>
      </c>
      <c r="W8" t="s">
        <v>65</v>
      </c>
      <c r="X8" t="s">
        <v>66</v>
      </c>
      <c r="Y8">
        <v>6</v>
      </c>
      <c r="Z8">
        <v>6662.041666666667</v>
      </c>
    </row>
    <row r="9" spans="1:26">
      <c r="A9" s="1">
        <v>7</v>
      </c>
      <c r="B9" t="str">
        <f>HYPERLINK("https://bugs.eclipse.org/bugs/show_bug.cgi?id=3581", "3581")</f>
        <v>3581</v>
      </c>
      <c r="C9" t="s">
        <v>35</v>
      </c>
      <c r="D9" t="s">
        <v>11</v>
      </c>
      <c r="E9" t="s">
        <v>12</v>
      </c>
      <c r="F9" t="s">
        <v>51</v>
      </c>
      <c r="L9" t="s">
        <v>67</v>
      </c>
      <c r="M9" t="s">
        <v>68</v>
      </c>
      <c r="N9" t="s">
        <v>67</v>
      </c>
      <c r="T9" t="s">
        <v>69</v>
      </c>
      <c r="U9" t="s">
        <v>70</v>
      </c>
      <c r="V9" t="s">
        <v>68</v>
      </c>
      <c r="W9" t="s">
        <v>40</v>
      </c>
      <c r="X9" t="s">
        <v>71</v>
      </c>
      <c r="Y9">
        <v>6</v>
      </c>
      <c r="Z9">
        <v>99.041666666666671</v>
      </c>
    </row>
    <row r="10" spans="1:26">
      <c r="A10" s="1">
        <v>8</v>
      </c>
      <c r="B10" t="str">
        <f>HYPERLINK("https://bugs.eclipse.org/bugs/show_bug.cgi?id=3583", "3583")</f>
        <v>3583</v>
      </c>
      <c r="C10" t="s">
        <v>56</v>
      </c>
      <c r="D10" t="s">
        <v>10</v>
      </c>
      <c r="E10" t="s">
        <v>14</v>
      </c>
      <c r="F10" t="s">
        <v>51</v>
      </c>
      <c r="L10" t="s">
        <v>72</v>
      </c>
      <c r="P10" t="s">
        <v>73</v>
      </c>
      <c r="T10" t="s">
        <v>69</v>
      </c>
      <c r="U10" t="s">
        <v>74</v>
      </c>
      <c r="V10" t="s">
        <v>73</v>
      </c>
      <c r="W10" t="s">
        <v>75</v>
      </c>
      <c r="X10" t="s">
        <v>76</v>
      </c>
      <c r="Y10">
        <v>6</v>
      </c>
      <c r="Z10">
        <v>2881</v>
      </c>
    </row>
    <row r="11" spans="1:26">
      <c r="A11" s="1">
        <v>9</v>
      </c>
      <c r="B11" t="str">
        <f>HYPERLINK("https://bugs.eclipse.org/bugs/show_bug.cgi?id=3610", "3610")</f>
        <v>3610</v>
      </c>
      <c r="C11" t="s">
        <v>56</v>
      </c>
      <c r="D11" t="s">
        <v>10</v>
      </c>
      <c r="E11" t="s">
        <v>14</v>
      </c>
      <c r="F11" t="s">
        <v>51</v>
      </c>
      <c r="L11" t="s">
        <v>77</v>
      </c>
      <c r="P11" t="s">
        <v>78</v>
      </c>
      <c r="T11" t="s">
        <v>69</v>
      </c>
      <c r="U11" t="s">
        <v>79</v>
      </c>
      <c r="V11" t="s">
        <v>78</v>
      </c>
      <c r="W11" t="s">
        <v>80</v>
      </c>
      <c r="X11" t="s">
        <v>81</v>
      </c>
      <c r="Y11">
        <v>6</v>
      </c>
      <c r="Z11">
        <v>2881</v>
      </c>
    </row>
    <row r="12" spans="1:26">
      <c r="A12" s="1">
        <v>10</v>
      </c>
      <c r="B12" t="str">
        <f>HYPERLINK("https://bugs.eclipse.org/bugs/show_bug.cgi?id=3613", "3613")</f>
        <v>3613</v>
      </c>
      <c r="C12" t="s">
        <v>56</v>
      </c>
      <c r="D12" t="s">
        <v>10</v>
      </c>
      <c r="E12" t="s">
        <v>14</v>
      </c>
      <c r="F12" t="s">
        <v>51</v>
      </c>
      <c r="L12" t="s">
        <v>82</v>
      </c>
      <c r="P12" t="s">
        <v>82</v>
      </c>
      <c r="S12" t="s">
        <v>83</v>
      </c>
      <c r="T12" t="s">
        <v>84</v>
      </c>
      <c r="U12" t="s">
        <v>85</v>
      </c>
      <c r="V12" t="s">
        <v>82</v>
      </c>
      <c r="W12" t="s">
        <v>86</v>
      </c>
      <c r="X12" t="s">
        <v>87</v>
      </c>
      <c r="Y12">
        <v>6</v>
      </c>
      <c r="Z12">
        <v>288</v>
      </c>
    </row>
    <row r="13" spans="1:26">
      <c r="A13" s="1">
        <v>11</v>
      </c>
      <c r="B13" t="str">
        <f>HYPERLINK("https://bugs.eclipse.org/bugs/show_bug.cgi?id=3624", "3624")</f>
        <v>3624</v>
      </c>
      <c r="C13" t="s">
        <v>88</v>
      </c>
      <c r="D13" t="s">
        <v>10</v>
      </c>
      <c r="E13" t="s">
        <v>13</v>
      </c>
      <c r="F13" t="s">
        <v>51</v>
      </c>
      <c r="G13" t="s">
        <v>89</v>
      </c>
      <c r="L13" t="s">
        <v>90</v>
      </c>
      <c r="O13" t="s">
        <v>91</v>
      </c>
      <c r="T13" t="s">
        <v>84</v>
      </c>
      <c r="U13" t="s">
        <v>92</v>
      </c>
      <c r="V13" t="s">
        <v>91</v>
      </c>
      <c r="W13" t="s">
        <v>75</v>
      </c>
      <c r="X13" t="s">
        <v>93</v>
      </c>
      <c r="Y13">
        <v>6</v>
      </c>
      <c r="Z13">
        <v>2881</v>
      </c>
    </row>
    <row r="14" spans="1:26">
      <c r="A14" s="1">
        <v>12</v>
      </c>
      <c r="B14" t="str">
        <f>HYPERLINK("https://bugs.eclipse.org/bugs/show_bug.cgi?id=3639", "3639")</f>
        <v>3639</v>
      </c>
      <c r="C14" t="s">
        <v>56</v>
      </c>
      <c r="D14" t="s">
        <v>10</v>
      </c>
      <c r="E14" t="s">
        <v>14</v>
      </c>
      <c r="F14" t="s">
        <v>51</v>
      </c>
      <c r="L14" t="s">
        <v>94</v>
      </c>
      <c r="P14" t="s">
        <v>94</v>
      </c>
      <c r="T14" t="s">
        <v>84</v>
      </c>
      <c r="U14" t="s">
        <v>95</v>
      </c>
      <c r="V14" t="s">
        <v>96</v>
      </c>
      <c r="W14" t="s">
        <v>97</v>
      </c>
      <c r="X14" t="s">
        <v>98</v>
      </c>
      <c r="Y14">
        <v>6</v>
      </c>
      <c r="Z14">
        <v>6986.041666666667</v>
      </c>
    </row>
    <row r="15" spans="1:26">
      <c r="A15" s="1">
        <v>13</v>
      </c>
      <c r="B15" t="str">
        <f>HYPERLINK("https://bugs.eclipse.org/bugs/show_bug.cgi?id=3642", "3642")</f>
        <v>3642</v>
      </c>
      <c r="C15" t="s">
        <v>35</v>
      </c>
      <c r="D15" t="s">
        <v>11</v>
      </c>
      <c r="E15" t="s">
        <v>12</v>
      </c>
      <c r="F15" t="s">
        <v>51</v>
      </c>
      <c r="G15" t="s">
        <v>99</v>
      </c>
      <c r="L15" t="s">
        <v>100</v>
      </c>
      <c r="M15" t="s">
        <v>101</v>
      </c>
      <c r="N15" t="s">
        <v>100</v>
      </c>
      <c r="T15" t="s">
        <v>84</v>
      </c>
      <c r="U15" t="s">
        <v>102</v>
      </c>
      <c r="V15" t="s">
        <v>101</v>
      </c>
      <c r="W15" t="s">
        <v>40</v>
      </c>
      <c r="X15" t="s">
        <v>103</v>
      </c>
      <c r="Y15">
        <v>6</v>
      </c>
      <c r="Z15">
        <v>99.041666666666671</v>
      </c>
    </row>
    <row r="16" spans="1:26">
      <c r="A16" s="1">
        <v>14</v>
      </c>
      <c r="B16" t="str">
        <f>HYPERLINK("https://bugs.eclipse.org/bugs/show_bug.cgi?id=3643", "3643")</f>
        <v>3643</v>
      </c>
      <c r="C16" t="s">
        <v>35</v>
      </c>
      <c r="D16" t="s">
        <v>11</v>
      </c>
      <c r="E16" t="s">
        <v>12</v>
      </c>
      <c r="F16" t="s">
        <v>51</v>
      </c>
      <c r="L16" t="s">
        <v>104</v>
      </c>
      <c r="M16" t="s">
        <v>105</v>
      </c>
      <c r="N16" t="s">
        <v>104</v>
      </c>
      <c r="T16" t="s">
        <v>84</v>
      </c>
      <c r="U16" t="s">
        <v>106</v>
      </c>
      <c r="V16" t="s">
        <v>105</v>
      </c>
      <c r="W16" t="s">
        <v>40</v>
      </c>
      <c r="X16" t="s">
        <v>107</v>
      </c>
      <c r="Y16">
        <v>6</v>
      </c>
      <c r="Z16">
        <v>99.041666666666671</v>
      </c>
    </row>
    <row r="17" spans="1:26">
      <c r="A17" s="1">
        <v>15</v>
      </c>
      <c r="B17" t="str">
        <f>HYPERLINK("https://bugs.eclipse.org/bugs/show_bug.cgi?id=3644", "3644")</f>
        <v>3644</v>
      </c>
      <c r="C17" t="s">
        <v>56</v>
      </c>
      <c r="D17" t="s">
        <v>10</v>
      </c>
      <c r="E17" t="s">
        <v>14</v>
      </c>
      <c r="F17" t="s">
        <v>26</v>
      </c>
      <c r="L17" t="s">
        <v>108</v>
      </c>
      <c r="P17" t="s">
        <v>108</v>
      </c>
      <c r="T17" t="s">
        <v>84</v>
      </c>
      <c r="U17" t="s">
        <v>108</v>
      </c>
      <c r="V17" t="s">
        <v>108</v>
      </c>
      <c r="W17" t="s">
        <v>60</v>
      </c>
      <c r="X17" t="s">
        <v>109</v>
      </c>
      <c r="Y17">
        <v>7</v>
      </c>
      <c r="Z17">
        <v>7</v>
      </c>
    </row>
    <row r="18" spans="1:26">
      <c r="A18" s="1">
        <v>16</v>
      </c>
      <c r="B18" t="str">
        <f>HYPERLINK("https://bugs.eclipse.org/bugs/show_bug.cgi?id=3676", "3676")</f>
        <v>3676</v>
      </c>
      <c r="C18" t="s">
        <v>56</v>
      </c>
      <c r="D18" t="s">
        <v>10</v>
      </c>
      <c r="E18" t="s">
        <v>14</v>
      </c>
      <c r="F18" t="s">
        <v>51</v>
      </c>
      <c r="L18" t="s">
        <v>110</v>
      </c>
      <c r="P18" t="s">
        <v>110</v>
      </c>
      <c r="S18" t="s">
        <v>111</v>
      </c>
      <c r="T18" t="s">
        <v>112</v>
      </c>
      <c r="U18" t="s">
        <v>113</v>
      </c>
      <c r="V18" t="s">
        <v>110</v>
      </c>
      <c r="W18" t="s">
        <v>86</v>
      </c>
      <c r="X18" t="s">
        <v>114</v>
      </c>
      <c r="Y18">
        <v>6</v>
      </c>
      <c r="Z18">
        <v>308</v>
      </c>
    </row>
    <row r="19" spans="1:26">
      <c r="A19" s="1">
        <v>17</v>
      </c>
      <c r="B19" t="str">
        <f>HYPERLINK("https://bugs.eclipse.org/bugs/show_bug.cgi?id=3689", "3689")</f>
        <v>3689</v>
      </c>
      <c r="C19" t="s">
        <v>35</v>
      </c>
      <c r="D19" t="s">
        <v>11</v>
      </c>
      <c r="E19" t="s">
        <v>12</v>
      </c>
      <c r="F19" t="s">
        <v>51</v>
      </c>
      <c r="L19" t="s">
        <v>115</v>
      </c>
      <c r="M19" t="s">
        <v>116</v>
      </c>
      <c r="N19" t="s">
        <v>115</v>
      </c>
      <c r="S19" t="s">
        <v>117</v>
      </c>
      <c r="T19" t="s">
        <v>112</v>
      </c>
      <c r="U19" t="s">
        <v>118</v>
      </c>
      <c r="V19" t="s">
        <v>116</v>
      </c>
      <c r="W19" t="s">
        <v>40</v>
      </c>
      <c r="X19" t="s">
        <v>119</v>
      </c>
      <c r="Y19">
        <v>6</v>
      </c>
      <c r="Z19">
        <v>140.04166666666671</v>
      </c>
    </row>
    <row r="20" spans="1:26">
      <c r="A20" s="1">
        <v>18</v>
      </c>
      <c r="B20" t="str">
        <f>HYPERLINK("https://bugs.eclipse.org/bugs/show_bug.cgi?id=3692", "3692")</f>
        <v>3692</v>
      </c>
      <c r="C20" t="s">
        <v>56</v>
      </c>
      <c r="D20" t="s">
        <v>10</v>
      </c>
      <c r="E20" t="s">
        <v>14</v>
      </c>
      <c r="F20" t="s">
        <v>51</v>
      </c>
      <c r="L20" t="s">
        <v>120</v>
      </c>
      <c r="P20" t="s">
        <v>120</v>
      </c>
      <c r="T20" t="s">
        <v>112</v>
      </c>
      <c r="U20" t="s">
        <v>121</v>
      </c>
      <c r="V20" t="s">
        <v>120</v>
      </c>
      <c r="W20" t="s">
        <v>86</v>
      </c>
      <c r="X20" t="s">
        <v>122</v>
      </c>
      <c r="Y20">
        <v>6</v>
      </c>
      <c r="Z20">
        <v>33.041666666666657</v>
      </c>
    </row>
    <row r="21" spans="1:26">
      <c r="A21" s="1">
        <v>19</v>
      </c>
      <c r="B21" t="str">
        <f>HYPERLINK("https://bugs.eclipse.org/bugs/show_bug.cgi?id=3708", "3708")</f>
        <v>3708</v>
      </c>
      <c r="C21" t="s">
        <v>35</v>
      </c>
      <c r="D21" t="s">
        <v>11</v>
      </c>
      <c r="E21" t="s">
        <v>12</v>
      </c>
      <c r="F21" t="s">
        <v>51</v>
      </c>
      <c r="L21" t="s">
        <v>123</v>
      </c>
      <c r="M21" t="s">
        <v>124</v>
      </c>
      <c r="N21" t="s">
        <v>123</v>
      </c>
      <c r="T21" t="s">
        <v>112</v>
      </c>
      <c r="U21" t="s">
        <v>125</v>
      </c>
      <c r="V21" t="s">
        <v>124</v>
      </c>
      <c r="W21" t="s">
        <v>40</v>
      </c>
      <c r="X21" t="s">
        <v>126</v>
      </c>
      <c r="Y21">
        <v>6</v>
      </c>
      <c r="Z21">
        <v>99.041666666666671</v>
      </c>
    </row>
    <row r="22" spans="1:26">
      <c r="A22" s="1">
        <v>20</v>
      </c>
      <c r="B22" t="str">
        <f>HYPERLINK("https://bugs.eclipse.org/bugs/show_bug.cgi?id=3730", "3730")</f>
        <v>3730</v>
      </c>
      <c r="C22" t="s">
        <v>35</v>
      </c>
      <c r="D22" t="s">
        <v>11</v>
      </c>
      <c r="E22" t="s">
        <v>12</v>
      </c>
      <c r="F22" t="s">
        <v>51</v>
      </c>
      <c r="L22" t="s">
        <v>127</v>
      </c>
      <c r="M22" t="s">
        <v>128</v>
      </c>
      <c r="N22" t="s">
        <v>127</v>
      </c>
      <c r="T22" t="s">
        <v>112</v>
      </c>
      <c r="U22" t="s">
        <v>129</v>
      </c>
      <c r="V22" t="s">
        <v>128</v>
      </c>
      <c r="W22" t="s">
        <v>40</v>
      </c>
      <c r="X22" t="s">
        <v>130</v>
      </c>
      <c r="Y22">
        <v>6</v>
      </c>
      <c r="Z22">
        <v>99.041666666666671</v>
      </c>
    </row>
    <row r="23" spans="1:26">
      <c r="A23" s="1">
        <v>21</v>
      </c>
      <c r="B23" t="str">
        <f>HYPERLINK("https://bugs.eclipse.org/bugs/show_bug.cgi?id=3744", "3744")</f>
        <v>3744</v>
      </c>
      <c r="C23" t="s">
        <v>56</v>
      </c>
      <c r="D23" t="s">
        <v>10</v>
      </c>
      <c r="E23" t="s">
        <v>14</v>
      </c>
      <c r="F23" t="s">
        <v>51</v>
      </c>
      <c r="L23" t="s">
        <v>131</v>
      </c>
      <c r="P23" t="s">
        <v>131</v>
      </c>
      <c r="T23" t="s">
        <v>132</v>
      </c>
      <c r="U23" t="s">
        <v>133</v>
      </c>
      <c r="V23" t="s">
        <v>131</v>
      </c>
      <c r="W23" t="s">
        <v>134</v>
      </c>
      <c r="X23" t="s">
        <v>135</v>
      </c>
      <c r="Y23">
        <v>6</v>
      </c>
      <c r="Z23">
        <v>31.041666666666671</v>
      </c>
    </row>
    <row r="24" spans="1:26">
      <c r="A24" s="1">
        <v>22</v>
      </c>
      <c r="B24" t="str">
        <f>HYPERLINK("https://bugs.eclipse.org/bugs/show_bug.cgi?id=3747", "3747")</f>
        <v>3747</v>
      </c>
      <c r="C24" t="s">
        <v>35</v>
      </c>
      <c r="D24" t="s">
        <v>11</v>
      </c>
      <c r="E24" t="s">
        <v>12</v>
      </c>
      <c r="F24" t="s">
        <v>51</v>
      </c>
      <c r="L24" t="s">
        <v>136</v>
      </c>
      <c r="M24" t="s">
        <v>137</v>
      </c>
      <c r="N24" t="s">
        <v>136</v>
      </c>
      <c r="T24" t="s">
        <v>132</v>
      </c>
      <c r="U24" t="s">
        <v>138</v>
      </c>
      <c r="V24" t="s">
        <v>137</v>
      </c>
      <c r="W24" t="s">
        <v>40</v>
      </c>
      <c r="X24" t="s">
        <v>139</v>
      </c>
      <c r="Y24">
        <v>6</v>
      </c>
      <c r="Z24">
        <v>99.041666666666671</v>
      </c>
    </row>
    <row r="25" spans="1:26">
      <c r="A25" s="1">
        <v>23</v>
      </c>
      <c r="B25" t="str">
        <f>HYPERLINK("https://bugs.eclipse.org/bugs/show_bug.cgi?id=3750", "3750")</f>
        <v>3750</v>
      </c>
      <c r="C25" t="s">
        <v>140</v>
      </c>
      <c r="D25" t="s">
        <v>10</v>
      </c>
      <c r="E25" t="s">
        <v>16</v>
      </c>
      <c r="F25" t="s">
        <v>51</v>
      </c>
      <c r="L25" t="s">
        <v>141</v>
      </c>
      <c r="R25" t="s">
        <v>141</v>
      </c>
      <c r="T25" t="s">
        <v>132</v>
      </c>
      <c r="U25" t="s">
        <v>142</v>
      </c>
      <c r="V25" t="s">
        <v>141</v>
      </c>
      <c r="W25" t="s">
        <v>143</v>
      </c>
      <c r="X25" t="s">
        <v>144</v>
      </c>
      <c r="Y25">
        <v>6</v>
      </c>
      <c r="Z25">
        <v>140.04166666666671</v>
      </c>
    </row>
    <row r="26" spans="1:26">
      <c r="A26" s="1">
        <v>24</v>
      </c>
      <c r="B26" t="str">
        <f>HYPERLINK("https://bugs.eclipse.org/bugs/show_bug.cgi?id=3756", "3756")</f>
        <v>3756</v>
      </c>
      <c r="C26" t="s">
        <v>88</v>
      </c>
      <c r="D26" t="s">
        <v>10</v>
      </c>
      <c r="E26" t="s">
        <v>13</v>
      </c>
      <c r="F26" t="s">
        <v>145</v>
      </c>
      <c r="L26" t="s">
        <v>146</v>
      </c>
      <c r="O26" t="s">
        <v>146</v>
      </c>
      <c r="T26" t="s">
        <v>132</v>
      </c>
      <c r="U26" t="s">
        <v>146</v>
      </c>
      <c r="V26" t="s">
        <v>146</v>
      </c>
      <c r="W26" t="s">
        <v>147</v>
      </c>
      <c r="X26" t="s">
        <v>148</v>
      </c>
      <c r="Y26">
        <v>1</v>
      </c>
      <c r="Z26">
        <v>1</v>
      </c>
    </row>
    <row r="27" spans="1:26">
      <c r="A27" s="1">
        <v>25</v>
      </c>
      <c r="B27" t="str">
        <f>HYPERLINK("https://bugs.eclipse.org/bugs/show_bug.cgi?id=3759", "3759")</f>
        <v>3759</v>
      </c>
      <c r="C27" t="s">
        <v>149</v>
      </c>
      <c r="D27" t="s">
        <v>10</v>
      </c>
      <c r="E27" t="s">
        <v>12</v>
      </c>
      <c r="F27" t="s">
        <v>150</v>
      </c>
      <c r="L27" t="s">
        <v>151</v>
      </c>
      <c r="N27" t="s">
        <v>151</v>
      </c>
      <c r="T27" t="s">
        <v>132</v>
      </c>
      <c r="U27" t="s">
        <v>152</v>
      </c>
      <c r="V27" t="s">
        <v>151</v>
      </c>
      <c r="W27" t="s">
        <v>134</v>
      </c>
      <c r="X27" t="s">
        <v>153</v>
      </c>
      <c r="Y27">
        <v>6</v>
      </c>
      <c r="Z27">
        <v>149.04166666666671</v>
      </c>
    </row>
    <row r="28" spans="1:26">
      <c r="A28" s="1">
        <v>26</v>
      </c>
      <c r="B28" t="str">
        <f>HYPERLINK("https://bugs.eclipse.org/bugs/show_bug.cgi?id=3778", "3778")</f>
        <v>3778</v>
      </c>
      <c r="C28" t="s">
        <v>35</v>
      </c>
      <c r="D28" t="s">
        <v>11</v>
      </c>
      <c r="E28" t="s">
        <v>12</v>
      </c>
      <c r="F28" t="s">
        <v>26</v>
      </c>
      <c r="L28" t="s">
        <v>154</v>
      </c>
      <c r="M28" t="s">
        <v>155</v>
      </c>
      <c r="N28" t="s">
        <v>154</v>
      </c>
      <c r="T28" t="s">
        <v>132</v>
      </c>
      <c r="U28" t="s">
        <v>154</v>
      </c>
      <c r="V28" t="s">
        <v>155</v>
      </c>
      <c r="W28" t="s">
        <v>40</v>
      </c>
      <c r="X28" t="s">
        <v>156</v>
      </c>
      <c r="Y28">
        <v>1</v>
      </c>
      <c r="Z28">
        <v>99.041666666666671</v>
      </c>
    </row>
    <row r="29" spans="1:26">
      <c r="A29" s="1">
        <v>27</v>
      </c>
      <c r="B29" t="str">
        <f>HYPERLINK("https://bugs.eclipse.org/bugs/show_bug.cgi?id=3779", "3779")</f>
        <v>3779</v>
      </c>
      <c r="C29" t="s">
        <v>56</v>
      </c>
      <c r="D29" t="s">
        <v>10</v>
      </c>
      <c r="E29" t="s">
        <v>14</v>
      </c>
      <c r="F29" t="s">
        <v>51</v>
      </c>
      <c r="L29" t="s">
        <v>157</v>
      </c>
      <c r="P29" t="s">
        <v>157</v>
      </c>
      <c r="S29" t="s">
        <v>158</v>
      </c>
      <c r="T29" t="s">
        <v>132</v>
      </c>
      <c r="U29" t="s">
        <v>159</v>
      </c>
      <c r="V29" t="s">
        <v>157</v>
      </c>
      <c r="W29" t="s">
        <v>86</v>
      </c>
      <c r="X29" t="s">
        <v>160</v>
      </c>
      <c r="Y29">
        <v>6</v>
      </c>
      <c r="Z29">
        <v>288</v>
      </c>
    </row>
    <row r="30" spans="1:26">
      <c r="A30" s="1">
        <v>28</v>
      </c>
      <c r="B30" t="str">
        <f>HYPERLINK("https://bugs.eclipse.org/bugs/show_bug.cgi?id=3782", "3782")</f>
        <v>3782</v>
      </c>
      <c r="C30" t="s">
        <v>35</v>
      </c>
      <c r="D30" t="s">
        <v>11</v>
      </c>
      <c r="E30" t="s">
        <v>12</v>
      </c>
      <c r="F30" t="s">
        <v>51</v>
      </c>
      <c r="L30" t="s">
        <v>161</v>
      </c>
      <c r="M30" t="s">
        <v>162</v>
      </c>
      <c r="N30" t="s">
        <v>161</v>
      </c>
      <c r="T30" t="s">
        <v>132</v>
      </c>
      <c r="U30" t="s">
        <v>163</v>
      </c>
      <c r="V30" t="s">
        <v>162</v>
      </c>
      <c r="W30" t="s">
        <v>40</v>
      </c>
      <c r="X30" t="s">
        <v>164</v>
      </c>
      <c r="Y30">
        <v>6</v>
      </c>
      <c r="Z30">
        <v>99.041666666666671</v>
      </c>
    </row>
    <row r="31" spans="1:26">
      <c r="A31" s="1">
        <v>29</v>
      </c>
      <c r="B31" t="str">
        <f>HYPERLINK("https://bugs.eclipse.org/bugs/show_bug.cgi?id=3787", "3787")</f>
        <v>3787</v>
      </c>
      <c r="C31" t="s">
        <v>35</v>
      </c>
      <c r="D31" t="s">
        <v>11</v>
      </c>
      <c r="E31" t="s">
        <v>12</v>
      </c>
      <c r="F31" t="s">
        <v>26</v>
      </c>
      <c r="L31" t="s">
        <v>165</v>
      </c>
      <c r="M31" t="s">
        <v>166</v>
      </c>
      <c r="N31" t="s">
        <v>165</v>
      </c>
      <c r="T31" t="s">
        <v>132</v>
      </c>
      <c r="U31" t="s">
        <v>165</v>
      </c>
      <c r="V31" t="s">
        <v>166</v>
      </c>
      <c r="W31" t="s">
        <v>49</v>
      </c>
      <c r="X31" t="s">
        <v>167</v>
      </c>
      <c r="Y31">
        <v>7</v>
      </c>
      <c r="Z31">
        <v>106.0416666666667</v>
      </c>
    </row>
    <row r="32" spans="1:26">
      <c r="A32" s="1">
        <v>30</v>
      </c>
      <c r="B32" t="str">
        <f>HYPERLINK("https://bugs.eclipse.org/bugs/show_bug.cgi?id=3796", "3796")</f>
        <v>3796</v>
      </c>
      <c r="C32" t="s">
        <v>35</v>
      </c>
      <c r="D32" t="s">
        <v>11</v>
      </c>
      <c r="E32" t="s">
        <v>12</v>
      </c>
      <c r="F32" t="s">
        <v>51</v>
      </c>
      <c r="L32" t="s">
        <v>168</v>
      </c>
      <c r="M32" t="s">
        <v>169</v>
      </c>
      <c r="N32" t="s">
        <v>168</v>
      </c>
      <c r="T32" t="s">
        <v>170</v>
      </c>
      <c r="U32" t="s">
        <v>171</v>
      </c>
      <c r="V32" t="s">
        <v>169</v>
      </c>
      <c r="W32" t="s">
        <v>40</v>
      </c>
      <c r="X32" t="s">
        <v>172</v>
      </c>
      <c r="Y32">
        <v>6</v>
      </c>
      <c r="Z32">
        <v>100.0416666666667</v>
      </c>
    </row>
    <row r="33" spans="1:26">
      <c r="A33" s="1">
        <v>31</v>
      </c>
      <c r="B33" t="str">
        <f>HYPERLINK("https://bugs.eclipse.org/bugs/show_bug.cgi?id=3819", "3819")</f>
        <v>3819</v>
      </c>
      <c r="C33" t="s">
        <v>56</v>
      </c>
      <c r="D33" t="s">
        <v>10</v>
      </c>
      <c r="E33" t="s">
        <v>14</v>
      </c>
      <c r="F33" t="s">
        <v>51</v>
      </c>
      <c r="L33" t="s">
        <v>173</v>
      </c>
      <c r="P33" t="s">
        <v>173</v>
      </c>
      <c r="T33" t="s">
        <v>170</v>
      </c>
      <c r="U33" t="s">
        <v>174</v>
      </c>
      <c r="V33" t="s">
        <v>173</v>
      </c>
      <c r="W33" t="s">
        <v>143</v>
      </c>
      <c r="X33" t="s">
        <v>175</v>
      </c>
      <c r="Y33">
        <v>6</v>
      </c>
      <c r="Z33">
        <v>140.04166666666671</v>
      </c>
    </row>
    <row r="34" spans="1:26">
      <c r="A34" s="1">
        <v>32</v>
      </c>
      <c r="B34" t="str">
        <f>HYPERLINK("https://bugs.eclipse.org/bugs/show_bug.cgi?id=3820", "3820")</f>
        <v>3820</v>
      </c>
      <c r="C34" t="s">
        <v>35</v>
      </c>
      <c r="D34" t="s">
        <v>11</v>
      </c>
      <c r="E34" t="s">
        <v>12</v>
      </c>
      <c r="F34" t="s">
        <v>26</v>
      </c>
      <c r="L34" t="s">
        <v>176</v>
      </c>
      <c r="M34" t="s">
        <v>177</v>
      </c>
      <c r="N34" t="s">
        <v>176</v>
      </c>
      <c r="T34" t="s">
        <v>170</v>
      </c>
      <c r="U34" t="s">
        <v>176</v>
      </c>
      <c r="V34" t="s">
        <v>177</v>
      </c>
      <c r="W34" t="s">
        <v>40</v>
      </c>
      <c r="X34" t="s">
        <v>178</v>
      </c>
      <c r="Y34">
        <v>7</v>
      </c>
      <c r="Z34">
        <v>100.0416666666667</v>
      </c>
    </row>
    <row r="35" spans="1:26">
      <c r="A35" s="1">
        <v>33</v>
      </c>
      <c r="B35" t="str">
        <f>HYPERLINK("https://bugs.eclipse.org/bugs/show_bug.cgi?id=3821", "3821")</f>
        <v>3821</v>
      </c>
      <c r="C35" t="s">
        <v>149</v>
      </c>
      <c r="D35" t="s">
        <v>10</v>
      </c>
      <c r="E35" t="s">
        <v>12</v>
      </c>
      <c r="F35" t="s">
        <v>150</v>
      </c>
      <c r="L35" t="s">
        <v>179</v>
      </c>
      <c r="N35" t="s">
        <v>179</v>
      </c>
      <c r="S35" t="s">
        <v>180</v>
      </c>
      <c r="T35" t="s">
        <v>170</v>
      </c>
      <c r="U35" t="s">
        <v>181</v>
      </c>
      <c r="V35" t="s">
        <v>179</v>
      </c>
      <c r="W35" t="s">
        <v>86</v>
      </c>
      <c r="X35" t="s">
        <v>182</v>
      </c>
      <c r="Y35">
        <v>6</v>
      </c>
      <c r="Z35">
        <v>103.0416666666667</v>
      </c>
    </row>
    <row r="36" spans="1:26">
      <c r="A36" s="1">
        <v>34</v>
      </c>
      <c r="B36" t="str">
        <f>HYPERLINK("https://bugs.eclipse.org/bugs/show_bug.cgi?id=3822", "3822")</f>
        <v>3822</v>
      </c>
      <c r="C36" t="s">
        <v>56</v>
      </c>
      <c r="D36" t="s">
        <v>10</v>
      </c>
      <c r="E36" t="s">
        <v>14</v>
      </c>
      <c r="F36" t="s">
        <v>51</v>
      </c>
      <c r="L36" t="s">
        <v>183</v>
      </c>
      <c r="P36" t="s">
        <v>184</v>
      </c>
      <c r="T36" t="s">
        <v>170</v>
      </c>
      <c r="U36" t="s">
        <v>142</v>
      </c>
      <c r="V36" t="s">
        <v>184</v>
      </c>
      <c r="W36" t="s">
        <v>80</v>
      </c>
      <c r="X36" t="s">
        <v>185</v>
      </c>
      <c r="Y36">
        <v>6</v>
      </c>
      <c r="Z36">
        <v>2881</v>
      </c>
    </row>
    <row r="37" spans="1:26">
      <c r="A37" s="1">
        <v>35</v>
      </c>
      <c r="B37" t="str">
        <f>HYPERLINK("https://bugs.eclipse.org/bugs/show_bug.cgi?id=3844", "3844")</f>
        <v>3844</v>
      </c>
      <c r="C37" t="s">
        <v>140</v>
      </c>
      <c r="D37" t="s">
        <v>10</v>
      </c>
      <c r="E37" t="s">
        <v>16</v>
      </c>
      <c r="F37" t="s">
        <v>150</v>
      </c>
      <c r="L37" t="s">
        <v>186</v>
      </c>
      <c r="R37" t="s">
        <v>186</v>
      </c>
      <c r="T37" t="s">
        <v>170</v>
      </c>
      <c r="U37" t="s">
        <v>187</v>
      </c>
      <c r="V37" t="s">
        <v>186</v>
      </c>
      <c r="W37" t="s">
        <v>86</v>
      </c>
      <c r="X37" t="s">
        <v>188</v>
      </c>
      <c r="Y37">
        <v>6</v>
      </c>
      <c r="Z37">
        <v>100.0416666666667</v>
      </c>
    </row>
    <row r="38" spans="1:26">
      <c r="A38" s="1">
        <v>36</v>
      </c>
      <c r="B38" t="str">
        <f>HYPERLINK("https://bugs.eclipse.org/bugs/show_bug.cgi?id=3845", "3845")</f>
        <v>3845</v>
      </c>
      <c r="C38" t="s">
        <v>56</v>
      </c>
      <c r="D38" t="s">
        <v>10</v>
      </c>
      <c r="E38" t="s">
        <v>14</v>
      </c>
      <c r="F38" t="s">
        <v>26</v>
      </c>
      <c r="L38" t="s">
        <v>189</v>
      </c>
      <c r="P38" t="s">
        <v>189</v>
      </c>
      <c r="T38" t="s">
        <v>170</v>
      </c>
      <c r="U38" t="s">
        <v>189</v>
      </c>
      <c r="V38" t="s">
        <v>189</v>
      </c>
      <c r="W38" t="s">
        <v>134</v>
      </c>
      <c r="X38" t="s">
        <v>190</v>
      </c>
      <c r="Y38">
        <v>21.041666666666671</v>
      </c>
      <c r="Z38">
        <v>21.041666666666671</v>
      </c>
    </row>
    <row r="39" spans="1:26">
      <c r="A39" s="1">
        <v>37</v>
      </c>
      <c r="B39" t="str">
        <f>HYPERLINK("https://bugs.eclipse.org/bugs/show_bug.cgi?id=3846", "3846")</f>
        <v>3846</v>
      </c>
      <c r="C39" t="s">
        <v>191</v>
      </c>
      <c r="D39" t="s">
        <v>192</v>
      </c>
      <c r="E39" t="s">
        <v>14</v>
      </c>
      <c r="F39" t="s">
        <v>26</v>
      </c>
      <c r="L39" t="s">
        <v>193</v>
      </c>
      <c r="P39" t="s">
        <v>194</v>
      </c>
      <c r="T39" t="s">
        <v>170</v>
      </c>
      <c r="U39" t="s">
        <v>193</v>
      </c>
      <c r="V39" t="s">
        <v>194</v>
      </c>
      <c r="W39" t="s">
        <v>80</v>
      </c>
      <c r="X39" t="s">
        <v>195</v>
      </c>
      <c r="Y39">
        <v>110.0416666666667</v>
      </c>
      <c r="Z39">
        <v>2881</v>
      </c>
    </row>
    <row r="40" spans="1:26">
      <c r="A40" s="1">
        <v>38</v>
      </c>
      <c r="B40" t="str">
        <f>HYPERLINK("https://bugs.eclipse.org/bugs/show_bug.cgi?id=3849", "3849")</f>
        <v>3849</v>
      </c>
      <c r="C40" t="s">
        <v>149</v>
      </c>
      <c r="D40" t="s">
        <v>10</v>
      </c>
      <c r="E40" t="s">
        <v>12</v>
      </c>
      <c r="F40" t="s">
        <v>26</v>
      </c>
      <c r="L40" t="s">
        <v>196</v>
      </c>
      <c r="N40" t="s">
        <v>196</v>
      </c>
      <c r="S40" t="s">
        <v>197</v>
      </c>
      <c r="T40" t="s">
        <v>170</v>
      </c>
      <c r="U40" t="s">
        <v>198</v>
      </c>
      <c r="V40" t="s">
        <v>199</v>
      </c>
      <c r="W40" t="s">
        <v>200</v>
      </c>
      <c r="X40" t="s">
        <v>201</v>
      </c>
      <c r="Y40">
        <v>191</v>
      </c>
      <c r="Z40">
        <v>883.04166666666663</v>
      </c>
    </row>
    <row r="41" spans="1:26">
      <c r="A41" s="1">
        <v>39</v>
      </c>
      <c r="B41" t="str">
        <f>HYPERLINK("https://bugs.eclipse.org/bugs/show_bug.cgi?id=3850", "3850")</f>
        <v>3850</v>
      </c>
      <c r="C41" t="s">
        <v>88</v>
      </c>
      <c r="D41" t="s">
        <v>10</v>
      </c>
      <c r="E41" t="s">
        <v>13</v>
      </c>
      <c r="F41" t="s">
        <v>26</v>
      </c>
      <c r="L41" t="s">
        <v>202</v>
      </c>
      <c r="O41" t="s">
        <v>203</v>
      </c>
      <c r="T41" t="s">
        <v>170</v>
      </c>
      <c r="U41" t="s">
        <v>202</v>
      </c>
      <c r="V41" t="s">
        <v>203</v>
      </c>
      <c r="W41" t="s">
        <v>75</v>
      </c>
      <c r="X41" t="s">
        <v>204</v>
      </c>
      <c r="Y41">
        <v>7</v>
      </c>
      <c r="Z41">
        <v>2881</v>
      </c>
    </row>
    <row r="42" spans="1:26">
      <c r="A42" s="1">
        <v>40</v>
      </c>
      <c r="B42" t="str">
        <f>HYPERLINK("https://bugs.eclipse.org/bugs/show_bug.cgi?id=3861", "3861")</f>
        <v>3861</v>
      </c>
      <c r="C42" t="s">
        <v>56</v>
      </c>
      <c r="D42" t="s">
        <v>10</v>
      </c>
      <c r="E42" t="s">
        <v>14</v>
      </c>
      <c r="F42" t="s">
        <v>26</v>
      </c>
      <c r="L42" t="s">
        <v>205</v>
      </c>
      <c r="P42" t="s">
        <v>206</v>
      </c>
      <c r="T42" t="s">
        <v>207</v>
      </c>
      <c r="U42" t="s">
        <v>208</v>
      </c>
      <c r="V42" t="s">
        <v>206</v>
      </c>
      <c r="W42" t="s">
        <v>80</v>
      </c>
      <c r="X42" t="s">
        <v>209</v>
      </c>
      <c r="Y42">
        <v>6</v>
      </c>
      <c r="Z42">
        <v>2881</v>
      </c>
    </row>
    <row r="43" spans="1:26">
      <c r="A43" s="1">
        <v>41</v>
      </c>
      <c r="B43" t="str">
        <f>HYPERLINK("https://bugs.eclipse.org/bugs/show_bug.cgi?id=3864", "3864")</f>
        <v>3864</v>
      </c>
      <c r="C43" t="s">
        <v>56</v>
      </c>
      <c r="D43" t="s">
        <v>10</v>
      </c>
      <c r="E43" t="s">
        <v>14</v>
      </c>
      <c r="F43" t="s">
        <v>51</v>
      </c>
      <c r="L43" t="s">
        <v>210</v>
      </c>
      <c r="P43" t="s">
        <v>210</v>
      </c>
      <c r="T43" t="s">
        <v>207</v>
      </c>
      <c r="U43" t="s">
        <v>211</v>
      </c>
      <c r="V43" t="s">
        <v>210</v>
      </c>
      <c r="W43" t="s">
        <v>143</v>
      </c>
      <c r="X43" t="s">
        <v>212</v>
      </c>
      <c r="Y43">
        <v>6</v>
      </c>
      <c r="Z43">
        <v>140.04166666666671</v>
      </c>
    </row>
    <row r="44" spans="1:26">
      <c r="A44" s="1">
        <v>42</v>
      </c>
      <c r="B44" t="str">
        <f>HYPERLINK("https://bugs.eclipse.org/bugs/show_bug.cgi?id=3879", "3879")</f>
        <v>3879</v>
      </c>
      <c r="C44" t="s">
        <v>35</v>
      </c>
      <c r="D44" t="s">
        <v>11</v>
      </c>
      <c r="E44" t="s">
        <v>12</v>
      </c>
      <c r="F44" t="s">
        <v>26</v>
      </c>
      <c r="L44" t="s">
        <v>213</v>
      </c>
      <c r="M44" t="s">
        <v>214</v>
      </c>
      <c r="N44" t="s">
        <v>213</v>
      </c>
      <c r="T44" t="s">
        <v>207</v>
      </c>
      <c r="U44" t="s">
        <v>213</v>
      </c>
      <c r="V44" t="s">
        <v>214</v>
      </c>
      <c r="W44" t="s">
        <v>40</v>
      </c>
      <c r="X44" t="s">
        <v>215</v>
      </c>
      <c r="Y44">
        <v>1</v>
      </c>
      <c r="Z44">
        <v>100.0416666666667</v>
      </c>
    </row>
    <row r="45" spans="1:26">
      <c r="A45" s="1">
        <v>43</v>
      </c>
      <c r="B45" t="str">
        <f>HYPERLINK("https://bugs.eclipse.org/bugs/show_bug.cgi?id=3885", "3885")</f>
        <v>3885</v>
      </c>
      <c r="C45" t="s">
        <v>35</v>
      </c>
      <c r="D45" t="s">
        <v>11</v>
      </c>
      <c r="E45" t="s">
        <v>12</v>
      </c>
      <c r="F45" t="s">
        <v>26</v>
      </c>
      <c r="L45" t="s">
        <v>216</v>
      </c>
      <c r="M45" t="s">
        <v>217</v>
      </c>
      <c r="N45" t="s">
        <v>216</v>
      </c>
      <c r="T45" t="s">
        <v>207</v>
      </c>
      <c r="U45" t="s">
        <v>218</v>
      </c>
      <c r="V45" t="s">
        <v>217</v>
      </c>
      <c r="W45" t="s">
        <v>40</v>
      </c>
      <c r="X45" t="s">
        <v>219</v>
      </c>
      <c r="Y45">
        <v>1</v>
      </c>
      <c r="Z45">
        <v>100.0416666666667</v>
      </c>
    </row>
    <row r="46" spans="1:26">
      <c r="A46" s="1">
        <v>44</v>
      </c>
      <c r="B46" t="str">
        <f>HYPERLINK("https://bugs.eclipse.org/bugs/show_bug.cgi?id=3894", "3894")</f>
        <v>3894</v>
      </c>
      <c r="C46" t="s">
        <v>35</v>
      </c>
      <c r="D46" t="s">
        <v>11</v>
      </c>
      <c r="E46" t="s">
        <v>12</v>
      </c>
      <c r="F46" t="s">
        <v>26</v>
      </c>
      <c r="L46" t="s">
        <v>220</v>
      </c>
      <c r="M46" t="s">
        <v>221</v>
      </c>
      <c r="N46" t="s">
        <v>220</v>
      </c>
      <c r="T46" t="s">
        <v>207</v>
      </c>
      <c r="U46" t="s">
        <v>222</v>
      </c>
      <c r="V46" t="s">
        <v>221</v>
      </c>
      <c r="W46" t="s">
        <v>40</v>
      </c>
      <c r="X46" t="s">
        <v>223</v>
      </c>
      <c r="Y46">
        <v>1</v>
      </c>
      <c r="Z46">
        <v>100.0416666666667</v>
      </c>
    </row>
    <row r="47" spans="1:26">
      <c r="A47" s="1">
        <v>45</v>
      </c>
      <c r="B47" t="str">
        <f>HYPERLINK("https://bugs.eclipse.org/bugs/show_bug.cgi?id=3895", "3895")</f>
        <v>3895</v>
      </c>
      <c r="C47" t="s">
        <v>149</v>
      </c>
      <c r="D47" t="s">
        <v>10</v>
      </c>
      <c r="E47" t="s">
        <v>12</v>
      </c>
      <c r="F47" t="s">
        <v>26</v>
      </c>
      <c r="G47" t="s">
        <v>224</v>
      </c>
      <c r="L47" t="s">
        <v>225</v>
      </c>
      <c r="N47" t="s">
        <v>225</v>
      </c>
      <c r="S47" t="s">
        <v>226</v>
      </c>
      <c r="T47" t="s">
        <v>207</v>
      </c>
      <c r="U47" t="s">
        <v>227</v>
      </c>
      <c r="V47" t="s">
        <v>225</v>
      </c>
      <c r="W47" t="s">
        <v>60</v>
      </c>
      <c r="X47" t="s">
        <v>228</v>
      </c>
      <c r="Y47">
        <v>7</v>
      </c>
      <c r="Z47">
        <v>315</v>
      </c>
    </row>
    <row r="48" spans="1:26">
      <c r="A48" s="1">
        <v>46</v>
      </c>
      <c r="B48" t="str">
        <f>HYPERLINK("https://bugs.eclipse.org/bugs/show_bug.cgi?id=3897", "3897")</f>
        <v>3897</v>
      </c>
      <c r="C48" t="s">
        <v>35</v>
      </c>
      <c r="D48" t="s">
        <v>11</v>
      </c>
      <c r="E48" t="s">
        <v>12</v>
      </c>
      <c r="F48" t="s">
        <v>26</v>
      </c>
      <c r="L48" t="s">
        <v>229</v>
      </c>
      <c r="M48" t="s">
        <v>230</v>
      </c>
      <c r="N48" t="s">
        <v>229</v>
      </c>
      <c r="T48" t="s">
        <v>207</v>
      </c>
      <c r="U48" t="s">
        <v>229</v>
      </c>
      <c r="V48" t="s">
        <v>230</v>
      </c>
      <c r="W48" t="s">
        <v>40</v>
      </c>
      <c r="X48" t="s">
        <v>231</v>
      </c>
      <c r="Y48">
        <v>1</v>
      </c>
      <c r="Z48">
        <v>100.0416666666667</v>
      </c>
    </row>
    <row r="49" spans="1:26">
      <c r="A49" s="1">
        <v>47</v>
      </c>
      <c r="B49" t="str">
        <f>HYPERLINK("https://bugs.eclipse.org/bugs/show_bug.cgi?id=3898", "3898")</f>
        <v>3898</v>
      </c>
      <c r="C49" t="s">
        <v>35</v>
      </c>
      <c r="D49" t="s">
        <v>11</v>
      </c>
      <c r="E49" t="s">
        <v>12</v>
      </c>
      <c r="F49" t="s">
        <v>51</v>
      </c>
      <c r="L49" t="s">
        <v>232</v>
      </c>
      <c r="M49" t="s">
        <v>233</v>
      </c>
      <c r="N49" t="s">
        <v>232</v>
      </c>
      <c r="T49" t="s">
        <v>207</v>
      </c>
      <c r="U49" t="s">
        <v>234</v>
      </c>
      <c r="V49" t="s">
        <v>233</v>
      </c>
      <c r="W49" t="s">
        <v>40</v>
      </c>
      <c r="X49" t="s">
        <v>235</v>
      </c>
      <c r="Y49">
        <v>6</v>
      </c>
      <c r="Z49">
        <v>100.0416666666667</v>
      </c>
    </row>
    <row r="50" spans="1:26">
      <c r="A50" s="1">
        <v>48</v>
      </c>
      <c r="B50" t="str">
        <f>HYPERLINK("https://bugs.eclipse.org/bugs/show_bug.cgi?id=3900", "3900")</f>
        <v>3900</v>
      </c>
      <c r="C50" t="s">
        <v>149</v>
      </c>
      <c r="D50" t="s">
        <v>10</v>
      </c>
      <c r="E50" t="s">
        <v>12</v>
      </c>
      <c r="F50" t="s">
        <v>26</v>
      </c>
      <c r="L50" t="s">
        <v>236</v>
      </c>
      <c r="N50" t="s">
        <v>236</v>
      </c>
      <c r="T50" t="s">
        <v>207</v>
      </c>
      <c r="U50" t="s">
        <v>237</v>
      </c>
      <c r="V50" t="s">
        <v>238</v>
      </c>
      <c r="W50" t="s">
        <v>65</v>
      </c>
      <c r="X50" t="s">
        <v>239</v>
      </c>
      <c r="Y50">
        <v>1</v>
      </c>
      <c r="Z50">
        <v>6932</v>
      </c>
    </row>
    <row r="51" spans="1:26">
      <c r="A51" s="1">
        <v>49</v>
      </c>
      <c r="B51" t="str">
        <f>HYPERLINK("https://bugs.eclipse.org/bugs/show_bug.cgi?id=3901", "3901")</f>
        <v>3901</v>
      </c>
      <c r="C51" t="s">
        <v>35</v>
      </c>
      <c r="D51" t="s">
        <v>11</v>
      </c>
      <c r="E51" t="s">
        <v>12</v>
      </c>
      <c r="F51" t="s">
        <v>150</v>
      </c>
      <c r="L51" t="s">
        <v>240</v>
      </c>
      <c r="M51" t="s">
        <v>241</v>
      </c>
      <c r="N51" t="s">
        <v>240</v>
      </c>
      <c r="T51" t="s">
        <v>207</v>
      </c>
      <c r="U51" t="s">
        <v>242</v>
      </c>
      <c r="V51" t="s">
        <v>241</v>
      </c>
      <c r="W51" t="s">
        <v>40</v>
      </c>
      <c r="X51" t="s">
        <v>243</v>
      </c>
      <c r="Y51">
        <v>6</v>
      </c>
      <c r="Z51">
        <v>100.0416666666667</v>
      </c>
    </row>
    <row r="52" spans="1:26">
      <c r="A52" s="1">
        <v>50</v>
      </c>
      <c r="B52" t="str">
        <f>HYPERLINK("https://bugs.eclipse.org/bugs/show_bug.cgi?id=3905", "3905")</f>
        <v>3905</v>
      </c>
      <c r="C52" t="s">
        <v>149</v>
      </c>
      <c r="D52" t="s">
        <v>10</v>
      </c>
      <c r="E52" t="s">
        <v>12</v>
      </c>
      <c r="F52" t="s">
        <v>26</v>
      </c>
      <c r="L52" t="s">
        <v>244</v>
      </c>
      <c r="N52" t="s">
        <v>244</v>
      </c>
      <c r="T52" t="s">
        <v>207</v>
      </c>
      <c r="U52" t="s">
        <v>244</v>
      </c>
      <c r="V52" t="s">
        <v>245</v>
      </c>
      <c r="W52" t="s">
        <v>246</v>
      </c>
      <c r="X52" t="s">
        <v>247</v>
      </c>
      <c r="Y52">
        <v>1</v>
      </c>
      <c r="Z52">
        <v>923</v>
      </c>
    </row>
    <row r="53" spans="1:26">
      <c r="A53" s="1">
        <v>51</v>
      </c>
      <c r="B53" t="str">
        <f>HYPERLINK("https://bugs.eclipse.org/bugs/show_bug.cgi?id=3908", "3908")</f>
        <v>3908</v>
      </c>
      <c r="C53" t="s">
        <v>35</v>
      </c>
      <c r="D53" t="s">
        <v>11</v>
      </c>
      <c r="E53" t="s">
        <v>12</v>
      </c>
      <c r="F53" t="s">
        <v>26</v>
      </c>
      <c r="L53" t="s">
        <v>248</v>
      </c>
      <c r="M53" t="s">
        <v>249</v>
      </c>
      <c r="N53" t="s">
        <v>248</v>
      </c>
      <c r="T53" t="s">
        <v>207</v>
      </c>
      <c r="U53" t="s">
        <v>250</v>
      </c>
      <c r="V53" t="s">
        <v>249</v>
      </c>
      <c r="W53" t="s">
        <v>40</v>
      </c>
      <c r="X53" t="s">
        <v>251</v>
      </c>
      <c r="Y53">
        <v>1</v>
      </c>
      <c r="Z53">
        <v>100.0416666666667</v>
      </c>
    </row>
    <row r="54" spans="1:26">
      <c r="A54" s="1">
        <v>52</v>
      </c>
      <c r="B54" t="str">
        <f>HYPERLINK("https://bugs.eclipse.org/bugs/show_bug.cgi?id=3911", "3911")</f>
        <v>3911</v>
      </c>
      <c r="C54" t="s">
        <v>35</v>
      </c>
      <c r="D54" t="s">
        <v>11</v>
      </c>
      <c r="E54" t="s">
        <v>12</v>
      </c>
      <c r="F54" t="s">
        <v>26</v>
      </c>
      <c r="L54" t="s">
        <v>252</v>
      </c>
      <c r="M54" t="s">
        <v>253</v>
      </c>
      <c r="N54" t="s">
        <v>252</v>
      </c>
      <c r="S54" t="s">
        <v>254</v>
      </c>
      <c r="T54" t="s">
        <v>207</v>
      </c>
      <c r="U54" t="s">
        <v>255</v>
      </c>
      <c r="V54" t="s">
        <v>253</v>
      </c>
      <c r="W54" t="s">
        <v>40</v>
      </c>
      <c r="X54" t="s">
        <v>256</v>
      </c>
      <c r="Y54">
        <v>1</v>
      </c>
      <c r="Z54">
        <v>100.0416666666667</v>
      </c>
    </row>
    <row r="55" spans="1:26">
      <c r="A55" s="1">
        <v>53</v>
      </c>
      <c r="B55" t="str">
        <f>HYPERLINK("https://bugs.eclipse.org/bugs/show_bug.cgi?id=3912", "3912")</f>
        <v>3912</v>
      </c>
      <c r="C55" t="s">
        <v>149</v>
      </c>
      <c r="D55" t="s">
        <v>10</v>
      </c>
      <c r="E55" t="s">
        <v>12</v>
      </c>
      <c r="F55" t="s">
        <v>51</v>
      </c>
      <c r="L55" t="s">
        <v>257</v>
      </c>
      <c r="N55" t="s">
        <v>257</v>
      </c>
      <c r="T55" t="s">
        <v>207</v>
      </c>
      <c r="U55" t="s">
        <v>258</v>
      </c>
      <c r="V55" t="s">
        <v>257</v>
      </c>
      <c r="W55" t="s">
        <v>60</v>
      </c>
      <c r="X55" t="s">
        <v>259</v>
      </c>
      <c r="Y55">
        <v>6</v>
      </c>
      <c r="Z55">
        <v>33.041666666666657</v>
      </c>
    </row>
    <row r="56" spans="1:26">
      <c r="A56" s="1">
        <v>54</v>
      </c>
      <c r="B56" t="str">
        <f>HYPERLINK("https://bugs.eclipse.org/bugs/show_bug.cgi?id=3919", "3919")</f>
        <v>3919</v>
      </c>
      <c r="C56" t="s">
        <v>56</v>
      </c>
      <c r="D56" t="s">
        <v>10</v>
      </c>
      <c r="E56" t="s">
        <v>14</v>
      </c>
      <c r="F56" t="s">
        <v>51</v>
      </c>
      <c r="L56" t="s">
        <v>260</v>
      </c>
      <c r="P56" t="s">
        <v>261</v>
      </c>
      <c r="T56" t="s">
        <v>262</v>
      </c>
      <c r="U56" t="s">
        <v>263</v>
      </c>
      <c r="V56" t="s">
        <v>261</v>
      </c>
      <c r="W56" t="s">
        <v>75</v>
      </c>
      <c r="X56" t="s">
        <v>264</v>
      </c>
      <c r="Y56">
        <v>6</v>
      </c>
      <c r="Z56">
        <v>2881</v>
      </c>
    </row>
    <row r="57" spans="1:26">
      <c r="A57" s="1">
        <v>55</v>
      </c>
      <c r="B57" t="str">
        <f>HYPERLINK("https://bugs.eclipse.org/bugs/show_bug.cgi?id=3921", "3921")</f>
        <v>3921</v>
      </c>
      <c r="C57" t="s">
        <v>149</v>
      </c>
      <c r="D57" t="s">
        <v>10</v>
      </c>
      <c r="E57" t="s">
        <v>12</v>
      </c>
      <c r="F57" t="s">
        <v>150</v>
      </c>
      <c r="L57" t="s">
        <v>265</v>
      </c>
      <c r="N57" t="s">
        <v>265</v>
      </c>
      <c r="T57" t="s">
        <v>262</v>
      </c>
      <c r="U57" t="s">
        <v>266</v>
      </c>
      <c r="V57" t="s">
        <v>265</v>
      </c>
      <c r="W57" t="s">
        <v>86</v>
      </c>
      <c r="X57" t="s">
        <v>267</v>
      </c>
      <c r="Y57">
        <v>6</v>
      </c>
      <c r="Z57">
        <v>152.04166666666671</v>
      </c>
    </row>
    <row r="58" spans="1:26">
      <c r="A58" s="1">
        <v>56</v>
      </c>
      <c r="B58" t="str">
        <f>HYPERLINK("https://bugs.eclipse.org/bugs/show_bug.cgi?id=3926", "3926")</f>
        <v>3926</v>
      </c>
      <c r="C58" t="s">
        <v>149</v>
      </c>
      <c r="D58" t="s">
        <v>10</v>
      </c>
      <c r="E58" t="s">
        <v>12</v>
      </c>
      <c r="F58" t="s">
        <v>26</v>
      </c>
      <c r="G58" t="s">
        <v>268</v>
      </c>
      <c r="H58" t="s">
        <v>269</v>
      </c>
      <c r="L58" t="s">
        <v>270</v>
      </c>
      <c r="N58" t="s">
        <v>270</v>
      </c>
      <c r="S58" t="s">
        <v>271</v>
      </c>
      <c r="T58" t="s">
        <v>262</v>
      </c>
      <c r="U58" t="s">
        <v>272</v>
      </c>
      <c r="V58" t="s">
        <v>270</v>
      </c>
      <c r="W58" t="s">
        <v>60</v>
      </c>
      <c r="X58" t="s">
        <v>273</v>
      </c>
      <c r="Y58">
        <v>6</v>
      </c>
      <c r="Z58">
        <v>208</v>
      </c>
    </row>
    <row r="59" spans="1:26">
      <c r="A59" s="1">
        <v>57</v>
      </c>
      <c r="B59" t="str">
        <f>HYPERLINK("https://bugs.eclipse.org/bugs/show_bug.cgi?id=3956", "3956")</f>
        <v>3956</v>
      </c>
      <c r="C59" t="s">
        <v>35</v>
      </c>
      <c r="D59" t="s">
        <v>11</v>
      </c>
      <c r="E59" t="s">
        <v>12</v>
      </c>
      <c r="F59" t="s">
        <v>26</v>
      </c>
      <c r="L59" t="s">
        <v>274</v>
      </c>
      <c r="M59" t="s">
        <v>275</v>
      </c>
      <c r="N59" t="s">
        <v>274</v>
      </c>
      <c r="T59" t="s">
        <v>262</v>
      </c>
      <c r="U59" t="s">
        <v>274</v>
      </c>
      <c r="V59" t="s">
        <v>275</v>
      </c>
      <c r="W59" t="s">
        <v>40</v>
      </c>
      <c r="X59" t="s">
        <v>276</v>
      </c>
      <c r="Y59">
        <v>2</v>
      </c>
      <c r="Z59">
        <v>103.0416666666667</v>
      </c>
    </row>
    <row r="60" spans="1:26">
      <c r="A60" s="1">
        <v>58</v>
      </c>
      <c r="B60" t="str">
        <f>HYPERLINK("https://bugs.eclipse.org/bugs/show_bug.cgi?id=3957", "3957")</f>
        <v>3957</v>
      </c>
      <c r="C60" t="s">
        <v>35</v>
      </c>
      <c r="D60" t="s">
        <v>11</v>
      </c>
      <c r="E60" t="s">
        <v>12</v>
      </c>
      <c r="F60" t="s">
        <v>26</v>
      </c>
      <c r="L60" t="s">
        <v>277</v>
      </c>
      <c r="M60" t="s">
        <v>278</v>
      </c>
      <c r="N60" t="s">
        <v>277</v>
      </c>
      <c r="T60" t="s">
        <v>262</v>
      </c>
      <c r="U60" t="s">
        <v>277</v>
      </c>
      <c r="V60" t="s">
        <v>278</v>
      </c>
      <c r="W60" t="s">
        <v>40</v>
      </c>
      <c r="X60" t="s">
        <v>279</v>
      </c>
      <c r="Y60">
        <v>2</v>
      </c>
      <c r="Z60">
        <v>103.0416666666667</v>
      </c>
    </row>
    <row r="61" spans="1:26">
      <c r="A61" s="1">
        <v>59</v>
      </c>
      <c r="B61" t="str">
        <f>HYPERLINK("https://bugs.eclipse.org/bugs/show_bug.cgi?id=3968", "3968")</f>
        <v>3968</v>
      </c>
      <c r="C61" t="s">
        <v>149</v>
      </c>
      <c r="D61" t="s">
        <v>10</v>
      </c>
      <c r="E61" t="s">
        <v>12</v>
      </c>
      <c r="F61" t="s">
        <v>26</v>
      </c>
      <c r="L61" t="s">
        <v>280</v>
      </c>
      <c r="N61" t="s">
        <v>280</v>
      </c>
      <c r="T61" t="s">
        <v>262</v>
      </c>
      <c r="U61" t="s">
        <v>280</v>
      </c>
      <c r="V61" t="s">
        <v>280</v>
      </c>
      <c r="W61" t="s">
        <v>60</v>
      </c>
      <c r="X61" t="s">
        <v>281</v>
      </c>
      <c r="Y61">
        <v>121.0416666666667</v>
      </c>
      <c r="Z61">
        <v>121.0416666666667</v>
      </c>
    </row>
    <row r="62" spans="1:26">
      <c r="A62" s="1">
        <v>60</v>
      </c>
      <c r="B62" t="str">
        <f>HYPERLINK("https://bugs.eclipse.org/bugs/show_bug.cgi?id=3971", "3971")</f>
        <v>3971</v>
      </c>
      <c r="C62" t="s">
        <v>149</v>
      </c>
      <c r="D62" t="s">
        <v>10</v>
      </c>
      <c r="E62" t="s">
        <v>12</v>
      </c>
      <c r="F62" t="s">
        <v>26</v>
      </c>
      <c r="L62" t="s">
        <v>282</v>
      </c>
      <c r="N62" t="s">
        <v>282</v>
      </c>
      <c r="T62" t="s">
        <v>262</v>
      </c>
      <c r="U62" t="s">
        <v>282</v>
      </c>
      <c r="V62" t="s">
        <v>282</v>
      </c>
      <c r="W62" t="s">
        <v>283</v>
      </c>
      <c r="X62" t="s">
        <v>284</v>
      </c>
      <c r="Y62">
        <v>2</v>
      </c>
      <c r="Z62">
        <v>2</v>
      </c>
    </row>
    <row r="63" spans="1:26">
      <c r="A63" s="1">
        <v>61</v>
      </c>
      <c r="B63" t="str">
        <f>HYPERLINK("https://bugs.eclipse.org/bugs/show_bug.cgi?id=3981", "3981")</f>
        <v>3981</v>
      </c>
      <c r="C63" t="s">
        <v>149</v>
      </c>
      <c r="D63" t="s">
        <v>10</v>
      </c>
      <c r="E63" t="s">
        <v>12</v>
      </c>
      <c r="F63" t="s">
        <v>26</v>
      </c>
      <c r="L63" t="s">
        <v>285</v>
      </c>
      <c r="N63" t="s">
        <v>285</v>
      </c>
      <c r="T63" t="s">
        <v>286</v>
      </c>
      <c r="U63" t="s">
        <v>285</v>
      </c>
      <c r="V63" t="s">
        <v>285</v>
      </c>
      <c r="W63" t="s">
        <v>86</v>
      </c>
      <c r="X63" t="s">
        <v>287</v>
      </c>
      <c r="Y63">
        <v>111.0416666666667</v>
      </c>
      <c r="Z63">
        <v>111.0416666666667</v>
      </c>
    </row>
    <row r="64" spans="1:26">
      <c r="A64" s="1">
        <v>62</v>
      </c>
      <c r="B64" t="str">
        <f>HYPERLINK("https://bugs.eclipse.org/bugs/show_bug.cgi?id=3999", "3999")</f>
        <v>3999</v>
      </c>
      <c r="C64" t="s">
        <v>35</v>
      </c>
      <c r="D64" t="s">
        <v>11</v>
      </c>
      <c r="E64" t="s">
        <v>12</v>
      </c>
      <c r="F64" t="s">
        <v>26</v>
      </c>
      <c r="L64" t="s">
        <v>288</v>
      </c>
      <c r="M64" t="s">
        <v>289</v>
      </c>
      <c r="N64" t="s">
        <v>288</v>
      </c>
      <c r="T64" t="s">
        <v>286</v>
      </c>
      <c r="U64" t="s">
        <v>288</v>
      </c>
      <c r="V64" t="s">
        <v>289</v>
      </c>
      <c r="W64" t="s">
        <v>40</v>
      </c>
      <c r="X64" t="s">
        <v>290</v>
      </c>
      <c r="Y64">
        <v>2</v>
      </c>
      <c r="Z64">
        <v>104.0416666666667</v>
      </c>
    </row>
    <row r="65" spans="1:26">
      <c r="A65" s="1">
        <v>63</v>
      </c>
      <c r="B65" t="str">
        <f>HYPERLINK("https://bugs.eclipse.org/bugs/show_bug.cgi?id=4001", "4001")</f>
        <v>4001</v>
      </c>
      <c r="C65" t="s">
        <v>35</v>
      </c>
      <c r="D65" t="s">
        <v>11</v>
      </c>
      <c r="E65" t="s">
        <v>12</v>
      </c>
      <c r="F65" t="s">
        <v>26</v>
      </c>
      <c r="L65" t="s">
        <v>291</v>
      </c>
      <c r="M65" t="s">
        <v>292</v>
      </c>
      <c r="N65" t="s">
        <v>291</v>
      </c>
      <c r="T65" t="s">
        <v>286</v>
      </c>
      <c r="U65" t="s">
        <v>293</v>
      </c>
      <c r="V65" t="s">
        <v>292</v>
      </c>
      <c r="W65" t="s">
        <v>40</v>
      </c>
      <c r="X65" t="s">
        <v>294</v>
      </c>
      <c r="Y65">
        <v>30.041666666666671</v>
      </c>
      <c r="Z65">
        <v>104.0416666666667</v>
      </c>
    </row>
    <row r="66" spans="1:26">
      <c r="A66" s="1">
        <v>64</v>
      </c>
      <c r="B66" t="str">
        <f>HYPERLINK("https://bugs.eclipse.org/bugs/show_bug.cgi?id=4011", "4011")</f>
        <v>4011</v>
      </c>
      <c r="C66" t="s">
        <v>56</v>
      </c>
      <c r="D66" t="s">
        <v>10</v>
      </c>
      <c r="E66" t="s">
        <v>14</v>
      </c>
      <c r="F66" t="s">
        <v>51</v>
      </c>
      <c r="G66" t="s">
        <v>295</v>
      </c>
      <c r="L66" t="s">
        <v>296</v>
      </c>
      <c r="P66" t="s">
        <v>297</v>
      </c>
      <c r="T66" t="s">
        <v>286</v>
      </c>
      <c r="U66" t="s">
        <v>298</v>
      </c>
      <c r="V66" t="s">
        <v>297</v>
      </c>
      <c r="W66" t="s">
        <v>80</v>
      </c>
      <c r="X66" t="s">
        <v>299</v>
      </c>
      <c r="Y66">
        <v>6</v>
      </c>
      <c r="Z66">
        <v>2881</v>
      </c>
    </row>
    <row r="67" spans="1:26">
      <c r="A67" s="1">
        <v>65</v>
      </c>
      <c r="B67" t="str">
        <f>HYPERLINK("https://bugs.eclipse.org/bugs/show_bug.cgi?id=4019", "4019")</f>
        <v>4019</v>
      </c>
      <c r="C67" t="s">
        <v>35</v>
      </c>
      <c r="D67" t="s">
        <v>11</v>
      </c>
      <c r="E67" t="s">
        <v>12</v>
      </c>
      <c r="F67" t="s">
        <v>26</v>
      </c>
      <c r="L67" t="s">
        <v>300</v>
      </c>
      <c r="M67" t="s">
        <v>301</v>
      </c>
      <c r="N67" t="s">
        <v>300</v>
      </c>
      <c r="T67" t="s">
        <v>286</v>
      </c>
      <c r="U67" t="s">
        <v>300</v>
      </c>
      <c r="V67" t="s">
        <v>301</v>
      </c>
      <c r="W67" t="s">
        <v>40</v>
      </c>
      <c r="X67" t="s">
        <v>302</v>
      </c>
      <c r="Y67">
        <v>2</v>
      </c>
      <c r="Z67">
        <v>104.0416666666667</v>
      </c>
    </row>
    <row r="68" spans="1:26">
      <c r="A68" s="1">
        <v>66</v>
      </c>
      <c r="B68" t="str">
        <f>HYPERLINK("https://bugs.eclipse.org/bugs/show_bug.cgi?id=4042", "4042")</f>
        <v>4042</v>
      </c>
      <c r="C68" t="s">
        <v>140</v>
      </c>
      <c r="D68" t="s">
        <v>10</v>
      </c>
      <c r="E68" t="s">
        <v>16</v>
      </c>
      <c r="F68" t="s">
        <v>145</v>
      </c>
      <c r="L68" t="s">
        <v>303</v>
      </c>
      <c r="R68" t="s">
        <v>303</v>
      </c>
      <c r="S68" t="s">
        <v>304</v>
      </c>
      <c r="T68" t="s">
        <v>305</v>
      </c>
      <c r="U68" t="s">
        <v>306</v>
      </c>
      <c r="V68" t="s">
        <v>303</v>
      </c>
      <c r="W68" t="s">
        <v>134</v>
      </c>
      <c r="X68" t="s">
        <v>307</v>
      </c>
      <c r="Y68">
        <v>6</v>
      </c>
      <c r="Z68">
        <v>206</v>
      </c>
    </row>
    <row r="69" spans="1:26">
      <c r="A69" s="1">
        <v>67</v>
      </c>
      <c r="B69" t="str">
        <f>HYPERLINK("https://bugs.eclipse.org/bugs/show_bug.cgi?id=4063", "4063")</f>
        <v>4063</v>
      </c>
      <c r="C69" t="s">
        <v>35</v>
      </c>
      <c r="D69" t="s">
        <v>11</v>
      </c>
      <c r="E69" t="s">
        <v>12</v>
      </c>
      <c r="F69" t="s">
        <v>51</v>
      </c>
      <c r="L69" t="s">
        <v>308</v>
      </c>
      <c r="M69" t="s">
        <v>309</v>
      </c>
      <c r="N69" t="s">
        <v>308</v>
      </c>
      <c r="T69" t="s">
        <v>305</v>
      </c>
      <c r="U69" t="s">
        <v>310</v>
      </c>
      <c r="V69" t="s">
        <v>309</v>
      </c>
      <c r="W69" t="s">
        <v>40</v>
      </c>
      <c r="X69" t="s">
        <v>311</v>
      </c>
      <c r="Y69">
        <v>6</v>
      </c>
      <c r="Z69">
        <v>105.0416666666667</v>
      </c>
    </row>
    <row r="70" spans="1:26">
      <c r="A70" s="1">
        <v>68</v>
      </c>
      <c r="B70" t="str">
        <f>HYPERLINK("https://bugs.eclipse.org/bugs/show_bug.cgi?id=4075", "4075")</f>
        <v>4075</v>
      </c>
      <c r="C70" t="s">
        <v>35</v>
      </c>
      <c r="D70" t="s">
        <v>11</v>
      </c>
      <c r="E70" t="s">
        <v>12</v>
      </c>
      <c r="F70" t="s">
        <v>26</v>
      </c>
      <c r="L70" t="s">
        <v>312</v>
      </c>
      <c r="M70" t="s">
        <v>313</v>
      </c>
      <c r="N70" t="s">
        <v>312</v>
      </c>
      <c r="T70" t="s">
        <v>305</v>
      </c>
      <c r="U70" t="s">
        <v>312</v>
      </c>
      <c r="V70" t="s">
        <v>313</v>
      </c>
      <c r="W70" t="s">
        <v>40</v>
      </c>
      <c r="X70" t="s">
        <v>314</v>
      </c>
      <c r="Y70">
        <v>2</v>
      </c>
      <c r="Z70">
        <v>107.0416666666667</v>
      </c>
    </row>
    <row r="71" spans="1:26">
      <c r="A71" s="1">
        <v>69</v>
      </c>
      <c r="B71" t="str">
        <f>HYPERLINK("https://bugs.eclipse.org/bugs/show_bug.cgi?id=4094", "4094")</f>
        <v>4094</v>
      </c>
      <c r="C71" t="s">
        <v>149</v>
      </c>
      <c r="D71" t="s">
        <v>10</v>
      </c>
      <c r="E71" t="s">
        <v>12</v>
      </c>
      <c r="F71" t="s">
        <v>26</v>
      </c>
      <c r="G71" t="s">
        <v>315</v>
      </c>
      <c r="L71" t="s">
        <v>316</v>
      </c>
      <c r="N71" t="s">
        <v>316</v>
      </c>
      <c r="T71" t="s">
        <v>305</v>
      </c>
      <c r="U71" t="s">
        <v>317</v>
      </c>
      <c r="V71" t="s">
        <v>316</v>
      </c>
      <c r="W71" t="s">
        <v>86</v>
      </c>
      <c r="X71" t="s">
        <v>318</v>
      </c>
      <c r="Y71">
        <v>19.041666666666671</v>
      </c>
      <c r="Z71">
        <v>213</v>
      </c>
    </row>
    <row r="72" spans="1:26">
      <c r="A72" s="1">
        <v>70</v>
      </c>
      <c r="B72" t="str">
        <f>HYPERLINK("https://bugs.eclipse.org/bugs/show_bug.cgi?id=4118", "4118")</f>
        <v>4118</v>
      </c>
      <c r="C72" t="s">
        <v>149</v>
      </c>
      <c r="D72" t="s">
        <v>10</v>
      </c>
      <c r="E72" t="s">
        <v>12</v>
      </c>
      <c r="F72" t="s">
        <v>51</v>
      </c>
      <c r="L72" t="s">
        <v>319</v>
      </c>
      <c r="N72" t="s">
        <v>319</v>
      </c>
      <c r="T72" t="s">
        <v>320</v>
      </c>
      <c r="U72" t="s">
        <v>321</v>
      </c>
      <c r="V72" t="s">
        <v>319</v>
      </c>
      <c r="W72" t="s">
        <v>60</v>
      </c>
      <c r="X72" t="s">
        <v>322</v>
      </c>
      <c r="Y72">
        <v>6</v>
      </c>
      <c r="Z72">
        <v>97.041666666666671</v>
      </c>
    </row>
    <row r="73" spans="1:26">
      <c r="A73" s="1">
        <v>71</v>
      </c>
      <c r="B73" t="str">
        <f>HYPERLINK("https://bugs.eclipse.org/bugs/show_bug.cgi?id=4119", "4119")</f>
        <v>4119</v>
      </c>
      <c r="C73" t="s">
        <v>56</v>
      </c>
      <c r="D73" t="s">
        <v>10</v>
      </c>
      <c r="E73" t="s">
        <v>14</v>
      </c>
      <c r="F73" t="s">
        <v>51</v>
      </c>
      <c r="L73" t="s">
        <v>323</v>
      </c>
      <c r="P73" t="s">
        <v>324</v>
      </c>
      <c r="T73" t="s">
        <v>320</v>
      </c>
      <c r="U73" t="s">
        <v>181</v>
      </c>
      <c r="V73" t="s">
        <v>324</v>
      </c>
      <c r="W73" t="s">
        <v>75</v>
      </c>
      <c r="X73" t="s">
        <v>325</v>
      </c>
      <c r="Y73">
        <v>6</v>
      </c>
      <c r="Z73">
        <v>2881</v>
      </c>
    </row>
    <row r="74" spans="1:26">
      <c r="A74" s="1">
        <v>72</v>
      </c>
      <c r="B74" t="str">
        <f>HYPERLINK("https://bugs.eclipse.org/bugs/show_bug.cgi?id=4124", "4124")</f>
        <v>4124</v>
      </c>
      <c r="C74" t="s">
        <v>35</v>
      </c>
      <c r="D74" t="s">
        <v>11</v>
      </c>
      <c r="E74" t="s">
        <v>12</v>
      </c>
      <c r="F74" t="s">
        <v>150</v>
      </c>
      <c r="G74" t="s">
        <v>326</v>
      </c>
      <c r="L74" t="s">
        <v>327</v>
      </c>
      <c r="M74" t="s">
        <v>328</v>
      </c>
      <c r="N74" t="s">
        <v>327</v>
      </c>
      <c r="T74" t="s">
        <v>320</v>
      </c>
      <c r="U74" t="s">
        <v>329</v>
      </c>
      <c r="V74" t="s">
        <v>328</v>
      </c>
      <c r="W74" t="s">
        <v>40</v>
      </c>
      <c r="X74" t="s">
        <v>330</v>
      </c>
      <c r="Y74">
        <v>6</v>
      </c>
      <c r="Z74">
        <v>107.0416666666667</v>
      </c>
    </row>
    <row r="75" spans="1:26">
      <c r="A75" s="1">
        <v>73</v>
      </c>
      <c r="B75" t="str">
        <f>HYPERLINK("https://bugs.eclipse.org/bugs/show_bug.cgi?id=4128", "4128")</f>
        <v>4128</v>
      </c>
      <c r="C75" t="s">
        <v>56</v>
      </c>
      <c r="D75" t="s">
        <v>10</v>
      </c>
      <c r="E75" t="s">
        <v>14</v>
      </c>
      <c r="F75" t="s">
        <v>51</v>
      </c>
      <c r="L75" t="s">
        <v>331</v>
      </c>
      <c r="P75" t="s">
        <v>331</v>
      </c>
      <c r="S75" t="s">
        <v>332</v>
      </c>
      <c r="T75" t="s">
        <v>320</v>
      </c>
      <c r="U75" t="s">
        <v>333</v>
      </c>
      <c r="V75" t="s">
        <v>331</v>
      </c>
      <c r="W75" t="s">
        <v>86</v>
      </c>
      <c r="X75" t="s">
        <v>334</v>
      </c>
      <c r="Y75">
        <v>6</v>
      </c>
      <c r="Z75">
        <v>308</v>
      </c>
    </row>
    <row r="76" spans="1:26">
      <c r="A76" s="1">
        <v>74</v>
      </c>
      <c r="B76" t="str">
        <f>HYPERLINK("https://bugs.eclipse.org/bugs/show_bug.cgi?id=4141", "4141")</f>
        <v>4141</v>
      </c>
      <c r="C76" t="s">
        <v>35</v>
      </c>
      <c r="D76" t="s">
        <v>11</v>
      </c>
      <c r="E76" t="s">
        <v>12</v>
      </c>
      <c r="F76" t="s">
        <v>26</v>
      </c>
      <c r="L76" t="s">
        <v>335</v>
      </c>
      <c r="M76" t="s">
        <v>336</v>
      </c>
      <c r="N76" t="s">
        <v>335</v>
      </c>
      <c r="T76" t="s">
        <v>320</v>
      </c>
      <c r="U76" t="s">
        <v>335</v>
      </c>
      <c r="V76" t="s">
        <v>336</v>
      </c>
      <c r="W76" t="s">
        <v>283</v>
      </c>
      <c r="X76" t="s">
        <v>337</v>
      </c>
      <c r="Y76">
        <v>1</v>
      </c>
      <c r="Z76">
        <v>1</v>
      </c>
    </row>
    <row r="77" spans="1:26">
      <c r="A77" s="1">
        <v>75</v>
      </c>
      <c r="B77" t="str">
        <f>HYPERLINK("https://bugs.eclipse.org/bugs/show_bug.cgi?id=4143", "4143")</f>
        <v>4143</v>
      </c>
      <c r="C77" t="s">
        <v>149</v>
      </c>
      <c r="D77" t="s">
        <v>10</v>
      </c>
      <c r="E77" t="s">
        <v>12</v>
      </c>
      <c r="F77" t="s">
        <v>26</v>
      </c>
      <c r="L77" t="s">
        <v>338</v>
      </c>
      <c r="N77" t="s">
        <v>338</v>
      </c>
      <c r="T77" t="s">
        <v>320</v>
      </c>
      <c r="U77" t="s">
        <v>338</v>
      </c>
      <c r="V77" t="s">
        <v>338</v>
      </c>
      <c r="W77" t="s">
        <v>283</v>
      </c>
      <c r="X77" t="s">
        <v>339</v>
      </c>
      <c r="Y77">
        <v>2</v>
      </c>
      <c r="Z77">
        <v>2</v>
      </c>
    </row>
    <row r="78" spans="1:26">
      <c r="A78" s="1">
        <v>76</v>
      </c>
      <c r="B78" t="str">
        <f>HYPERLINK("https://bugs.eclipse.org/bugs/show_bug.cgi?id=4144", "4144")</f>
        <v>4144</v>
      </c>
      <c r="C78" t="s">
        <v>149</v>
      </c>
      <c r="D78" t="s">
        <v>10</v>
      </c>
      <c r="E78" t="s">
        <v>12</v>
      </c>
      <c r="F78" t="s">
        <v>26</v>
      </c>
      <c r="L78" t="s">
        <v>340</v>
      </c>
      <c r="N78" t="s">
        <v>340</v>
      </c>
      <c r="T78" t="s">
        <v>320</v>
      </c>
      <c r="U78" t="s">
        <v>340</v>
      </c>
      <c r="V78" t="s">
        <v>340</v>
      </c>
      <c r="W78" t="s">
        <v>86</v>
      </c>
      <c r="X78" t="s">
        <v>341</v>
      </c>
      <c r="Y78">
        <v>107.0416666666667</v>
      </c>
      <c r="Z78">
        <v>107.0416666666667</v>
      </c>
    </row>
    <row r="79" spans="1:26">
      <c r="A79" s="1">
        <v>77</v>
      </c>
      <c r="B79" t="str">
        <f>HYPERLINK("https://bugs.eclipse.org/bugs/show_bug.cgi?id=4153", "4153")</f>
        <v>4153</v>
      </c>
      <c r="C79" t="s">
        <v>342</v>
      </c>
      <c r="D79" t="s">
        <v>10</v>
      </c>
      <c r="E79" t="s">
        <v>15</v>
      </c>
      <c r="F79" t="s">
        <v>150</v>
      </c>
      <c r="L79" t="s">
        <v>343</v>
      </c>
      <c r="Q79" t="s">
        <v>343</v>
      </c>
      <c r="T79" t="s">
        <v>320</v>
      </c>
      <c r="U79" t="s">
        <v>344</v>
      </c>
      <c r="V79" t="s">
        <v>343</v>
      </c>
      <c r="W79" t="s">
        <v>40</v>
      </c>
      <c r="X79" t="s">
        <v>345</v>
      </c>
      <c r="Y79">
        <v>6</v>
      </c>
      <c r="Z79">
        <v>96.041666666666671</v>
      </c>
    </row>
    <row r="80" spans="1:26">
      <c r="A80" s="1">
        <v>78</v>
      </c>
      <c r="B80" t="str">
        <f>HYPERLINK("https://bugs.eclipse.org/bugs/show_bug.cgi?id=4160", "4160")</f>
        <v>4160</v>
      </c>
      <c r="C80" t="s">
        <v>35</v>
      </c>
      <c r="D80" t="s">
        <v>11</v>
      </c>
      <c r="E80" t="s">
        <v>12</v>
      </c>
      <c r="F80" t="s">
        <v>26</v>
      </c>
      <c r="L80" t="s">
        <v>346</v>
      </c>
      <c r="M80" t="s">
        <v>347</v>
      </c>
      <c r="N80" t="s">
        <v>346</v>
      </c>
      <c r="T80" t="s">
        <v>348</v>
      </c>
      <c r="U80" t="s">
        <v>346</v>
      </c>
      <c r="V80" t="s">
        <v>347</v>
      </c>
      <c r="W80" t="s">
        <v>283</v>
      </c>
      <c r="X80" t="s">
        <v>349</v>
      </c>
      <c r="Y80">
        <v>1</v>
      </c>
      <c r="Z80">
        <v>1</v>
      </c>
    </row>
    <row r="81" spans="1:26">
      <c r="A81" s="1">
        <v>79</v>
      </c>
      <c r="B81" t="str">
        <f>HYPERLINK("https://bugs.eclipse.org/bugs/show_bug.cgi?id=4170", "4170")</f>
        <v>4170</v>
      </c>
      <c r="C81" t="s">
        <v>35</v>
      </c>
      <c r="D81" t="s">
        <v>11</v>
      </c>
      <c r="E81" t="s">
        <v>12</v>
      </c>
      <c r="F81" t="s">
        <v>26</v>
      </c>
      <c r="L81" t="s">
        <v>350</v>
      </c>
      <c r="M81" t="s">
        <v>351</v>
      </c>
      <c r="N81" t="s">
        <v>350</v>
      </c>
      <c r="T81" t="s">
        <v>348</v>
      </c>
      <c r="U81" t="s">
        <v>350</v>
      </c>
      <c r="V81" t="s">
        <v>351</v>
      </c>
      <c r="W81" t="s">
        <v>40</v>
      </c>
      <c r="X81" t="s">
        <v>352</v>
      </c>
      <c r="Y81">
        <v>107.0416666666667</v>
      </c>
      <c r="Z81">
        <v>110.0416666666667</v>
      </c>
    </row>
    <row r="82" spans="1:26">
      <c r="A82" s="1">
        <v>80</v>
      </c>
      <c r="B82" t="str">
        <f>HYPERLINK("https://bugs.eclipse.org/bugs/show_bug.cgi?id=4186", "4186")</f>
        <v>4186</v>
      </c>
      <c r="C82" t="s">
        <v>149</v>
      </c>
      <c r="D82" t="s">
        <v>10</v>
      </c>
      <c r="E82" t="s">
        <v>12</v>
      </c>
      <c r="F82" t="s">
        <v>150</v>
      </c>
      <c r="L82" t="s">
        <v>353</v>
      </c>
      <c r="N82" t="s">
        <v>353</v>
      </c>
      <c r="T82" t="s">
        <v>348</v>
      </c>
      <c r="U82" t="s">
        <v>354</v>
      </c>
      <c r="V82" t="s">
        <v>353</v>
      </c>
      <c r="W82" t="s">
        <v>60</v>
      </c>
      <c r="X82" t="s">
        <v>355</v>
      </c>
      <c r="Y82">
        <v>140.04166666666671</v>
      </c>
      <c r="Z82">
        <v>141.04166666666671</v>
      </c>
    </row>
    <row r="83" spans="1:26">
      <c r="A83" s="1">
        <v>81</v>
      </c>
      <c r="B83" t="str">
        <f>HYPERLINK("https://bugs.eclipse.org/bugs/show_bug.cgi?id=4189", "4189")</f>
        <v>4189</v>
      </c>
      <c r="C83" t="s">
        <v>149</v>
      </c>
      <c r="D83" t="s">
        <v>10</v>
      </c>
      <c r="E83" t="s">
        <v>12</v>
      </c>
      <c r="F83" t="s">
        <v>26</v>
      </c>
      <c r="L83" t="s">
        <v>356</v>
      </c>
      <c r="N83" t="s">
        <v>356</v>
      </c>
      <c r="T83" t="s">
        <v>348</v>
      </c>
      <c r="U83" t="s">
        <v>357</v>
      </c>
      <c r="V83" t="s">
        <v>356</v>
      </c>
      <c r="W83" t="s">
        <v>134</v>
      </c>
      <c r="X83" t="s">
        <v>358</v>
      </c>
      <c r="Y83">
        <v>1</v>
      </c>
      <c r="Z83">
        <v>34.041666666666657</v>
      </c>
    </row>
    <row r="84" spans="1:26">
      <c r="A84" s="1">
        <v>82</v>
      </c>
      <c r="B84" t="str">
        <f>HYPERLINK("https://bugs.eclipse.org/bugs/show_bug.cgi?id=4195", "4195")</f>
        <v>4195</v>
      </c>
      <c r="C84" t="s">
        <v>149</v>
      </c>
      <c r="D84" t="s">
        <v>10</v>
      </c>
      <c r="E84" t="s">
        <v>12</v>
      </c>
      <c r="F84" t="s">
        <v>26</v>
      </c>
      <c r="L84" t="s">
        <v>359</v>
      </c>
      <c r="N84" t="s">
        <v>359</v>
      </c>
      <c r="T84" t="s">
        <v>348</v>
      </c>
      <c r="U84" t="s">
        <v>360</v>
      </c>
      <c r="V84" t="s">
        <v>359</v>
      </c>
      <c r="W84" t="s">
        <v>60</v>
      </c>
      <c r="X84" t="s">
        <v>361</v>
      </c>
      <c r="Y84">
        <v>32.041666666666657</v>
      </c>
      <c r="Z84">
        <v>35.041666666666657</v>
      </c>
    </row>
    <row r="85" spans="1:26">
      <c r="A85" s="1">
        <v>83</v>
      </c>
      <c r="B85" t="str">
        <f>HYPERLINK("https://bugs.eclipse.org/bugs/show_bug.cgi?id=4205", "4205")</f>
        <v>4205</v>
      </c>
      <c r="C85" t="s">
        <v>35</v>
      </c>
      <c r="D85" t="s">
        <v>11</v>
      </c>
      <c r="E85" t="s">
        <v>12</v>
      </c>
      <c r="F85" t="s">
        <v>26</v>
      </c>
      <c r="L85" t="s">
        <v>362</v>
      </c>
      <c r="M85" t="s">
        <v>363</v>
      </c>
      <c r="N85" t="s">
        <v>362</v>
      </c>
      <c r="T85" t="s">
        <v>348</v>
      </c>
      <c r="U85" t="s">
        <v>362</v>
      </c>
      <c r="V85" t="s">
        <v>363</v>
      </c>
      <c r="W85" t="s">
        <v>283</v>
      </c>
      <c r="X85" t="s">
        <v>364</v>
      </c>
      <c r="Y85">
        <v>1</v>
      </c>
      <c r="Z85">
        <v>1</v>
      </c>
    </row>
    <row r="86" spans="1:26">
      <c r="A86" s="1">
        <v>84</v>
      </c>
      <c r="B86" t="str">
        <f>HYPERLINK("https://bugs.eclipse.org/bugs/show_bug.cgi?id=4210", "4210")</f>
        <v>4210</v>
      </c>
      <c r="C86" t="s">
        <v>56</v>
      </c>
      <c r="D86" t="s">
        <v>10</v>
      </c>
      <c r="E86" t="s">
        <v>14</v>
      </c>
      <c r="F86" t="s">
        <v>51</v>
      </c>
      <c r="G86" t="s">
        <v>365</v>
      </c>
      <c r="L86" t="s">
        <v>366</v>
      </c>
      <c r="P86" t="s">
        <v>367</v>
      </c>
      <c r="T86" t="s">
        <v>348</v>
      </c>
      <c r="U86" t="s">
        <v>159</v>
      </c>
      <c r="V86" t="s">
        <v>367</v>
      </c>
      <c r="W86" t="s">
        <v>75</v>
      </c>
      <c r="X86" t="s">
        <v>368</v>
      </c>
      <c r="Y86">
        <v>6</v>
      </c>
      <c r="Z86">
        <v>2881</v>
      </c>
    </row>
    <row r="87" spans="1:26">
      <c r="A87" s="1">
        <v>85</v>
      </c>
      <c r="B87" t="str">
        <f>HYPERLINK("https://bugs.eclipse.org/bugs/show_bug.cgi?id=4215", "4215")</f>
        <v>4215</v>
      </c>
      <c r="C87" t="s">
        <v>35</v>
      </c>
      <c r="D87" t="s">
        <v>11</v>
      </c>
      <c r="E87" t="s">
        <v>12</v>
      </c>
      <c r="F87" t="s">
        <v>26</v>
      </c>
      <c r="L87" t="s">
        <v>369</v>
      </c>
      <c r="M87" t="s">
        <v>370</v>
      </c>
      <c r="N87" t="s">
        <v>369</v>
      </c>
      <c r="T87" t="s">
        <v>348</v>
      </c>
      <c r="U87" t="s">
        <v>369</v>
      </c>
      <c r="V87" t="s">
        <v>370</v>
      </c>
      <c r="W87" t="s">
        <v>283</v>
      </c>
      <c r="X87" t="s">
        <v>371</v>
      </c>
      <c r="Y87">
        <v>1</v>
      </c>
      <c r="Z87">
        <v>1</v>
      </c>
    </row>
    <row r="88" spans="1:26">
      <c r="A88" s="1">
        <v>86</v>
      </c>
      <c r="B88" t="str">
        <f>HYPERLINK("https://bugs.eclipse.org/bugs/show_bug.cgi?id=4232", "4232")</f>
        <v>4232</v>
      </c>
      <c r="C88" t="s">
        <v>56</v>
      </c>
      <c r="D88" t="s">
        <v>10</v>
      </c>
      <c r="E88" t="s">
        <v>14</v>
      </c>
      <c r="F88" t="s">
        <v>51</v>
      </c>
      <c r="L88" t="s">
        <v>372</v>
      </c>
      <c r="P88" t="s">
        <v>372</v>
      </c>
      <c r="T88" t="s">
        <v>373</v>
      </c>
      <c r="U88" t="s">
        <v>374</v>
      </c>
      <c r="V88" t="s">
        <v>372</v>
      </c>
      <c r="W88" t="s">
        <v>134</v>
      </c>
      <c r="X88" t="s">
        <v>375</v>
      </c>
      <c r="Y88">
        <v>6</v>
      </c>
      <c r="Z88">
        <v>32.041666666666657</v>
      </c>
    </row>
    <row r="89" spans="1:26">
      <c r="A89" s="1">
        <v>87</v>
      </c>
      <c r="B89" t="str">
        <f>HYPERLINK("https://bugs.eclipse.org/bugs/show_bug.cgi?id=4246", "4246")</f>
        <v>4246</v>
      </c>
      <c r="C89" t="s">
        <v>35</v>
      </c>
      <c r="D89" t="s">
        <v>11</v>
      </c>
      <c r="E89" t="s">
        <v>12</v>
      </c>
      <c r="F89" t="s">
        <v>26</v>
      </c>
      <c r="L89" t="s">
        <v>376</v>
      </c>
      <c r="M89" t="s">
        <v>377</v>
      </c>
      <c r="N89" t="s">
        <v>376</v>
      </c>
      <c r="T89" t="s">
        <v>373</v>
      </c>
      <c r="U89" t="s">
        <v>376</v>
      </c>
      <c r="V89" t="s">
        <v>377</v>
      </c>
      <c r="W89" t="s">
        <v>283</v>
      </c>
      <c r="X89" t="s">
        <v>378</v>
      </c>
      <c r="Y89">
        <v>1</v>
      </c>
      <c r="Z89">
        <v>1</v>
      </c>
    </row>
    <row r="90" spans="1:26">
      <c r="A90" s="1">
        <v>88</v>
      </c>
      <c r="B90" t="str">
        <f>HYPERLINK("https://bugs.eclipse.org/bugs/show_bug.cgi?id=4247", "4247")</f>
        <v>4247</v>
      </c>
      <c r="C90" t="s">
        <v>149</v>
      </c>
      <c r="D90" t="s">
        <v>10</v>
      </c>
      <c r="E90" t="s">
        <v>12</v>
      </c>
      <c r="F90" t="s">
        <v>26</v>
      </c>
      <c r="G90" t="s">
        <v>379</v>
      </c>
      <c r="L90" t="s">
        <v>380</v>
      </c>
      <c r="N90" t="s">
        <v>380</v>
      </c>
      <c r="T90" t="s">
        <v>373</v>
      </c>
      <c r="U90" t="s">
        <v>381</v>
      </c>
      <c r="V90" t="s">
        <v>380</v>
      </c>
      <c r="W90" t="s">
        <v>49</v>
      </c>
      <c r="X90" t="s">
        <v>382</v>
      </c>
      <c r="Y90">
        <v>0</v>
      </c>
      <c r="Z90">
        <v>21.041666666666671</v>
      </c>
    </row>
    <row r="91" spans="1:26">
      <c r="A91" s="1">
        <v>89</v>
      </c>
      <c r="B91" t="str">
        <f>HYPERLINK("https://bugs.eclipse.org/bugs/show_bug.cgi?id=4258", "4258")</f>
        <v>4258</v>
      </c>
      <c r="C91" t="s">
        <v>149</v>
      </c>
      <c r="D91" t="s">
        <v>10</v>
      </c>
      <c r="E91" t="s">
        <v>12</v>
      </c>
      <c r="F91" t="s">
        <v>51</v>
      </c>
      <c r="L91" t="s">
        <v>383</v>
      </c>
      <c r="N91" t="s">
        <v>383</v>
      </c>
      <c r="S91" t="s">
        <v>384</v>
      </c>
      <c r="T91" t="s">
        <v>373</v>
      </c>
      <c r="U91" t="s">
        <v>385</v>
      </c>
      <c r="V91" t="s">
        <v>386</v>
      </c>
      <c r="W91" t="s">
        <v>387</v>
      </c>
      <c r="X91" t="s">
        <v>388</v>
      </c>
      <c r="Y91">
        <v>6</v>
      </c>
      <c r="Z91">
        <v>1713</v>
      </c>
    </row>
    <row r="92" spans="1:26">
      <c r="A92" s="1">
        <v>90</v>
      </c>
      <c r="B92" t="str">
        <f>HYPERLINK("https://bugs.eclipse.org/bugs/show_bug.cgi?id=4270", "4270")</f>
        <v>4270</v>
      </c>
      <c r="C92" t="s">
        <v>35</v>
      </c>
      <c r="D92" t="s">
        <v>11</v>
      </c>
      <c r="E92" t="s">
        <v>12</v>
      </c>
      <c r="F92" t="s">
        <v>26</v>
      </c>
      <c r="L92" t="s">
        <v>389</v>
      </c>
      <c r="M92" t="s">
        <v>390</v>
      </c>
      <c r="N92" t="s">
        <v>389</v>
      </c>
      <c r="T92" t="s">
        <v>373</v>
      </c>
      <c r="U92" t="s">
        <v>389</v>
      </c>
      <c r="V92" t="s">
        <v>390</v>
      </c>
      <c r="W92" t="s">
        <v>40</v>
      </c>
      <c r="X92" t="s">
        <v>391</v>
      </c>
      <c r="Y92">
        <v>30.041666666666671</v>
      </c>
      <c r="Z92">
        <v>121.0416666666667</v>
      </c>
    </row>
    <row r="93" spans="1:26">
      <c r="A93" s="1">
        <v>91</v>
      </c>
      <c r="B93" t="str">
        <f>HYPERLINK("https://bugs.eclipse.org/bugs/show_bug.cgi?id=4271", "4271")</f>
        <v>4271</v>
      </c>
      <c r="C93" t="s">
        <v>149</v>
      </c>
      <c r="D93" t="s">
        <v>10</v>
      </c>
      <c r="E93" t="s">
        <v>12</v>
      </c>
      <c r="F93" t="s">
        <v>26</v>
      </c>
      <c r="H93" t="s">
        <v>392</v>
      </c>
      <c r="L93" t="s">
        <v>393</v>
      </c>
      <c r="N93" t="s">
        <v>393</v>
      </c>
      <c r="T93" t="s">
        <v>373</v>
      </c>
      <c r="U93" t="s">
        <v>394</v>
      </c>
      <c r="V93" t="s">
        <v>393</v>
      </c>
      <c r="W93" t="s">
        <v>60</v>
      </c>
      <c r="X93" t="s">
        <v>395</v>
      </c>
      <c r="Y93">
        <v>7</v>
      </c>
      <c r="Z93">
        <v>68.041666666666671</v>
      </c>
    </row>
    <row r="94" spans="1:26">
      <c r="A94" s="1">
        <v>92</v>
      </c>
      <c r="B94" t="str">
        <f>HYPERLINK("https://bugs.eclipse.org/bugs/show_bug.cgi?id=4272", "4272")</f>
        <v>4272</v>
      </c>
      <c r="C94" t="s">
        <v>149</v>
      </c>
      <c r="D94" t="s">
        <v>10</v>
      </c>
      <c r="E94" t="s">
        <v>12</v>
      </c>
      <c r="F94" t="s">
        <v>26</v>
      </c>
      <c r="L94" t="s">
        <v>396</v>
      </c>
      <c r="N94" t="s">
        <v>396</v>
      </c>
      <c r="T94" t="s">
        <v>373</v>
      </c>
      <c r="U94" t="s">
        <v>396</v>
      </c>
      <c r="V94" t="s">
        <v>396</v>
      </c>
      <c r="W94" t="s">
        <v>283</v>
      </c>
      <c r="X94" t="s">
        <v>397</v>
      </c>
      <c r="Y94">
        <v>2</v>
      </c>
      <c r="Z94">
        <v>2</v>
      </c>
    </row>
    <row r="95" spans="1:26">
      <c r="A95" s="1">
        <v>93</v>
      </c>
      <c r="B95" t="str">
        <f>HYPERLINK("https://bugs.eclipse.org/bugs/show_bug.cgi?id=4283", "4283")</f>
        <v>4283</v>
      </c>
      <c r="C95" t="s">
        <v>149</v>
      </c>
      <c r="D95" t="s">
        <v>10</v>
      </c>
      <c r="E95" t="s">
        <v>12</v>
      </c>
      <c r="F95" t="s">
        <v>26</v>
      </c>
      <c r="L95" t="s">
        <v>398</v>
      </c>
      <c r="N95" t="s">
        <v>398</v>
      </c>
      <c r="T95" t="s">
        <v>399</v>
      </c>
      <c r="U95" t="s">
        <v>398</v>
      </c>
      <c r="V95" t="s">
        <v>398</v>
      </c>
      <c r="W95" t="s">
        <v>60</v>
      </c>
      <c r="X95" t="s">
        <v>400</v>
      </c>
      <c r="Y95">
        <v>1</v>
      </c>
      <c r="Z95">
        <v>1</v>
      </c>
    </row>
    <row r="96" spans="1:26">
      <c r="A96" s="1">
        <v>94</v>
      </c>
      <c r="B96" t="str">
        <f>HYPERLINK("https://bugs.eclipse.org/bugs/show_bug.cgi?id=4285", "4285")</f>
        <v>4285</v>
      </c>
      <c r="C96" t="s">
        <v>35</v>
      </c>
      <c r="D96" t="s">
        <v>11</v>
      </c>
      <c r="E96" t="s">
        <v>12</v>
      </c>
      <c r="F96" t="s">
        <v>26</v>
      </c>
      <c r="L96" t="s">
        <v>401</v>
      </c>
      <c r="M96" t="s">
        <v>402</v>
      </c>
      <c r="N96" t="s">
        <v>401</v>
      </c>
      <c r="T96" t="s">
        <v>399</v>
      </c>
      <c r="U96" t="s">
        <v>401</v>
      </c>
      <c r="V96" t="s">
        <v>402</v>
      </c>
      <c r="W96" t="s">
        <v>283</v>
      </c>
      <c r="X96" t="s">
        <v>403</v>
      </c>
      <c r="Y96">
        <v>1</v>
      </c>
      <c r="Z96">
        <v>1</v>
      </c>
    </row>
    <row r="97" spans="1:26">
      <c r="A97" s="1">
        <v>95</v>
      </c>
      <c r="B97" t="str">
        <f>HYPERLINK("https://bugs.eclipse.org/bugs/show_bug.cgi?id=4306", "4306")</f>
        <v>4306</v>
      </c>
      <c r="C97" t="s">
        <v>35</v>
      </c>
      <c r="D97" t="s">
        <v>11</v>
      </c>
      <c r="E97" t="s">
        <v>12</v>
      </c>
      <c r="F97" t="s">
        <v>26</v>
      </c>
      <c r="L97" t="s">
        <v>404</v>
      </c>
      <c r="M97" t="s">
        <v>405</v>
      </c>
      <c r="N97" t="s">
        <v>404</v>
      </c>
      <c r="T97" t="s">
        <v>399</v>
      </c>
      <c r="U97" t="s">
        <v>404</v>
      </c>
      <c r="V97" t="s">
        <v>405</v>
      </c>
      <c r="W97" t="s">
        <v>283</v>
      </c>
      <c r="X97" t="s">
        <v>406</v>
      </c>
      <c r="Y97">
        <v>1</v>
      </c>
      <c r="Z97">
        <v>1</v>
      </c>
    </row>
    <row r="98" spans="1:26">
      <c r="A98" s="1">
        <v>96</v>
      </c>
      <c r="B98" t="str">
        <f>HYPERLINK("https://bugs.eclipse.org/bugs/show_bug.cgi?id=4314", "4314")</f>
        <v>4314</v>
      </c>
      <c r="C98" t="s">
        <v>35</v>
      </c>
      <c r="D98" t="s">
        <v>11</v>
      </c>
      <c r="E98" t="s">
        <v>12</v>
      </c>
      <c r="F98" t="s">
        <v>26</v>
      </c>
      <c r="L98" t="s">
        <v>407</v>
      </c>
      <c r="M98" t="s">
        <v>408</v>
      </c>
      <c r="N98" t="s">
        <v>407</v>
      </c>
      <c r="T98" t="s">
        <v>399</v>
      </c>
      <c r="U98" t="s">
        <v>407</v>
      </c>
      <c r="V98" t="s">
        <v>408</v>
      </c>
      <c r="W98" t="s">
        <v>40</v>
      </c>
      <c r="X98" t="s">
        <v>409</v>
      </c>
      <c r="Y98">
        <v>1</v>
      </c>
      <c r="Z98">
        <v>121.0416666666667</v>
      </c>
    </row>
    <row r="99" spans="1:26">
      <c r="A99" s="1">
        <v>97</v>
      </c>
      <c r="B99" t="str">
        <f>HYPERLINK("https://bugs.eclipse.org/bugs/show_bug.cgi?id=4327", "4327")</f>
        <v>4327</v>
      </c>
      <c r="C99" t="s">
        <v>56</v>
      </c>
      <c r="D99" t="s">
        <v>10</v>
      </c>
      <c r="E99" t="s">
        <v>14</v>
      </c>
      <c r="F99" t="s">
        <v>51</v>
      </c>
      <c r="L99" t="s">
        <v>410</v>
      </c>
      <c r="P99" t="s">
        <v>410</v>
      </c>
      <c r="T99" t="s">
        <v>399</v>
      </c>
      <c r="U99" t="s">
        <v>411</v>
      </c>
      <c r="V99" t="s">
        <v>410</v>
      </c>
      <c r="W99" t="s">
        <v>86</v>
      </c>
      <c r="X99" t="s">
        <v>412</v>
      </c>
      <c r="Y99">
        <v>6</v>
      </c>
      <c r="Z99">
        <v>561</v>
      </c>
    </row>
    <row r="100" spans="1:26">
      <c r="A100" s="1">
        <v>98</v>
      </c>
      <c r="B100" t="str">
        <f>HYPERLINK("https://bugs.eclipse.org/bugs/show_bug.cgi?id=4328", "4328")</f>
        <v>4328</v>
      </c>
      <c r="C100" t="s">
        <v>149</v>
      </c>
      <c r="D100" t="s">
        <v>10</v>
      </c>
      <c r="E100" t="s">
        <v>12</v>
      </c>
      <c r="F100" t="s">
        <v>26</v>
      </c>
      <c r="H100" t="s">
        <v>413</v>
      </c>
      <c r="L100" t="s">
        <v>414</v>
      </c>
      <c r="N100" t="s">
        <v>414</v>
      </c>
      <c r="S100" t="s">
        <v>415</v>
      </c>
      <c r="T100" t="s">
        <v>399</v>
      </c>
      <c r="U100" t="s">
        <v>416</v>
      </c>
      <c r="V100" t="s">
        <v>414</v>
      </c>
      <c r="W100" t="s">
        <v>86</v>
      </c>
      <c r="X100" t="s">
        <v>417</v>
      </c>
      <c r="Y100">
        <v>35.041666666666657</v>
      </c>
      <c r="Z100">
        <v>1038</v>
      </c>
    </row>
    <row r="101" spans="1:26">
      <c r="A101" s="1">
        <v>99</v>
      </c>
      <c r="B101" t="str">
        <f>HYPERLINK("https://bugs.eclipse.org/bugs/show_bug.cgi?id=4376", "4376")</f>
        <v>4376</v>
      </c>
      <c r="C101" t="s">
        <v>149</v>
      </c>
      <c r="D101" t="s">
        <v>10</v>
      </c>
      <c r="E101" t="s">
        <v>12</v>
      </c>
      <c r="F101" t="s">
        <v>26</v>
      </c>
      <c r="L101" t="s">
        <v>418</v>
      </c>
      <c r="N101" t="s">
        <v>418</v>
      </c>
      <c r="T101" t="s">
        <v>419</v>
      </c>
      <c r="U101" t="s">
        <v>418</v>
      </c>
      <c r="V101" t="s">
        <v>418</v>
      </c>
      <c r="W101" t="s">
        <v>60</v>
      </c>
      <c r="X101" t="s">
        <v>420</v>
      </c>
      <c r="Y101">
        <v>0</v>
      </c>
      <c r="Z101">
        <v>0</v>
      </c>
    </row>
    <row r="102" spans="1:26">
      <c r="A102" s="1">
        <v>100</v>
      </c>
      <c r="B102" t="str">
        <f>HYPERLINK("https://bugs.eclipse.org/bugs/show_bug.cgi?id=4979", "4979")</f>
        <v>4979</v>
      </c>
      <c r="C102" t="s">
        <v>56</v>
      </c>
      <c r="D102" t="s">
        <v>10</v>
      </c>
      <c r="E102" t="s">
        <v>14</v>
      </c>
      <c r="F102" t="s">
        <v>26</v>
      </c>
      <c r="L102" t="s">
        <v>421</v>
      </c>
      <c r="P102" t="s">
        <v>421</v>
      </c>
      <c r="S102" t="s">
        <v>422</v>
      </c>
      <c r="T102" t="s">
        <v>423</v>
      </c>
      <c r="U102" t="s">
        <v>424</v>
      </c>
      <c r="V102" t="s">
        <v>421</v>
      </c>
      <c r="W102" t="s">
        <v>86</v>
      </c>
      <c r="X102" t="s">
        <v>425</v>
      </c>
      <c r="Y102">
        <v>0</v>
      </c>
      <c r="Z102">
        <v>1033</v>
      </c>
    </row>
    <row r="103" spans="1:26">
      <c r="A103" s="1">
        <v>101</v>
      </c>
      <c r="B103" t="str">
        <f>HYPERLINK("https://bugs.eclipse.org/bugs/show_bug.cgi?id=4981", "4981")</f>
        <v>4981</v>
      </c>
      <c r="C103" t="s">
        <v>149</v>
      </c>
      <c r="D103" t="s">
        <v>10</v>
      </c>
      <c r="E103" t="s">
        <v>12</v>
      </c>
      <c r="F103" t="s">
        <v>26</v>
      </c>
      <c r="G103" t="s">
        <v>426</v>
      </c>
      <c r="L103" t="s">
        <v>427</v>
      </c>
      <c r="N103" t="s">
        <v>427</v>
      </c>
      <c r="T103" t="s">
        <v>428</v>
      </c>
      <c r="U103" t="s">
        <v>429</v>
      </c>
      <c r="V103" t="s">
        <v>427</v>
      </c>
      <c r="W103" t="s">
        <v>86</v>
      </c>
      <c r="X103" t="s">
        <v>430</v>
      </c>
      <c r="Y103">
        <v>0</v>
      </c>
      <c r="Z103">
        <v>106.0416666666667</v>
      </c>
    </row>
    <row r="104" spans="1:26">
      <c r="A104" s="1">
        <v>102</v>
      </c>
      <c r="B104" t="str">
        <f>HYPERLINK("https://bugs.eclipse.org/bugs/show_bug.cgi?id=5015", "5015")</f>
        <v>5015</v>
      </c>
      <c r="C104" t="s">
        <v>149</v>
      </c>
      <c r="D104" t="s">
        <v>10</v>
      </c>
      <c r="E104" t="s">
        <v>12</v>
      </c>
      <c r="F104" t="s">
        <v>26</v>
      </c>
      <c r="L104" t="s">
        <v>431</v>
      </c>
      <c r="N104" t="s">
        <v>431</v>
      </c>
      <c r="T104" t="s">
        <v>432</v>
      </c>
      <c r="U104" t="s">
        <v>433</v>
      </c>
      <c r="V104" t="s">
        <v>431</v>
      </c>
      <c r="W104" t="s">
        <v>60</v>
      </c>
      <c r="X104" t="s">
        <v>434</v>
      </c>
      <c r="Y104">
        <v>0</v>
      </c>
      <c r="Z104">
        <v>10</v>
      </c>
    </row>
    <row r="105" spans="1:26">
      <c r="A105" s="1">
        <v>103</v>
      </c>
      <c r="B105" t="str">
        <f>HYPERLINK("https://bugs.eclipse.org/bugs/show_bug.cgi?id=5035", "5035")</f>
        <v>5035</v>
      </c>
      <c r="C105" t="s">
        <v>149</v>
      </c>
      <c r="D105" t="s">
        <v>10</v>
      </c>
      <c r="E105" t="s">
        <v>12</v>
      </c>
      <c r="F105" t="s">
        <v>26</v>
      </c>
      <c r="L105" t="s">
        <v>435</v>
      </c>
      <c r="N105" t="s">
        <v>435</v>
      </c>
      <c r="T105" t="s">
        <v>436</v>
      </c>
      <c r="U105" t="s">
        <v>437</v>
      </c>
      <c r="V105" t="s">
        <v>435</v>
      </c>
      <c r="W105" t="s">
        <v>60</v>
      </c>
      <c r="X105" t="s">
        <v>438</v>
      </c>
      <c r="Y105">
        <v>0</v>
      </c>
      <c r="Z105">
        <v>1</v>
      </c>
    </row>
    <row r="106" spans="1:26">
      <c r="A106" s="1">
        <v>104</v>
      </c>
      <c r="B106" t="str">
        <f>HYPERLINK("https://bugs.eclipse.org/bugs/show_bug.cgi?id=5057", "5057")</f>
        <v>5057</v>
      </c>
      <c r="C106" t="s">
        <v>140</v>
      </c>
      <c r="D106" t="s">
        <v>10</v>
      </c>
      <c r="E106" t="s">
        <v>16</v>
      </c>
      <c r="F106" t="s">
        <v>26</v>
      </c>
      <c r="L106" t="s">
        <v>439</v>
      </c>
      <c r="R106" t="s">
        <v>439</v>
      </c>
      <c r="T106" t="s">
        <v>440</v>
      </c>
      <c r="U106" t="s">
        <v>441</v>
      </c>
      <c r="V106" t="s">
        <v>439</v>
      </c>
      <c r="W106" t="s">
        <v>60</v>
      </c>
      <c r="X106" t="s">
        <v>442</v>
      </c>
      <c r="Y106">
        <v>0</v>
      </c>
      <c r="Z106">
        <v>9</v>
      </c>
    </row>
    <row r="107" spans="1:26">
      <c r="A107" s="1">
        <v>105</v>
      </c>
      <c r="B107" t="str">
        <f>HYPERLINK("https://bugs.eclipse.org/bugs/show_bug.cgi?id=5165", "5165")</f>
        <v>5165</v>
      </c>
      <c r="C107" t="s">
        <v>149</v>
      </c>
      <c r="D107" t="s">
        <v>10</v>
      </c>
      <c r="E107" t="s">
        <v>12</v>
      </c>
      <c r="F107" t="s">
        <v>26</v>
      </c>
      <c r="L107" t="s">
        <v>443</v>
      </c>
      <c r="N107" t="s">
        <v>443</v>
      </c>
      <c r="T107" t="s">
        <v>444</v>
      </c>
      <c r="U107" t="s">
        <v>445</v>
      </c>
      <c r="V107" t="s">
        <v>443</v>
      </c>
      <c r="W107" t="s">
        <v>49</v>
      </c>
      <c r="X107" t="s">
        <v>446</v>
      </c>
      <c r="Y107">
        <v>0</v>
      </c>
      <c r="Z107">
        <v>8.0416666666666661</v>
      </c>
    </row>
    <row r="108" spans="1:26">
      <c r="A108" s="1">
        <v>106</v>
      </c>
      <c r="B108" t="str">
        <f>HYPERLINK("https://bugs.eclipse.org/bugs/show_bug.cgi?id=5171", "5171")</f>
        <v>5171</v>
      </c>
      <c r="C108" t="s">
        <v>447</v>
      </c>
      <c r="D108" t="s">
        <v>10</v>
      </c>
      <c r="E108" t="s">
        <v>15</v>
      </c>
      <c r="F108" t="s">
        <v>150</v>
      </c>
      <c r="L108" t="s">
        <v>448</v>
      </c>
      <c r="Q108" t="s">
        <v>448</v>
      </c>
      <c r="S108" t="s">
        <v>449</v>
      </c>
      <c r="T108" t="s">
        <v>450</v>
      </c>
      <c r="U108" t="s">
        <v>451</v>
      </c>
      <c r="V108" t="s">
        <v>448</v>
      </c>
      <c r="W108" t="s">
        <v>86</v>
      </c>
      <c r="X108" t="s">
        <v>452</v>
      </c>
      <c r="Y108">
        <v>20.041666666666671</v>
      </c>
      <c r="Z108">
        <v>330</v>
      </c>
    </row>
    <row r="109" spans="1:26">
      <c r="A109" s="1">
        <v>107</v>
      </c>
      <c r="B109" t="str">
        <f>HYPERLINK("https://bugs.eclipse.org/bugs/show_bug.cgi?id=5177", "5177")</f>
        <v>5177</v>
      </c>
      <c r="C109" t="s">
        <v>149</v>
      </c>
      <c r="D109" t="s">
        <v>10</v>
      </c>
      <c r="E109" t="s">
        <v>12</v>
      </c>
      <c r="F109" t="s">
        <v>26</v>
      </c>
      <c r="L109" t="s">
        <v>453</v>
      </c>
      <c r="N109" t="s">
        <v>453</v>
      </c>
      <c r="T109" t="s">
        <v>454</v>
      </c>
      <c r="U109" t="s">
        <v>455</v>
      </c>
      <c r="V109" t="s">
        <v>453</v>
      </c>
      <c r="W109" t="s">
        <v>60</v>
      </c>
      <c r="X109" t="s">
        <v>456</v>
      </c>
      <c r="Y109">
        <v>3</v>
      </c>
      <c r="Z109">
        <v>3</v>
      </c>
    </row>
    <row r="110" spans="1:26">
      <c r="A110" s="1">
        <v>108</v>
      </c>
      <c r="B110" t="str">
        <f>HYPERLINK("https://bugs.eclipse.org/bugs/show_bug.cgi?id=5182", "5182")</f>
        <v>5182</v>
      </c>
      <c r="C110" t="s">
        <v>140</v>
      </c>
      <c r="D110" t="s">
        <v>10</v>
      </c>
      <c r="E110" t="s">
        <v>16</v>
      </c>
      <c r="F110" t="s">
        <v>26</v>
      </c>
      <c r="L110" t="s">
        <v>457</v>
      </c>
      <c r="R110" t="s">
        <v>457</v>
      </c>
      <c r="T110" t="s">
        <v>458</v>
      </c>
      <c r="U110" t="s">
        <v>457</v>
      </c>
      <c r="V110" t="s">
        <v>457</v>
      </c>
      <c r="W110" t="s">
        <v>60</v>
      </c>
      <c r="X110" t="s">
        <v>459</v>
      </c>
      <c r="Y110">
        <v>3</v>
      </c>
      <c r="Z110">
        <v>3</v>
      </c>
    </row>
    <row r="111" spans="1:26">
      <c r="A111" s="1">
        <v>109</v>
      </c>
      <c r="B111" t="str">
        <f>HYPERLINK("https://bugs.eclipse.org/bugs/show_bug.cgi?id=5196", "5196")</f>
        <v>5196</v>
      </c>
      <c r="C111" t="s">
        <v>140</v>
      </c>
      <c r="D111" t="s">
        <v>10</v>
      </c>
      <c r="E111" t="s">
        <v>16</v>
      </c>
      <c r="F111" t="s">
        <v>460</v>
      </c>
      <c r="L111" t="s">
        <v>461</v>
      </c>
      <c r="R111" t="s">
        <v>461</v>
      </c>
      <c r="S111" t="s">
        <v>462</v>
      </c>
      <c r="T111" t="s">
        <v>463</v>
      </c>
      <c r="U111" t="s">
        <v>464</v>
      </c>
      <c r="V111" t="s">
        <v>461</v>
      </c>
      <c r="W111" t="s">
        <v>86</v>
      </c>
      <c r="X111" t="s">
        <v>465</v>
      </c>
      <c r="Y111">
        <v>76.041666666666671</v>
      </c>
      <c r="Z111">
        <v>274</v>
      </c>
    </row>
    <row r="112" spans="1:26">
      <c r="A112" s="1">
        <v>110</v>
      </c>
      <c r="B112" t="str">
        <f>HYPERLINK("https://bugs.eclipse.org/bugs/show_bug.cgi?id=5241", "5241")</f>
        <v>5241</v>
      </c>
      <c r="C112" t="s">
        <v>149</v>
      </c>
      <c r="D112" t="s">
        <v>10</v>
      </c>
      <c r="E112" t="s">
        <v>12</v>
      </c>
      <c r="F112" t="s">
        <v>26</v>
      </c>
      <c r="L112" t="s">
        <v>466</v>
      </c>
      <c r="N112" t="s">
        <v>466</v>
      </c>
      <c r="T112" t="s">
        <v>467</v>
      </c>
      <c r="U112" t="s">
        <v>466</v>
      </c>
      <c r="V112" t="s">
        <v>466</v>
      </c>
      <c r="W112" t="s">
        <v>49</v>
      </c>
      <c r="X112" t="s">
        <v>468</v>
      </c>
      <c r="Y112">
        <v>0</v>
      </c>
      <c r="Z112">
        <v>0</v>
      </c>
    </row>
    <row r="113" spans="1:26">
      <c r="A113" s="1">
        <v>111</v>
      </c>
      <c r="B113" t="str">
        <f>HYPERLINK("https://bugs.eclipse.org/bugs/show_bug.cgi?id=5291", "5291")</f>
        <v>5291</v>
      </c>
      <c r="C113" t="s">
        <v>140</v>
      </c>
      <c r="D113" t="s">
        <v>10</v>
      </c>
      <c r="E113" t="s">
        <v>16</v>
      </c>
      <c r="F113" t="s">
        <v>26</v>
      </c>
      <c r="L113" t="s">
        <v>469</v>
      </c>
      <c r="R113" t="s">
        <v>469</v>
      </c>
      <c r="T113" t="s">
        <v>470</v>
      </c>
      <c r="U113" t="s">
        <v>469</v>
      </c>
      <c r="V113" t="s">
        <v>469</v>
      </c>
      <c r="W113" t="s">
        <v>86</v>
      </c>
      <c r="X113" t="s">
        <v>471</v>
      </c>
      <c r="Y113">
        <v>74.041666666666671</v>
      </c>
      <c r="Z113">
        <v>74.041666666666671</v>
      </c>
    </row>
    <row r="114" spans="1:26">
      <c r="A114" s="1">
        <v>112</v>
      </c>
      <c r="B114" t="str">
        <f>HYPERLINK("https://bugs.eclipse.org/bugs/show_bug.cgi?id=5321", "5321")</f>
        <v>5321</v>
      </c>
      <c r="C114" t="s">
        <v>56</v>
      </c>
      <c r="D114" t="s">
        <v>10</v>
      </c>
      <c r="E114" t="s">
        <v>14</v>
      </c>
      <c r="F114" t="s">
        <v>26</v>
      </c>
      <c r="L114" t="s">
        <v>472</v>
      </c>
      <c r="P114" t="s">
        <v>472</v>
      </c>
      <c r="T114" t="s">
        <v>473</v>
      </c>
      <c r="U114" t="s">
        <v>472</v>
      </c>
      <c r="V114" t="s">
        <v>472</v>
      </c>
      <c r="W114" t="s">
        <v>134</v>
      </c>
      <c r="X114" t="s">
        <v>474</v>
      </c>
      <c r="Y114">
        <v>0</v>
      </c>
      <c r="Z114">
        <v>0</v>
      </c>
    </row>
    <row r="115" spans="1:26">
      <c r="A115" s="1">
        <v>113</v>
      </c>
      <c r="B115" t="str">
        <f>HYPERLINK("https://bugs.eclipse.org/bugs/show_bug.cgi?id=5342", "5342")</f>
        <v>5342</v>
      </c>
      <c r="C115" t="s">
        <v>35</v>
      </c>
      <c r="D115" t="s">
        <v>11</v>
      </c>
      <c r="E115" t="s">
        <v>12</v>
      </c>
      <c r="F115" t="s">
        <v>26</v>
      </c>
      <c r="L115" t="s">
        <v>475</v>
      </c>
      <c r="M115" t="s">
        <v>476</v>
      </c>
      <c r="N115" t="s">
        <v>475</v>
      </c>
      <c r="T115" t="s">
        <v>477</v>
      </c>
      <c r="U115" t="s">
        <v>478</v>
      </c>
      <c r="V115" t="s">
        <v>476</v>
      </c>
      <c r="W115" t="s">
        <v>283</v>
      </c>
      <c r="X115" t="s">
        <v>479</v>
      </c>
      <c r="Y115">
        <v>0</v>
      </c>
      <c r="Z115">
        <v>107</v>
      </c>
    </row>
    <row r="116" spans="1:26">
      <c r="A116" s="1">
        <v>114</v>
      </c>
      <c r="B116" t="str">
        <f>HYPERLINK("https://bugs.eclipse.org/bugs/show_bug.cgi?id=5343", "5343")</f>
        <v>5343</v>
      </c>
      <c r="C116" t="s">
        <v>149</v>
      </c>
      <c r="D116" t="s">
        <v>10</v>
      </c>
      <c r="E116" t="s">
        <v>12</v>
      </c>
      <c r="F116" t="s">
        <v>145</v>
      </c>
      <c r="L116" t="s">
        <v>480</v>
      </c>
      <c r="N116" t="s">
        <v>480</v>
      </c>
      <c r="T116" t="s">
        <v>481</v>
      </c>
      <c r="U116" t="s">
        <v>482</v>
      </c>
      <c r="V116" t="s">
        <v>480</v>
      </c>
      <c r="W116" t="s">
        <v>134</v>
      </c>
      <c r="X116" t="s">
        <v>483</v>
      </c>
      <c r="Y116">
        <v>14</v>
      </c>
      <c r="Z116">
        <v>147</v>
      </c>
    </row>
    <row r="117" spans="1:26">
      <c r="A117" s="1">
        <v>115</v>
      </c>
      <c r="B117" t="str">
        <f>HYPERLINK("https://bugs.eclipse.org/bugs/show_bug.cgi?id=5348", "5348")</f>
        <v>5348</v>
      </c>
      <c r="C117" t="s">
        <v>149</v>
      </c>
      <c r="D117" t="s">
        <v>10</v>
      </c>
      <c r="E117" t="s">
        <v>12</v>
      </c>
      <c r="F117" t="s">
        <v>26</v>
      </c>
      <c r="L117" t="s">
        <v>484</v>
      </c>
      <c r="N117" t="s">
        <v>484</v>
      </c>
      <c r="T117" t="s">
        <v>485</v>
      </c>
      <c r="U117" t="s">
        <v>486</v>
      </c>
      <c r="V117" t="s">
        <v>484</v>
      </c>
      <c r="W117" t="s">
        <v>86</v>
      </c>
      <c r="X117" t="s">
        <v>487</v>
      </c>
      <c r="Y117">
        <v>13</v>
      </c>
      <c r="Z117">
        <v>86</v>
      </c>
    </row>
    <row r="118" spans="1:26">
      <c r="A118" s="1">
        <v>116</v>
      </c>
      <c r="B118" t="str">
        <f>HYPERLINK("https://bugs.eclipse.org/bugs/show_bug.cgi?id=5570", "5570")</f>
        <v>5570</v>
      </c>
      <c r="C118" t="s">
        <v>56</v>
      </c>
      <c r="D118" t="s">
        <v>10</v>
      </c>
      <c r="E118" t="s">
        <v>14</v>
      </c>
      <c r="F118" t="s">
        <v>26</v>
      </c>
      <c r="L118" t="s">
        <v>488</v>
      </c>
      <c r="P118" t="s">
        <v>488</v>
      </c>
      <c r="T118" t="s">
        <v>489</v>
      </c>
      <c r="U118" t="s">
        <v>488</v>
      </c>
      <c r="V118" t="s">
        <v>488</v>
      </c>
      <c r="W118" t="s">
        <v>134</v>
      </c>
      <c r="X118" t="s">
        <v>490</v>
      </c>
      <c r="Y118">
        <v>1</v>
      </c>
      <c r="Z118">
        <v>1</v>
      </c>
    </row>
    <row r="119" spans="1:26">
      <c r="A119" s="1">
        <v>117</v>
      </c>
      <c r="B119" t="str">
        <f>HYPERLINK("https://bugs.eclipse.org/bugs/show_bug.cgi?id=5606", "5606")</f>
        <v>5606</v>
      </c>
      <c r="C119" t="s">
        <v>149</v>
      </c>
      <c r="D119" t="s">
        <v>10</v>
      </c>
      <c r="E119" t="s">
        <v>12</v>
      </c>
      <c r="F119" t="s">
        <v>150</v>
      </c>
      <c r="L119" t="s">
        <v>491</v>
      </c>
      <c r="N119" t="s">
        <v>491</v>
      </c>
      <c r="T119" t="s">
        <v>492</v>
      </c>
      <c r="U119" t="s">
        <v>493</v>
      </c>
      <c r="V119" t="s">
        <v>491</v>
      </c>
      <c r="W119" t="s">
        <v>60</v>
      </c>
      <c r="X119" t="s">
        <v>494</v>
      </c>
      <c r="Y119">
        <v>5</v>
      </c>
      <c r="Z119">
        <v>83</v>
      </c>
    </row>
    <row r="120" spans="1:26">
      <c r="A120" s="1">
        <v>118</v>
      </c>
      <c r="B120" t="str">
        <f>HYPERLINK("https://bugs.eclipse.org/bugs/show_bug.cgi?id=5690", "5690")</f>
        <v>5690</v>
      </c>
      <c r="C120" t="s">
        <v>149</v>
      </c>
      <c r="D120" t="s">
        <v>10</v>
      </c>
      <c r="E120" t="s">
        <v>12</v>
      </c>
      <c r="F120" t="s">
        <v>150</v>
      </c>
      <c r="L120" t="s">
        <v>495</v>
      </c>
      <c r="N120" t="s">
        <v>495</v>
      </c>
      <c r="T120" t="s">
        <v>496</v>
      </c>
      <c r="U120" t="s">
        <v>497</v>
      </c>
      <c r="V120" t="s">
        <v>495</v>
      </c>
      <c r="W120" t="s">
        <v>86</v>
      </c>
      <c r="X120" t="s">
        <v>498</v>
      </c>
      <c r="Y120">
        <v>1</v>
      </c>
      <c r="Z120">
        <v>1</v>
      </c>
    </row>
    <row r="121" spans="1:26">
      <c r="A121" s="1">
        <v>119</v>
      </c>
      <c r="B121" t="str">
        <f>HYPERLINK("https://bugs.eclipse.org/bugs/show_bug.cgi?id=5766", "5766")</f>
        <v>5766</v>
      </c>
      <c r="C121" t="s">
        <v>149</v>
      </c>
      <c r="D121" t="s">
        <v>10</v>
      </c>
      <c r="E121" t="s">
        <v>12</v>
      </c>
      <c r="F121" t="s">
        <v>150</v>
      </c>
      <c r="L121" t="s">
        <v>499</v>
      </c>
      <c r="N121" t="s">
        <v>499</v>
      </c>
      <c r="T121" t="s">
        <v>500</v>
      </c>
      <c r="U121" t="s">
        <v>499</v>
      </c>
      <c r="V121" t="s">
        <v>499</v>
      </c>
      <c r="W121" t="s">
        <v>60</v>
      </c>
      <c r="X121" t="s">
        <v>501</v>
      </c>
      <c r="Y121">
        <v>4</v>
      </c>
      <c r="Z121">
        <v>4</v>
      </c>
    </row>
    <row r="122" spans="1:26">
      <c r="A122" s="1">
        <v>120</v>
      </c>
      <c r="B122" t="str">
        <f>HYPERLINK("https://bugs.eclipse.org/bugs/show_bug.cgi?id=5836", "5836")</f>
        <v>5836</v>
      </c>
      <c r="C122" t="s">
        <v>88</v>
      </c>
      <c r="D122" t="s">
        <v>10</v>
      </c>
      <c r="E122" t="s">
        <v>13</v>
      </c>
      <c r="F122" t="s">
        <v>150</v>
      </c>
      <c r="L122" t="s">
        <v>502</v>
      </c>
      <c r="O122" t="s">
        <v>502</v>
      </c>
      <c r="T122" t="s">
        <v>503</v>
      </c>
      <c r="U122" t="s">
        <v>504</v>
      </c>
      <c r="V122" t="s">
        <v>502</v>
      </c>
      <c r="W122" t="s">
        <v>60</v>
      </c>
      <c r="X122" t="s">
        <v>505</v>
      </c>
      <c r="Y122">
        <v>0</v>
      </c>
      <c r="Z122">
        <v>1</v>
      </c>
    </row>
    <row r="123" spans="1:26">
      <c r="A123" s="1">
        <v>121</v>
      </c>
      <c r="B123" t="str">
        <f>HYPERLINK("https://bugs.eclipse.org/bugs/show_bug.cgi?id=5848", "5848")</f>
        <v>5848</v>
      </c>
      <c r="C123" t="s">
        <v>149</v>
      </c>
      <c r="D123" t="s">
        <v>10</v>
      </c>
      <c r="E123" t="s">
        <v>12</v>
      </c>
      <c r="F123" t="s">
        <v>26</v>
      </c>
      <c r="L123" t="s">
        <v>506</v>
      </c>
      <c r="N123" t="s">
        <v>506</v>
      </c>
      <c r="T123" t="s">
        <v>507</v>
      </c>
      <c r="U123" t="s">
        <v>508</v>
      </c>
      <c r="V123" t="s">
        <v>506</v>
      </c>
      <c r="W123" t="s">
        <v>60</v>
      </c>
      <c r="X123" t="s">
        <v>509</v>
      </c>
      <c r="Y123">
        <v>1</v>
      </c>
      <c r="Z123">
        <v>3</v>
      </c>
    </row>
    <row r="124" spans="1:26">
      <c r="A124" s="1">
        <v>122</v>
      </c>
      <c r="B124" t="str">
        <f>HYPERLINK("https://bugs.eclipse.org/bugs/show_bug.cgi?id=5886", "5886")</f>
        <v>5886</v>
      </c>
      <c r="C124" t="s">
        <v>149</v>
      </c>
      <c r="D124" t="s">
        <v>10</v>
      </c>
      <c r="E124" t="s">
        <v>12</v>
      </c>
      <c r="F124" t="s">
        <v>26</v>
      </c>
      <c r="L124" t="s">
        <v>510</v>
      </c>
      <c r="N124" t="s">
        <v>510</v>
      </c>
      <c r="T124" t="s">
        <v>511</v>
      </c>
      <c r="U124" t="s">
        <v>512</v>
      </c>
      <c r="V124" t="s">
        <v>510</v>
      </c>
      <c r="W124" t="s">
        <v>86</v>
      </c>
      <c r="X124" t="s">
        <v>513</v>
      </c>
      <c r="Y124">
        <v>0</v>
      </c>
      <c r="Z124">
        <v>0</v>
      </c>
    </row>
    <row r="125" spans="1:26">
      <c r="A125" s="1">
        <v>123</v>
      </c>
      <c r="B125" t="str">
        <f>HYPERLINK("https://bugs.eclipse.org/bugs/show_bug.cgi?id=5889", "5889")</f>
        <v>5889</v>
      </c>
      <c r="C125" t="s">
        <v>149</v>
      </c>
      <c r="D125" t="s">
        <v>10</v>
      </c>
      <c r="E125" t="s">
        <v>12</v>
      </c>
      <c r="F125" t="s">
        <v>26</v>
      </c>
      <c r="L125" t="s">
        <v>514</v>
      </c>
      <c r="N125" t="s">
        <v>514</v>
      </c>
      <c r="T125" t="s">
        <v>515</v>
      </c>
      <c r="U125" t="s">
        <v>516</v>
      </c>
      <c r="V125" t="s">
        <v>514</v>
      </c>
      <c r="W125" t="s">
        <v>60</v>
      </c>
      <c r="X125" t="s">
        <v>517</v>
      </c>
      <c r="Y125">
        <v>0</v>
      </c>
      <c r="Z125">
        <v>2</v>
      </c>
    </row>
    <row r="126" spans="1:26">
      <c r="A126" s="1">
        <v>124</v>
      </c>
      <c r="B126" t="str">
        <f>HYPERLINK("https://bugs.eclipse.org/bugs/show_bug.cgi?id=5915", "5915")</f>
        <v>5915</v>
      </c>
      <c r="C126" t="s">
        <v>149</v>
      </c>
      <c r="D126" t="s">
        <v>10</v>
      </c>
      <c r="E126" t="s">
        <v>12</v>
      </c>
      <c r="F126" t="s">
        <v>150</v>
      </c>
      <c r="G126" t="s">
        <v>518</v>
      </c>
      <c r="L126" t="s">
        <v>519</v>
      </c>
      <c r="N126" t="s">
        <v>519</v>
      </c>
      <c r="T126" t="s">
        <v>520</v>
      </c>
      <c r="U126" t="s">
        <v>416</v>
      </c>
      <c r="V126" t="s">
        <v>519</v>
      </c>
      <c r="W126" t="s">
        <v>60</v>
      </c>
      <c r="X126" t="s">
        <v>521</v>
      </c>
      <c r="Y126">
        <v>0</v>
      </c>
      <c r="Z126">
        <v>35</v>
      </c>
    </row>
    <row r="127" spans="1:26">
      <c r="A127" s="1">
        <v>125</v>
      </c>
      <c r="B127" t="str">
        <f>HYPERLINK("https://bugs.eclipse.org/bugs/show_bug.cgi?id=5971", "5971")</f>
        <v>5971</v>
      </c>
      <c r="C127" t="s">
        <v>35</v>
      </c>
      <c r="D127" t="s">
        <v>11</v>
      </c>
      <c r="E127" t="s">
        <v>12</v>
      </c>
      <c r="F127" t="s">
        <v>145</v>
      </c>
      <c r="L127" t="s">
        <v>522</v>
      </c>
      <c r="M127" t="s">
        <v>523</v>
      </c>
      <c r="N127" t="s">
        <v>522</v>
      </c>
      <c r="T127" t="s">
        <v>524</v>
      </c>
      <c r="U127" t="s">
        <v>525</v>
      </c>
      <c r="V127" t="s">
        <v>523</v>
      </c>
      <c r="W127" t="s">
        <v>49</v>
      </c>
      <c r="X127" t="s">
        <v>526</v>
      </c>
      <c r="Y127">
        <v>14</v>
      </c>
      <c r="Z127">
        <v>90</v>
      </c>
    </row>
    <row r="128" spans="1:26">
      <c r="A128" s="1">
        <v>126</v>
      </c>
      <c r="B128" t="str">
        <f>HYPERLINK("https://bugs.eclipse.org/bugs/show_bug.cgi?id=6016", "6016")</f>
        <v>6016</v>
      </c>
      <c r="C128" t="s">
        <v>149</v>
      </c>
      <c r="D128" t="s">
        <v>10</v>
      </c>
      <c r="E128" t="s">
        <v>12</v>
      </c>
      <c r="F128" t="s">
        <v>145</v>
      </c>
      <c r="L128" t="s">
        <v>527</v>
      </c>
      <c r="N128" t="s">
        <v>527</v>
      </c>
      <c r="T128" t="s">
        <v>528</v>
      </c>
      <c r="U128" t="s">
        <v>529</v>
      </c>
      <c r="V128" t="s">
        <v>527</v>
      </c>
      <c r="W128" t="s">
        <v>60</v>
      </c>
      <c r="X128" t="s">
        <v>530</v>
      </c>
      <c r="Y128">
        <v>0</v>
      </c>
      <c r="Z128">
        <v>18</v>
      </c>
    </row>
    <row r="129" spans="1:26">
      <c r="A129" s="1">
        <v>127</v>
      </c>
      <c r="B129" t="str">
        <f>HYPERLINK("https://bugs.eclipse.org/bugs/show_bug.cgi?id=6054", "6054")</f>
        <v>6054</v>
      </c>
      <c r="C129" t="s">
        <v>149</v>
      </c>
      <c r="D129" t="s">
        <v>10</v>
      </c>
      <c r="E129" t="s">
        <v>12</v>
      </c>
      <c r="F129" t="s">
        <v>26</v>
      </c>
      <c r="H129" t="s">
        <v>531</v>
      </c>
      <c r="L129" t="s">
        <v>532</v>
      </c>
      <c r="N129" t="s">
        <v>532</v>
      </c>
      <c r="T129" t="s">
        <v>533</v>
      </c>
      <c r="U129" t="s">
        <v>534</v>
      </c>
      <c r="V129" t="s">
        <v>532</v>
      </c>
      <c r="W129" t="s">
        <v>60</v>
      </c>
      <c r="X129" t="s">
        <v>535</v>
      </c>
      <c r="Z129">
        <v>451</v>
      </c>
    </row>
    <row r="130" spans="1:26">
      <c r="A130" s="1">
        <v>128</v>
      </c>
      <c r="B130" t="str">
        <f>HYPERLINK("https://bugs.eclipse.org/bugs/show_bug.cgi?id=6078", "6078")</f>
        <v>6078</v>
      </c>
      <c r="C130" t="s">
        <v>149</v>
      </c>
      <c r="D130" t="s">
        <v>10</v>
      </c>
      <c r="E130" t="s">
        <v>12</v>
      </c>
      <c r="F130" t="s">
        <v>26</v>
      </c>
      <c r="L130" t="s">
        <v>536</v>
      </c>
      <c r="N130" t="s">
        <v>536</v>
      </c>
      <c r="T130" t="s">
        <v>537</v>
      </c>
      <c r="U130" t="s">
        <v>538</v>
      </c>
      <c r="V130" t="s">
        <v>536</v>
      </c>
      <c r="W130" t="s">
        <v>60</v>
      </c>
      <c r="X130" t="s">
        <v>539</v>
      </c>
      <c r="Y130">
        <v>0</v>
      </c>
      <c r="Z130">
        <v>7</v>
      </c>
    </row>
    <row r="131" spans="1:26">
      <c r="A131" s="1">
        <v>129</v>
      </c>
      <c r="B131" t="str">
        <f>HYPERLINK("https://bugs.eclipse.org/bugs/show_bug.cgi?id=6115", "6115")</f>
        <v>6115</v>
      </c>
      <c r="C131" t="s">
        <v>149</v>
      </c>
      <c r="D131" t="s">
        <v>10</v>
      </c>
      <c r="E131" t="s">
        <v>12</v>
      </c>
      <c r="F131" t="s">
        <v>26</v>
      </c>
      <c r="L131" t="s">
        <v>540</v>
      </c>
      <c r="N131" t="s">
        <v>540</v>
      </c>
      <c r="T131" t="s">
        <v>541</v>
      </c>
      <c r="U131" t="s">
        <v>540</v>
      </c>
      <c r="V131" t="s">
        <v>540</v>
      </c>
      <c r="W131" t="s">
        <v>60</v>
      </c>
      <c r="X131" t="s">
        <v>542</v>
      </c>
      <c r="Y131">
        <v>0</v>
      </c>
      <c r="Z131">
        <v>0</v>
      </c>
    </row>
    <row r="132" spans="1:26">
      <c r="A132" s="1">
        <v>130</v>
      </c>
      <c r="B132" t="str">
        <f>HYPERLINK("https://bugs.eclipse.org/bugs/show_bug.cgi?id=6133", "6133")</f>
        <v>6133</v>
      </c>
      <c r="C132" t="s">
        <v>140</v>
      </c>
      <c r="D132" t="s">
        <v>10</v>
      </c>
      <c r="E132" t="s">
        <v>16</v>
      </c>
      <c r="F132" t="s">
        <v>150</v>
      </c>
      <c r="L132" t="s">
        <v>543</v>
      </c>
      <c r="R132" t="s">
        <v>543</v>
      </c>
      <c r="T132" t="s">
        <v>544</v>
      </c>
      <c r="U132" t="s">
        <v>543</v>
      </c>
      <c r="V132" t="s">
        <v>543</v>
      </c>
      <c r="W132" t="s">
        <v>60</v>
      </c>
      <c r="X132" t="s">
        <v>545</v>
      </c>
      <c r="Y132">
        <v>1</v>
      </c>
      <c r="Z132">
        <v>1</v>
      </c>
    </row>
    <row r="133" spans="1:26">
      <c r="A133" s="1">
        <v>131</v>
      </c>
      <c r="B133" t="str">
        <f>HYPERLINK("https://bugs.eclipse.org/bugs/show_bug.cgi?id=6154", "6154")</f>
        <v>6154</v>
      </c>
      <c r="C133" t="s">
        <v>149</v>
      </c>
      <c r="D133" t="s">
        <v>10</v>
      </c>
      <c r="E133" t="s">
        <v>12</v>
      </c>
      <c r="F133" t="s">
        <v>26</v>
      </c>
      <c r="L133" t="s">
        <v>546</v>
      </c>
      <c r="N133" t="s">
        <v>546</v>
      </c>
      <c r="S133" t="s">
        <v>547</v>
      </c>
      <c r="T133" t="s">
        <v>548</v>
      </c>
      <c r="U133" t="s">
        <v>549</v>
      </c>
      <c r="V133" t="s">
        <v>546</v>
      </c>
      <c r="W133" t="s">
        <v>60</v>
      </c>
      <c r="X133" t="s">
        <v>550</v>
      </c>
      <c r="Y133">
        <v>49</v>
      </c>
      <c r="Z133">
        <v>271.95833333333331</v>
      </c>
    </row>
    <row r="134" spans="1:26">
      <c r="A134" s="1">
        <v>132</v>
      </c>
      <c r="B134" t="str">
        <f>HYPERLINK("https://bugs.eclipse.org/bugs/show_bug.cgi?id=6224", "6224")</f>
        <v>6224</v>
      </c>
      <c r="C134" t="s">
        <v>149</v>
      </c>
      <c r="D134" t="s">
        <v>10</v>
      </c>
      <c r="E134" t="s">
        <v>12</v>
      </c>
      <c r="F134" t="s">
        <v>26</v>
      </c>
      <c r="G134" t="s">
        <v>551</v>
      </c>
      <c r="H134" t="s">
        <v>552</v>
      </c>
      <c r="L134" t="s">
        <v>553</v>
      </c>
      <c r="N134" t="s">
        <v>553</v>
      </c>
      <c r="S134" t="s">
        <v>554</v>
      </c>
      <c r="T134" t="s">
        <v>555</v>
      </c>
      <c r="U134" t="s">
        <v>556</v>
      </c>
      <c r="V134" t="s">
        <v>553</v>
      </c>
      <c r="W134" t="s">
        <v>86</v>
      </c>
      <c r="X134" t="s">
        <v>557</v>
      </c>
      <c r="Y134">
        <v>0</v>
      </c>
      <c r="Z134">
        <v>994.95833333333337</v>
      </c>
    </row>
    <row r="135" spans="1:26">
      <c r="A135" s="1">
        <v>133</v>
      </c>
      <c r="B135" t="str">
        <f>HYPERLINK("https://bugs.eclipse.org/bugs/show_bug.cgi?id=6238", "6238")</f>
        <v>6238</v>
      </c>
      <c r="C135" t="s">
        <v>149</v>
      </c>
      <c r="D135" t="s">
        <v>10</v>
      </c>
      <c r="E135" t="s">
        <v>12</v>
      </c>
      <c r="F135" t="s">
        <v>150</v>
      </c>
      <c r="L135" t="s">
        <v>558</v>
      </c>
      <c r="N135" t="s">
        <v>558</v>
      </c>
      <c r="T135" t="s">
        <v>559</v>
      </c>
      <c r="U135" t="s">
        <v>560</v>
      </c>
      <c r="V135" t="s">
        <v>558</v>
      </c>
      <c r="W135" t="s">
        <v>143</v>
      </c>
      <c r="X135" t="s">
        <v>561</v>
      </c>
      <c r="Y135">
        <v>1</v>
      </c>
      <c r="Z135">
        <v>18</v>
      </c>
    </row>
    <row r="136" spans="1:26">
      <c r="A136" s="1">
        <v>134</v>
      </c>
      <c r="B136" t="str">
        <f>HYPERLINK("https://bugs.eclipse.org/bugs/show_bug.cgi?id=6244", "6244")</f>
        <v>6244</v>
      </c>
      <c r="C136" t="s">
        <v>149</v>
      </c>
      <c r="D136" t="s">
        <v>10</v>
      </c>
      <c r="E136" t="s">
        <v>12</v>
      </c>
      <c r="F136" t="s">
        <v>51</v>
      </c>
      <c r="L136" t="s">
        <v>562</v>
      </c>
      <c r="N136" t="s">
        <v>562</v>
      </c>
      <c r="T136" t="s">
        <v>563</v>
      </c>
      <c r="U136" t="s">
        <v>564</v>
      </c>
      <c r="V136" t="s">
        <v>562</v>
      </c>
      <c r="W136" t="s">
        <v>49</v>
      </c>
      <c r="X136" t="s">
        <v>565</v>
      </c>
      <c r="Y136">
        <v>0</v>
      </c>
      <c r="Z136">
        <v>493</v>
      </c>
    </row>
    <row r="137" spans="1:26">
      <c r="A137" s="1">
        <v>135</v>
      </c>
      <c r="B137" t="str">
        <f>HYPERLINK("https://bugs.eclipse.org/bugs/show_bug.cgi?id=6245", "6245")</f>
        <v>6245</v>
      </c>
      <c r="C137" t="s">
        <v>140</v>
      </c>
      <c r="D137" t="s">
        <v>10</v>
      </c>
      <c r="E137" t="s">
        <v>16</v>
      </c>
      <c r="F137" t="s">
        <v>26</v>
      </c>
      <c r="L137" t="s">
        <v>566</v>
      </c>
      <c r="R137" t="s">
        <v>566</v>
      </c>
      <c r="T137" t="s">
        <v>567</v>
      </c>
      <c r="U137" t="s">
        <v>566</v>
      </c>
      <c r="V137" t="s">
        <v>566</v>
      </c>
      <c r="W137" t="s">
        <v>86</v>
      </c>
      <c r="X137" t="s">
        <v>568</v>
      </c>
      <c r="Y137">
        <v>62</v>
      </c>
      <c r="Z137">
        <v>62</v>
      </c>
    </row>
    <row r="138" spans="1:26">
      <c r="A138" s="1">
        <v>136</v>
      </c>
      <c r="B138" t="str">
        <f>HYPERLINK("https://bugs.eclipse.org/bugs/show_bug.cgi?id=6251", "6251")</f>
        <v>6251</v>
      </c>
      <c r="C138" t="s">
        <v>56</v>
      </c>
      <c r="D138" t="s">
        <v>10</v>
      </c>
      <c r="E138" t="s">
        <v>14</v>
      </c>
      <c r="F138" t="s">
        <v>26</v>
      </c>
      <c r="L138" t="s">
        <v>569</v>
      </c>
      <c r="P138" t="s">
        <v>570</v>
      </c>
      <c r="T138" t="s">
        <v>571</v>
      </c>
      <c r="U138" t="s">
        <v>572</v>
      </c>
      <c r="V138" t="s">
        <v>570</v>
      </c>
      <c r="W138" t="s">
        <v>80</v>
      </c>
      <c r="X138" t="s">
        <v>573</v>
      </c>
      <c r="Y138">
        <v>3</v>
      </c>
      <c r="Z138">
        <v>2836.958333333333</v>
      </c>
    </row>
    <row r="139" spans="1:26">
      <c r="A139" s="1">
        <v>137</v>
      </c>
      <c r="B139" t="str">
        <f>HYPERLINK("https://bugs.eclipse.org/bugs/show_bug.cgi?id=6341", "6341")</f>
        <v>6341</v>
      </c>
      <c r="C139" t="s">
        <v>35</v>
      </c>
      <c r="D139" t="s">
        <v>11</v>
      </c>
      <c r="E139" t="s">
        <v>12</v>
      </c>
      <c r="F139" t="s">
        <v>145</v>
      </c>
      <c r="L139" t="s">
        <v>574</v>
      </c>
      <c r="M139" t="s">
        <v>575</v>
      </c>
      <c r="N139" t="s">
        <v>574</v>
      </c>
      <c r="T139" t="s">
        <v>576</v>
      </c>
      <c r="U139" t="s">
        <v>577</v>
      </c>
      <c r="V139" t="s">
        <v>575</v>
      </c>
      <c r="W139" t="s">
        <v>40</v>
      </c>
      <c r="X139" t="s">
        <v>578</v>
      </c>
      <c r="Y139">
        <v>0</v>
      </c>
      <c r="Z139">
        <v>50</v>
      </c>
    </row>
    <row r="140" spans="1:26">
      <c r="A140" s="1">
        <v>138</v>
      </c>
      <c r="B140" t="str">
        <f>HYPERLINK("https://bugs.eclipse.org/bugs/show_bug.cgi?id=6380", "6380")</f>
        <v>6380</v>
      </c>
      <c r="C140" t="s">
        <v>35</v>
      </c>
      <c r="D140" t="s">
        <v>11</v>
      </c>
      <c r="E140" t="s">
        <v>12</v>
      </c>
      <c r="F140" t="s">
        <v>150</v>
      </c>
      <c r="L140" t="s">
        <v>579</v>
      </c>
      <c r="M140" t="s">
        <v>580</v>
      </c>
      <c r="N140" t="s">
        <v>579</v>
      </c>
      <c r="T140" t="s">
        <v>581</v>
      </c>
      <c r="U140" t="s">
        <v>582</v>
      </c>
      <c r="V140" t="s">
        <v>580</v>
      </c>
      <c r="W140" t="s">
        <v>40</v>
      </c>
      <c r="X140" t="s">
        <v>583</v>
      </c>
      <c r="Y140">
        <v>0</v>
      </c>
      <c r="Z140">
        <v>49</v>
      </c>
    </row>
    <row r="141" spans="1:26">
      <c r="A141" s="1">
        <v>139</v>
      </c>
      <c r="B141" t="str">
        <f>HYPERLINK("https://bugs.eclipse.org/bugs/show_bug.cgi?id=6432", "6432")</f>
        <v>6432</v>
      </c>
      <c r="C141" t="s">
        <v>35</v>
      </c>
      <c r="D141" t="s">
        <v>11</v>
      </c>
      <c r="E141" t="s">
        <v>12</v>
      </c>
      <c r="F141" t="s">
        <v>150</v>
      </c>
      <c r="L141" t="s">
        <v>584</v>
      </c>
      <c r="M141" t="s">
        <v>585</v>
      </c>
      <c r="N141" t="s">
        <v>584</v>
      </c>
      <c r="T141" t="s">
        <v>586</v>
      </c>
      <c r="U141" t="s">
        <v>587</v>
      </c>
      <c r="V141" t="s">
        <v>585</v>
      </c>
      <c r="W141" t="s">
        <v>40</v>
      </c>
      <c r="X141" t="s">
        <v>588</v>
      </c>
      <c r="Y141">
        <v>0</v>
      </c>
      <c r="Z141">
        <v>48</v>
      </c>
    </row>
    <row r="142" spans="1:26">
      <c r="A142" s="1">
        <v>140</v>
      </c>
      <c r="B142" t="str">
        <f>HYPERLINK("https://bugs.eclipse.org/bugs/show_bug.cgi?id=6454", "6454")</f>
        <v>6454</v>
      </c>
      <c r="C142" t="s">
        <v>35</v>
      </c>
      <c r="D142" t="s">
        <v>11</v>
      </c>
      <c r="E142" t="s">
        <v>12</v>
      </c>
      <c r="F142" t="s">
        <v>26</v>
      </c>
      <c r="G142" t="s">
        <v>589</v>
      </c>
      <c r="L142" t="s">
        <v>590</v>
      </c>
      <c r="M142" t="s">
        <v>591</v>
      </c>
      <c r="N142" t="s">
        <v>590</v>
      </c>
      <c r="S142" t="s">
        <v>592</v>
      </c>
      <c r="T142" t="s">
        <v>593</v>
      </c>
      <c r="U142" t="s">
        <v>594</v>
      </c>
      <c r="V142" t="s">
        <v>595</v>
      </c>
      <c r="W142" t="s">
        <v>596</v>
      </c>
      <c r="X142" t="s">
        <v>597</v>
      </c>
      <c r="Y142">
        <v>41</v>
      </c>
      <c r="Z142">
        <v>1243.958333333333</v>
      </c>
    </row>
    <row r="143" spans="1:26">
      <c r="A143" s="1">
        <v>141</v>
      </c>
      <c r="B143" t="str">
        <f>HYPERLINK("https://bugs.eclipse.org/bugs/show_bug.cgi?id=6467", "6467")</f>
        <v>6467</v>
      </c>
      <c r="C143" t="s">
        <v>56</v>
      </c>
      <c r="D143" t="s">
        <v>10</v>
      </c>
      <c r="E143" t="s">
        <v>14</v>
      </c>
      <c r="F143" t="s">
        <v>51</v>
      </c>
      <c r="L143" t="s">
        <v>598</v>
      </c>
      <c r="P143" t="s">
        <v>599</v>
      </c>
      <c r="T143" t="s">
        <v>600</v>
      </c>
      <c r="U143" t="s">
        <v>601</v>
      </c>
      <c r="V143" t="s">
        <v>599</v>
      </c>
      <c r="W143" t="s">
        <v>80</v>
      </c>
      <c r="X143" t="s">
        <v>602</v>
      </c>
      <c r="Y143">
        <v>0</v>
      </c>
      <c r="Z143">
        <v>2829.958333333333</v>
      </c>
    </row>
    <row r="144" spans="1:26">
      <c r="A144" s="1">
        <v>142</v>
      </c>
      <c r="B144" t="str">
        <f>HYPERLINK("https://bugs.eclipse.org/bugs/show_bug.cgi?id=6496", "6496")</f>
        <v>6496</v>
      </c>
      <c r="C144" t="s">
        <v>149</v>
      </c>
      <c r="D144" t="s">
        <v>10</v>
      </c>
      <c r="E144" t="s">
        <v>12</v>
      </c>
      <c r="F144" t="s">
        <v>26</v>
      </c>
      <c r="G144" t="s">
        <v>603</v>
      </c>
      <c r="L144" t="s">
        <v>604</v>
      </c>
      <c r="N144" t="s">
        <v>604</v>
      </c>
      <c r="T144" t="s">
        <v>605</v>
      </c>
      <c r="U144" t="s">
        <v>606</v>
      </c>
      <c r="V144" t="s">
        <v>604</v>
      </c>
      <c r="W144" t="s">
        <v>134</v>
      </c>
      <c r="X144" t="s">
        <v>607</v>
      </c>
      <c r="Y144">
        <v>0</v>
      </c>
      <c r="Z144">
        <v>444</v>
      </c>
    </row>
    <row r="145" spans="1:26">
      <c r="A145" s="1">
        <v>143</v>
      </c>
      <c r="B145" t="str">
        <f>HYPERLINK("https://bugs.eclipse.org/bugs/show_bug.cgi?id=6502", "6502")</f>
        <v>6502</v>
      </c>
      <c r="C145" t="s">
        <v>56</v>
      </c>
      <c r="D145" t="s">
        <v>10</v>
      </c>
      <c r="E145" t="s">
        <v>14</v>
      </c>
      <c r="F145" t="s">
        <v>460</v>
      </c>
      <c r="L145" t="s">
        <v>608</v>
      </c>
      <c r="P145" t="s">
        <v>609</v>
      </c>
      <c r="T145" t="s">
        <v>610</v>
      </c>
      <c r="U145" t="s">
        <v>611</v>
      </c>
      <c r="V145" t="s">
        <v>609</v>
      </c>
      <c r="W145" t="s">
        <v>75</v>
      </c>
      <c r="X145" t="s">
        <v>612</v>
      </c>
      <c r="Y145">
        <v>86</v>
      </c>
      <c r="Z145">
        <v>2826.958333333333</v>
      </c>
    </row>
    <row r="146" spans="1:26">
      <c r="A146" s="1">
        <v>144</v>
      </c>
      <c r="B146" t="str">
        <f>HYPERLINK("https://bugs.eclipse.org/bugs/show_bug.cgi?id=6540", "6540")</f>
        <v>6540</v>
      </c>
      <c r="C146" t="s">
        <v>149</v>
      </c>
      <c r="D146" t="s">
        <v>10</v>
      </c>
      <c r="E146" t="s">
        <v>12</v>
      </c>
      <c r="F146" t="s">
        <v>26</v>
      </c>
      <c r="L146" t="s">
        <v>613</v>
      </c>
      <c r="N146" t="s">
        <v>613</v>
      </c>
      <c r="T146" t="s">
        <v>614</v>
      </c>
      <c r="U146" t="s">
        <v>615</v>
      </c>
      <c r="V146" t="s">
        <v>613</v>
      </c>
      <c r="W146" t="s">
        <v>60</v>
      </c>
      <c r="X146" t="s">
        <v>616</v>
      </c>
      <c r="Y146">
        <v>13</v>
      </c>
      <c r="Z146">
        <v>55</v>
      </c>
    </row>
    <row r="147" spans="1:26">
      <c r="A147" s="1">
        <v>145</v>
      </c>
      <c r="B147" t="str">
        <f>HYPERLINK("https://bugs.eclipse.org/bugs/show_bug.cgi?id=6561", "6561")</f>
        <v>6561</v>
      </c>
      <c r="C147" t="s">
        <v>35</v>
      </c>
      <c r="D147" t="s">
        <v>11</v>
      </c>
      <c r="E147" t="s">
        <v>12</v>
      </c>
      <c r="F147" t="s">
        <v>145</v>
      </c>
      <c r="L147" t="s">
        <v>617</v>
      </c>
      <c r="M147" t="s">
        <v>618</v>
      </c>
      <c r="N147" t="s">
        <v>617</v>
      </c>
      <c r="T147" t="s">
        <v>619</v>
      </c>
      <c r="U147" t="s">
        <v>620</v>
      </c>
      <c r="V147" t="s">
        <v>618</v>
      </c>
      <c r="W147" t="s">
        <v>40</v>
      </c>
      <c r="X147" t="s">
        <v>621</v>
      </c>
      <c r="Y147">
        <v>1</v>
      </c>
      <c r="Z147">
        <v>43</v>
      </c>
    </row>
    <row r="148" spans="1:26">
      <c r="A148" s="1">
        <v>146</v>
      </c>
      <c r="B148" t="str">
        <f>HYPERLINK("https://bugs.eclipse.org/bugs/show_bug.cgi?id=6602", "6602")</f>
        <v>6602</v>
      </c>
      <c r="C148" t="s">
        <v>56</v>
      </c>
      <c r="D148" t="s">
        <v>10</v>
      </c>
      <c r="E148" t="s">
        <v>14</v>
      </c>
      <c r="F148" t="s">
        <v>26</v>
      </c>
      <c r="L148" t="s">
        <v>622</v>
      </c>
      <c r="P148" t="s">
        <v>623</v>
      </c>
      <c r="T148" t="s">
        <v>624</v>
      </c>
      <c r="U148" t="s">
        <v>625</v>
      </c>
      <c r="V148" t="s">
        <v>623</v>
      </c>
      <c r="W148" t="s">
        <v>75</v>
      </c>
      <c r="X148" t="s">
        <v>626</v>
      </c>
      <c r="Y148">
        <v>55</v>
      </c>
      <c r="Z148">
        <v>2824.958333333333</v>
      </c>
    </row>
    <row r="149" spans="1:26">
      <c r="A149" s="1">
        <v>147</v>
      </c>
      <c r="B149" t="str">
        <f>HYPERLINK("https://bugs.eclipse.org/bugs/show_bug.cgi?id=6605", "6605")</f>
        <v>6605</v>
      </c>
      <c r="C149" t="s">
        <v>56</v>
      </c>
      <c r="D149" t="s">
        <v>10</v>
      </c>
      <c r="E149" t="s">
        <v>14</v>
      </c>
      <c r="F149" t="s">
        <v>51</v>
      </c>
      <c r="G149" t="s">
        <v>627</v>
      </c>
      <c r="L149" t="s">
        <v>628</v>
      </c>
      <c r="P149" t="s">
        <v>570</v>
      </c>
      <c r="T149" t="s">
        <v>629</v>
      </c>
      <c r="U149" t="s">
        <v>630</v>
      </c>
      <c r="V149" t="s">
        <v>570</v>
      </c>
      <c r="W149" t="s">
        <v>80</v>
      </c>
      <c r="X149" t="s">
        <v>631</v>
      </c>
      <c r="Y149">
        <v>0</v>
      </c>
      <c r="Z149">
        <v>2824.958333333333</v>
      </c>
    </row>
    <row r="150" spans="1:26">
      <c r="A150" s="1">
        <v>148</v>
      </c>
      <c r="B150" t="str">
        <f>HYPERLINK("https://bugs.eclipse.org/bugs/show_bug.cgi?id=6610", "6610")</f>
        <v>6610</v>
      </c>
      <c r="C150" t="s">
        <v>149</v>
      </c>
      <c r="D150" t="s">
        <v>10</v>
      </c>
      <c r="E150" t="s">
        <v>12</v>
      </c>
      <c r="F150" t="s">
        <v>26</v>
      </c>
      <c r="L150" t="s">
        <v>632</v>
      </c>
      <c r="N150" t="s">
        <v>632</v>
      </c>
      <c r="T150" t="s">
        <v>633</v>
      </c>
      <c r="U150" t="s">
        <v>634</v>
      </c>
      <c r="V150" t="s">
        <v>632</v>
      </c>
      <c r="W150" t="s">
        <v>134</v>
      </c>
      <c r="X150" t="s">
        <v>635</v>
      </c>
      <c r="Y150">
        <v>0</v>
      </c>
      <c r="Z150">
        <v>127.9583333333333</v>
      </c>
    </row>
    <row r="151" spans="1:26">
      <c r="A151" s="1">
        <v>149</v>
      </c>
      <c r="B151" t="str">
        <f>HYPERLINK("https://bugs.eclipse.org/bugs/show_bug.cgi?id=6666", "6666")</f>
        <v>6666</v>
      </c>
      <c r="C151" t="s">
        <v>636</v>
      </c>
      <c r="D151" t="s">
        <v>10</v>
      </c>
      <c r="E151" t="s">
        <v>15</v>
      </c>
      <c r="F151" t="s">
        <v>460</v>
      </c>
      <c r="L151" t="s">
        <v>637</v>
      </c>
      <c r="Q151" t="s">
        <v>637</v>
      </c>
      <c r="S151" t="s">
        <v>638</v>
      </c>
      <c r="T151" t="s">
        <v>639</v>
      </c>
      <c r="U151" t="s">
        <v>640</v>
      </c>
      <c r="V151" t="s">
        <v>637</v>
      </c>
      <c r="W151" t="s">
        <v>86</v>
      </c>
      <c r="X151" t="s">
        <v>641</v>
      </c>
      <c r="Y151">
        <v>0</v>
      </c>
      <c r="Z151">
        <v>230.95833333333329</v>
      </c>
    </row>
    <row r="152" spans="1:26">
      <c r="A152" s="1">
        <v>150</v>
      </c>
      <c r="B152" t="str">
        <f>HYPERLINK("https://bugs.eclipse.org/bugs/show_bug.cgi?id=6680", "6680")</f>
        <v>6680</v>
      </c>
      <c r="C152" t="s">
        <v>149</v>
      </c>
      <c r="D152" t="s">
        <v>10</v>
      </c>
      <c r="E152" t="s">
        <v>12</v>
      </c>
      <c r="F152" t="s">
        <v>26</v>
      </c>
      <c r="L152" t="s">
        <v>642</v>
      </c>
      <c r="N152" t="s">
        <v>642</v>
      </c>
      <c r="T152" t="s">
        <v>643</v>
      </c>
      <c r="U152" t="s">
        <v>642</v>
      </c>
      <c r="V152" t="s">
        <v>642</v>
      </c>
      <c r="W152" t="s">
        <v>86</v>
      </c>
      <c r="X152" t="s">
        <v>644</v>
      </c>
      <c r="Y152">
        <v>48</v>
      </c>
      <c r="Z152">
        <v>48</v>
      </c>
    </row>
    <row r="153" spans="1:26">
      <c r="A153" s="1">
        <v>151</v>
      </c>
      <c r="B153" t="str">
        <f>HYPERLINK("https://bugs.eclipse.org/bugs/show_bug.cgi?id=6711", "6711")</f>
        <v>6711</v>
      </c>
      <c r="C153" t="s">
        <v>149</v>
      </c>
      <c r="D153" t="s">
        <v>10</v>
      </c>
      <c r="E153" t="s">
        <v>12</v>
      </c>
      <c r="F153" t="s">
        <v>26</v>
      </c>
      <c r="L153" t="s">
        <v>645</v>
      </c>
      <c r="N153" t="s">
        <v>645</v>
      </c>
      <c r="T153" t="s">
        <v>646</v>
      </c>
      <c r="U153" t="s">
        <v>647</v>
      </c>
      <c r="V153" t="s">
        <v>645</v>
      </c>
      <c r="W153" t="s">
        <v>86</v>
      </c>
      <c r="X153" t="s">
        <v>648</v>
      </c>
      <c r="Y153">
        <v>33</v>
      </c>
      <c r="Z153">
        <v>152.95833333333329</v>
      </c>
    </row>
    <row r="154" spans="1:26">
      <c r="A154" s="1">
        <v>152</v>
      </c>
      <c r="B154" t="str">
        <f>HYPERLINK("https://bugs.eclipse.org/bugs/show_bug.cgi?id=6749", "6749")</f>
        <v>6749</v>
      </c>
      <c r="C154" t="s">
        <v>149</v>
      </c>
      <c r="D154" t="s">
        <v>10</v>
      </c>
      <c r="E154" t="s">
        <v>12</v>
      </c>
      <c r="F154" t="s">
        <v>51</v>
      </c>
      <c r="G154" t="s">
        <v>649</v>
      </c>
      <c r="L154" t="s">
        <v>650</v>
      </c>
      <c r="N154" t="s">
        <v>650</v>
      </c>
      <c r="S154" t="s">
        <v>651</v>
      </c>
      <c r="T154" t="s">
        <v>652</v>
      </c>
      <c r="U154" t="s">
        <v>653</v>
      </c>
      <c r="V154" t="s">
        <v>654</v>
      </c>
      <c r="W154" t="s">
        <v>655</v>
      </c>
      <c r="X154" t="s">
        <v>656</v>
      </c>
      <c r="Y154">
        <v>0</v>
      </c>
      <c r="Z154">
        <v>1788</v>
      </c>
    </row>
    <row r="155" spans="1:26">
      <c r="A155" s="1">
        <v>153</v>
      </c>
      <c r="B155" t="str">
        <f>HYPERLINK("https://bugs.eclipse.org/bugs/show_bug.cgi?id=6787", "6787")</f>
        <v>6787</v>
      </c>
      <c r="C155" t="s">
        <v>35</v>
      </c>
      <c r="D155" t="s">
        <v>11</v>
      </c>
      <c r="E155" t="s">
        <v>12</v>
      </c>
      <c r="F155" t="s">
        <v>26</v>
      </c>
      <c r="L155" t="s">
        <v>657</v>
      </c>
      <c r="M155" t="s">
        <v>658</v>
      </c>
      <c r="N155" t="s">
        <v>657</v>
      </c>
      <c r="T155" t="s">
        <v>659</v>
      </c>
      <c r="U155" t="s">
        <v>660</v>
      </c>
      <c r="V155" t="s">
        <v>658</v>
      </c>
      <c r="W155" t="s">
        <v>283</v>
      </c>
      <c r="X155" t="s">
        <v>661</v>
      </c>
      <c r="Y155">
        <v>0</v>
      </c>
      <c r="Z155">
        <v>64</v>
      </c>
    </row>
    <row r="156" spans="1:26">
      <c r="A156" s="1">
        <v>154</v>
      </c>
      <c r="B156" t="str">
        <f>HYPERLINK("https://bugs.eclipse.org/bugs/show_bug.cgi?id=6920", "6920")</f>
        <v>6920</v>
      </c>
      <c r="C156" t="s">
        <v>140</v>
      </c>
      <c r="D156" t="s">
        <v>10</v>
      </c>
      <c r="E156" t="s">
        <v>16</v>
      </c>
      <c r="F156" t="s">
        <v>51</v>
      </c>
      <c r="L156" t="s">
        <v>662</v>
      </c>
      <c r="R156" t="s">
        <v>662</v>
      </c>
      <c r="T156" t="s">
        <v>663</v>
      </c>
      <c r="U156" t="s">
        <v>664</v>
      </c>
      <c r="V156" t="s">
        <v>662</v>
      </c>
      <c r="W156" t="s">
        <v>86</v>
      </c>
      <c r="X156" t="s">
        <v>665</v>
      </c>
      <c r="Y156">
        <v>1</v>
      </c>
      <c r="Z156">
        <v>496.95833333333331</v>
      </c>
    </row>
    <row r="157" spans="1:26">
      <c r="A157" s="1">
        <v>155</v>
      </c>
      <c r="B157" t="str">
        <f>HYPERLINK("https://bugs.eclipse.org/bugs/show_bug.cgi?id=6947", "6947")</f>
        <v>6947</v>
      </c>
      <c r="C157" t="s">
        <v>140</v>
      </c>
      <c r="D157" t="s">
        <v>10</v>
      </c>
      <c r="E157" t="s">
        <v>16</v>
      </c>
      <c r="F157" t="s">
        <v>150</v>
      </c>
      <c r="G157" t="s">
        <v>666</v>
      </c>
      <c r="L157" t="s">
        <v>667</v>
      </c>
      <c r="N157" t="s">
        <v>668</v>
      </c>
      <c r="R157" t="s">
        <v>667</v>
      </c>
      <c r="S157" t="s">
        <v>669</v>
      </c>
      <c r="T157" t="s">
        <v>670</v>
      </c>
      <c r="U157" t="s">
        <v>671</v>
      </c>
      <c r="V157" t="s">
        <v>667</v>
      </c>
      <c r="W157" t="s">
        <v>49</v>
      </c>
      <c r="X157" t="s">
        <v>672</v>
      </c>
      <c r="Y157">
        <v>0</v>
      </c>
      <c r="Z157">
        <v>2006.958333333333</v>
      </c>
    </row>
    <row r="158" spans="1:26">
      <c r="A158" s="1">
        <v>156</v>
      </c>
      <c r="B158" t="str">
        <f>HYPERLINK("https://bugs.eclipse.org/bugs/show_bug.cgi?id=7023", "7023")</f>
        <v>7023</v>
      </c>
      <c r="C158" t="s">
        <v>149</v>
      </c>
      <c r="D158" t="s">
        <v>10</v>
      </c>
      <c r="E158" t="s">
        <v>12</v>
      </c>
      <c r="F158" t="s">
        <v>150</v>
      </c>
      <c r="L158" t="s">
        <v>673</v>
      </c>
      <c r="N158" t="s">
        <v>673</v>
      </c>
      <c r="T158" t="s">
        <v>674</v>
      </c>
      <c r="U158" t="s">
        <v>675</v>
      </c>
      <c r="V158" t="s">
        <v>673</v>
      </c>
      <c r="W158" t="s">
        <v>86</v>
      </c>
      <c r="X158" t="s">
        <v>676</v>
      </c>
      <c r="Y158">
        <v>0</v>
      </c>
      <c r="Z158">
        <v>29</v>
      </c>
    </row>
    <row r="159" spans="1:26">
      <c r="A159" s="1">
        <v>157</v>
      </c>
      <c r="B159" t="str">
        <f>HYPERLINK("https://bugs.eclipse.org/bugs/show_bug.cgi?id=7037", "7037")</f>
        <v>7037</v>
      </c>
      <c r="C159" t="s">
        <v>35</v>
      </c>
      <c r="D159" t="s">
        <v>11</v>
      </c>
      <c r="E159" t="s">
        <v>12</v>
      </c>
      <c r="F159" t="s">
        <v>26</v>
      </c>
      <c r="L159" t="s">
        <v>677</v>
      </c>
      <c r="M159" t="s">
        <v>678</v>
      </c>
      <c r="N159" t="s">
        <v>677</v>
      </c>
      <c r="T159" t="s">
        <v>679</v>
      </c>
      <c r="U159" t="s">
        <v>677</v>
      </c>
      <c r="V159" t="s">
        <v>678</v>
      </c>
      <c r="W159" t="s">
        <v>283</v>
      </c>
      <c r="X159" t="s">
        <v>680</v>
      </c>
      <c r="Y159">
        <v>56</v>
      </c>
      <c r="Z159">
        <v>57</v>
      </c>
    </row>
    <row r="160" spans="1:26">
      <c r="A160" s="1">
        <v>158</v>
      </c>
      <c r="B160" t="str">
        <f>HYPERLINK("https://bugs.eclipse.org/bugs/show_bug.cgi?id=7041", "7041")</f>
        <v>7041</v>
      </c>
      <c r="C160" t="s">
        <v>149</v>
      </c>
      <c r="D160" t="s">
        <v>10</v>
      </c>
      <c r="E160" t="s">
        <v>12</v>
      </c>
      <c r="F160" t="s">
        <v>145</v>
      </c>
      <c r="L160" t="s">
        <v>681</v>
      </c>
      <c r="N160" t="s">
        <v>681</v>
      </c>
      <c r="T160" t="s">
        <v>682</v>
      </c>
      <c r="U160" t="s">
        <v>683</v>
      </c>
      <c r="V160" t="s">
        <v>681</v>
      </c>
      <c r="W160" t="s">
        <v>86</v>
      </c>
      <c r="X160" t="s">
        <v>684</v>
      </c>
      <c r="Y160">
        <v>0</v>
      </c>
      <c r="Z160">
        <v>30</v>
      </c>
    </row>
    <row r="161" spans="1:26">
      <c r="A161" s="1">
        <v>159</v>
      </c>
      <c r="B161" t="str">
        <f>HYPERLINK("https://bugs.eclipse.org/bugs/show_bug.cgi?id=7046", "7046")</f>
        <v>7046</v>
      </c>
      <c r="C161" t="s">
        <v>35</v>
      </c>
      <c r="D161" t="s">
        <v>11</v>
      </c>
      <c r="E161" t="s">
        <v>12</v>
      </c>
      <c r="F161" t="s">
        <v>145</v>
      </c>
      <c r="L161" t="s">
        <v>685</v>
      </c>
      <c r="M161" t="s">
        <v>686</v>
      </c>
      <c r="N161" t="s">
        <v>685</v>
      </c>
      <c r="T161" t="s">
        <v>687</v>
      </c>
      <c r="U161" t="s">
        <v>688</v>
      </c>
      <c r="V161" t="s">
        <v>686</v>
      </c>
      <c r="W161" t="s">
        <v>40</v>
      </c>
      <c r="X161" t="s">
        <v>689</v>
      </c>
      <c r="Y161">
        <v>0</v>
      </c>
      <c r="Z161">
        <v>28</v>
      </c>
    </row>
    <row r="162" spans="1:26">
      <c r="A162" s="1">
        <v>160</v>
      </c>
      <c r="B162" t="str">
        <f>HYPERLINK("https://bugs.eclipse.org/bugs/show_bug.cgi?id=7081", "7081")</f>
        <v>7081</v>
      </c>
      <c r="C162" t="s">
        <v>35</v>
      </c>
      <c r="D162" t="s">
        <v>11</v>
      </c>
      <c r="E162" t="s">
        <v>12</v>
      </c>
      <c r="F162" t="s">
        <v>26</v>
      </c>
      <c r="L162" t="s">
        <v>690</v>
      </c>
      <c r="M162" t="s">
        <v>691</v>
      </c>
      <c r="N162" t="s">
        <v>690</v>
      </c>
      <c r="T162" t="s">
        <v>692</v>
      </c>
      <c r="U162" t="s">
        <v>693</v>
      </c>
      <c r="V162" t="s">
        <v>691</v>
      </c>
      <c r="W162" t="s">
        <v>40</v>
      </c>
      <c r="X162" t="s">
        <v>694</v>
      </c>
      <c r="Y162">
        <v>0</v>
      </c>
      <c r="Z162">
        <v>27</v>
      </c>
    </row>
    <row r="163" spans="1:26">
      <c r="A163" s="1">
        <v>161</v>
      </c>
      <c r="B163" t="str">
        <f>HYPERLINK("https://bugs.eclipse.org/bugs/show_bug.cgi?id=7098", "7098")</f>
        <v>7098</v>
      </c>
      <c r="C163" t="s">
        <v>149</v>
      </c>
      <c r="D163" t="s">
        <v>10</v>
      </c>
      <c r="E163" t="s">
        <v>12</v>
      </c>
      <c r="F163" t="s">
        <v>145</v>
      </c>
      <c r="L163" t="s">
        <v>695</v>
      </c>
      <c r="N163" t="s">
        <v>695</v>
      </c>
      <c r="T163" t="s">
        <v>696</v>
      </c>
      <c r="U163" t="s">
        <v>697</v>
      </c>
      <c r="V163" t="s">
        <v>695</v>
      </c>
      <c r="W163" t="s">
        <v>86</v>
      </c>
      <c r="X163" t="s">
        <v>698</v>
      </c>
      <c r="Y163">
        <v>0</v>
      </c>
      <c r="Z163">
        <v>26</v>
      </c>
    </row>
    <row r="164" spans="1:26">
      <c r="A164" s="1">
        <v>162</v>
      </c>
      <c r="B164" t="str">
        <f>HYPERLINK("https://bugs.eclipse.org/bugs/show_bug.cgi?id=7127", "7127")</f>
        <v>7127</v>
      </c>
      <c r="C164" t="s">
        <v>149</v>
      </c>
      <c r="D164" t="s">
        <v>10</v>
      </c>
      <c r="E164" t="s">
        <v>12</v>
      </c>
      <c r="F164" t="s">
        <v>150</v>
      </c>
      <c r="L164" t="s">
        <v>699</v>
      </c>
      <c r="N164" t="s">
        <v>699</v>
      </c>
      <c r="T164" t="s">
        <v>700</v>
      </c>
      <c r="U164" t="s">
        <v>701</v>
      </c>
      <c r="V164" t="s">
        <v>699</v>
      </c>
      <c r="W164" t="s">
        <v>86</v>
      </c>
      <c r="X164" t="s">
        <v>702</v>
      </c>
      <c r="Y164">
        <v>0</v>
      </c>
      <c r="Z164">
        <v>27</v>
      </c>
    </row>
    <row r="165" spans="1:26">
      <c r="A165" s="1">
        <v>163</v>
      </c>
      <c r="B165" t="str">
        <f>HYPERLINK("https://bugs.eclipse.org/bugs/show_bug.cgi?id=7138", "7138")</f>
        <v>7138</v>
      </c>
      <c r="C165" t="s">
        <v>149</v>
      </c>
      <c r="D165" t="s">
        <v>10</v>
      </c>
      <c r="E165" t="s">
        <v>12</v>
      </c>
      <c r="F165" t="s">
        <v>150</v>
      </c>
      <c r="L165" t="s">
        <v>703</v>
      </c>
      <c r="N165" t="s">
        <v>703</v>
      </c>
      <c r="T165" t="s">
        <v>704</v>
      </c>
      <c r="U165" t="s">
        <v>705</v>
      </c>
      <c r="V165" t="s">
        <v>703</v>
      </c>
      <c r="W165" t="s">
        <v>60</v>
      </c>
      <c r="X165" t="s">
        <v>706</v>
      </c>
      <c r="Y165">
        <v>26</v>
      </c>
      <c r="Z165">
        <v>36</v>
      </c>
    </row>
    <row r="166" spans="1:26">
      <c r="A166" s="1">
        <v>164</v>
      </c>
      <c r="B166" t="str">
        <f>HYPERLINK("https://bugs.eclipse.org/bugs/show_bug.cgi?id=7158", "7158")</f>
        <v>7158</v>
      </c>
      <c r="C166" t="s">
        <v>56</v>
      </c>
      <c r="D166" t="s">
        <v>10</v>
      </c>
      <c r="E166" t="s">
        <v>14</v>
      </c>
      <c r="F166" t="s">
        <v>26</v>
      </c>
      <c r="L166" t="s">
        <v>707</v>
      </c>
      <c r="P166" t="s">
        <v>707</v>
      </c>
      <c r="T166" t="s">
        <v>708</v>
      </c>
      <c r="U166" t="s">
        <v>709</v>
      </c>
      <c r="V166" t="s">
        <v>707</v>
      </c>
      <c r="W166" t="s">
        <v>134</v>
      </c>
      <c r="X166" t="s">
        <v>710</v>
      </c>
      <c r="Y166">
        <v>0</v>
      </c>
      <c r="Z166">
        <v>52</v>
      </c>
    </row>
    <row r="167" spans="1:26">
      <c r="A167" s="1">
        <v>165</v>
      </c>
      <c r="B167" t="str">
        <f>HYPERLINK("https://bugs.eclipse.org/bugs/show_bug.cgi?id=7206", "7206")</f>
        <v>7206</v>
      </c>
      <c r="C167" t="s">
        <v>149</v>
      </c>
      <c r="D167" t="s">
        <v>10</v>
      </c>
      <c r="E167" t="s">
        <v>12</v>
      </c>
      <c r="F167" t="s">
        <v>150</v>
      </c>
      <c r="L167" t="s">
        <v>711</v>
      </c>
      <c r="N167" t="s">
        <v>711</v>
      </c>
      <c r="T167" t="s">
        <v>712</v>
      </c>
      <c r="U167" t="s">
        <v>713</v>
      </c>
      <c r="V167" t="s">
        <v>711</v>
      </c>
      <c r="W167" t="s">
        <v>60</v>
      </c>
      <c r="X167" t="s">
        <v>714</v>
      </c>
      <c r="Y167">
        <v>10</v>
      </c>
      <c r="Z167">
        <v>15</v>
      </c>
    </row>
    <row r="168" spans="1:26">
      <c r="A168" s="1">
        <v>166</v>
      </c>
      <c r="B168" t="str">
        <f>HYPERLINK("https://bugs.eclipse.org/bugs/show_bug.cgi?id=7210", "7210")</f>
        <v>7210</v>
      </c>
      <c r="C168" t="s">
        <v>715</v>
      </c>
      <c r="D168" t="s">
        <v>10</v>
      </c>
      <c r="E168" t="s">
        <v>15</v>
      </c>
      <c r="F168" t="s">
        <v>26</v>
      </c>
      <c r="L168" t="s">
        <v>716</v>
      </c>
      <c r="Q168" t="s">
        <v>716</v>
      </c>
      <c r="T168" t="s">
        <v>717</v>
      </c>
      <c r="U168" t="s">
        <v>718</v>
      </c>
      <c r="V168" t="s">
        <v>716</v>
      </c>
      <c r="W168" t="s">
        <v>134</v>
      </c>
      <c r="X168" t="s">
        <v>719</v>
      </c>
      <c r="Y168">
        <v>2</v>
      </c>
      <c r="Z168">
        <v>9</v>
      </c>
    </row>
    <row r="169" spans="1:26">
      <c r="A169" s="1">
        <v>167</v>
      </c>
      <c r="B169" t="str">
        <f>HYPERLINK("https://bugs.eclipse.org/bugs/show_bug.cgi?id=7213", "7213")</f>
        <v>7213</v>
      </c>
      <c r="C169" t="s">
        <v>720</v>
      </c>
      <c r="D169" t="s">
        <v>10</v>
      </c>
      <c r="E169" t="s">
        <v>15</v>
      </c>
      <c r="F169" t="s">
        <v>51</v>
      </c>
      <c r="G169" t="s">
        <v>721</v>
      </c>
      <c r="L169" t="s">
        <v>722</v>
      </c>
      <c r="Q169" t="s">
        <v>722</v>
      </c>
      <c r="S169" t="s">
        <v>723</v>
      </c>
      <c r="T169" t="s">
        <v>724</v>
      </c>
      <c r="U169" t="s">
        <v>725</v>
      </c>
      <c r="V169" t="s">
        <v>722</v>
      </c>
      <c r="W169" t="s">
        <v>283</v>
      </c>
      <c r="X169" t="s">
        <v>726</v>
      </c>
      <c r="Y169">
        <v>0</v>
      </c>
      <c r="Z169">
        <v>239.95833333333329</v>
      </c>
    </row>
    <row r="170" spans="1:26">
      <c r="A170" s="1">
        <v>168</v>
      </c>
      <c r="B170" t="str">
        <f>HYPERLINK("https://bugs.eclipse.org/bugs/show_bug.cgi?id=7229", "7229")</f>
        <v>7229</v>
      </c>
      <c r="C170" t="s">
        <v>149</v>
      </c>
      <c r="D170" t="s">
        <v>10</v>
      </c>
      <c r="E170" t="s">
        <v>12</v>
      </c>
      <c r="F170" t="s">
        <v>150</v>
      </c>
      <c r="L170" t="s">
        <v>727</v>
      </c>
      <c r="N170" t="s">
        <v>727</v>
      </c>
      <c r="T170" t="s">
        <v>728</v>
      </c>
      <c r="U170" t="s">
        <v>729</v>
      </c>
      <c r="V170" t="s">
        <v>727</v>
      </c>
      <c r="W170" t="s">
        <v>86</v>
      </c>
      <c r="X170" t="s">
        <v>730</v>
      </c>
      <c r="Y170">
        <v>7</v>
      </c>
      <c r="Z170">
        <v>12</v>
      </c>
    </row>
    <row r="171" spans="1:26">
      <c r="A171" s="1">
        <v>169</v>
      </c>
      <c r="B171" t="str">
        <f>HYPERLINK("https://bugs.eclipse.org/bugs/show_bug.cgi?id=7253", "7253")</f>
        <v>7253</v>
      </c>
      <c r="C171" t="s">
        <v>56</v>
      </c>
      <c r="D171" t="s">
        <v>10</v>
      </c>
      <c r="E171" t="s">
        <v>14</v>
      </c>
      <c r="F171" t="s">
        <v>26</v>
      </c>
      <c r="G171" t="s">
        <v>731</v>
      </c>
      <c r="L171" t="s">
        <v>732</v>
      </c>
      <c r="P171" t="s">
        <v>733</v>
      </c>
      <c r="S171" t="s">
        <v>734</v>
      </c>
      <c r="T171" t="s">
        <v>735</v>
      </c>
      <c r="U171" t="s">
        <v>736</v>
      </c>
      <c r="V171" t="s">
        <v>733</v>
      </c>
      <c r="W171" t="s">
        <v>80</v>
      </c>
      <c r="X171" t="s">
        <v>737</v>
      </c>
      <c r="Y171">
        <v>21</v>
      </c>
      <c r="Z171">
        <v>2794.958333333333</v>
      </c>
    </row>
    <row r="172" spans="1:26">
      <c r="A172" s="1">
        <v>170</v>
      </c>
      <c r="B172" t="str">
        <f>HYPERLINK("https://bugs.eclipse.org/bugs/show_bug.cgi?id=7255", "7255")</f>
        <v>7255</v>
      </c>
      <c r="C172" t="s">
        <v>149</v>
      </c>
      <c r="D172" t="s">
        <v>10</v>
      </c>
      <c r="E172" t="s">
        <v>12</v>
      </c>
      <c r="F172" t="s">
        <v>145</v>
      </c>
      <c r="L172" t="s">
        <v>738</v>
      </c>
      <c r="N172" t="s">
        <v>738</v>
      </c>
      <c r="T172" t="s">
        <v>739</v>
      </c>
      <c r="U172" t="s">
        <v>740</v>
      </c>
      <c r="V172" t="s">
        <v>738</v>
      </c>
      <c r="W172" t="s">
        <v>60</v>
      </c>
      <c r="X172" t="s">
        <v>741</v>
      </c>
      <c r="Y172">
        <v>3</v>
      </c>
      <c r="Z172">
        <v>3</v>
      </c>
    </row>
    <row r="173" spans="1:26">
      <c r="A173" s="1">
        <v>171</v>
      </c>
      <c r="B173" t="str">
        <f>HYPERLINK("https://bugs.eclipse.org/bugs/show_bug.cgi?id=7304", "7304")</f>
        <v>7304</v>
      </c>
      <c r="C173" t="s">
        <v>149</v>
      </c>
      <c r="D173" t="s">
        <v>10</v>
      </c>
      <c r="E173" t="s">
        <v>12</v>
      </c>
      <c r="F173" t="s">
        <v>26</v>
      </c>
      <c r="G173" t="s">
        <v>742</v>
      </c>
      <c r="L173" t="s">
        <v>743</v>
      </c>
      <c r="N173" t="s">
        <v>743</v>
      </c>
      <c r="T173" t="s">
        <v>744</v>
      </c>
      <c r="U173" t="s">
        <v>745</v>
      </c>
      <c r="V173" t="s">
        <v>746</v>
      </c>
      <c r="W173" t="s">
        <v>86</v>
      </c>
      <c r="X173" t="s">
        <v>747</v>
      </c>
      <c r="Y173">
        <v>0</v>
      </c>
      <c r="Z173">
        <v>347</v>
      </c>
    </row>
    <row r="174" spans="1:26">
      <c r="A174" s="1">
        <v>172</v>
      </c>
      <c r="B174" t="str">
        <f>HYPERLINK("https://bugs.eclipse.org/bugs/show_bug.cgi?id=7317", "7317")</f>
        <v>7317</v>
      </c>
      <c r="C174" t="s">
        <v>35</v>
      </c>
      <c r="D174" t="s">
        <v>11</v>
      </c>
      <c r="E174" t="s">
        <v>12</v>
      </c>
      <c r="F174" t="s">
        <v>145</v>
      </c>
      <c r="L174" t="s">
        <v>748</v>
      </c>
      <c r="M174" t="s">
        <v>749</v>
      </c>
      <c r="N174" t="s">
        <v>748</v>
      </c>
      <c r="T174" t="s">
        <v>750</v>
      </c>
      <c r="U174" t="s">
        <v>751</v>
      </c>
      <c r="V174" t="s">
        <v>749</v>
      </c>
      <c r="W174" t="s">
        <v>40</v>
      </c>
      <c r="X174" t="s">
        <v>752</v>
      </c>
      <c r="Y174">
        <v>1</v>
      </c>
      <c r="Z174">
        <v>8</v>
      </c>
    </row>
    <row r="175" spans="1:26">
      <c r="A175" s="1">
        <v>173</v>
      </c>
      <c r="B175" t="str">
        <f>HYPERLINK("https://bugs.eclipse.org/bugs/show_bug.cgi?id=7383", "7383")</f>
        <v>7383</v>
      </c>
      <c r="C175" t="s">
        <v>149</v>
      </c>
      <c r="D175" t="s">
        <v>10</v>
      </c>
      <c r="E175" t="s">
        <v>12</v>
      </c>
      <c r="F175" t="s">
        <v>150</v>
      </c>
      <c r="G175" t="s">
        <v>753</v>
      </c>
      <c r="L175" t="s">
        <v>754</v>
      </c>
      <c r="N175" t="s">
        <v>754</v>
      </c>
      <c r="T175" t="s">
        <v>755</v>
      </c>
      <c r="U175" t="s">
        <v>756</v>
      </c>
      <c r="V175" t="s">
        <v>754</v>
      </c>
      <c r="W175" t="s">
        <v>134</v>
      </c>
      <c r="X175" t="s">
        <v>757</v>
      </c>
      <c r="Y175">
        <v>1</v>
      </c>
      <c r="Z175">
        <v>32</v>
      </c>
    </row>
    <row r="176" spans="1:26">
      <c r="A176" s="1">
        <v>174</v>
      </c>
      <c r="B176" t="str">
        <f>HYPERLINK("https://bugs.eclipse.org/bugs/show_bug.cgi?id=7444", "7444")</f>
        <v>7444</v>
      </c>
      <c r="C176" t="s">
        <v>35</v>
      </c>
      <c r="D176" t="s">
        <v>11</v>
      </c>
      <c r="E176" t="s">
        <v>12</v>
      </c>
      <c r="F176" t="s">
        <v>26</v>
      </c>
      <c r="L176" t="s">
        <v>758</v>
      </c>
      <c r="M176" t="s">
        <v>759</v>
      </c>
      <c r="N176" t="s">
        <v>758</v>
      </c>
      <c r="T176" t="s">
        <v>760</v>
      </c>
      <c r="U176" t="s">
        <v>758</v>
      </c>
      <c r="V176" t="s">
        <v>759</v>
      </c>
      <c r="W176" t="s">
        <v>49</v>
      </c>
      <c r="X176" t="s">
        <v>761</v>
      </c>
      <c r="Y176">
        <v>19</v>
      </c>
      <c r="Z176">
        <v>69</v>
      </c>
    </row>
    <row r="177" spans="1:26">
      <c r="A177" s="1">
        <v>175</v>
      </c>
      <c r="B177" t="str">
        <f>HYPERLINK("https://bugs.eclipse.org/bugs/show_bug.cgi?id=7527", "7527")</f>
        <v>7527</v>
      </c>
      <c r="C177" t="s">
        <v>56</v>
      </c>
      <c r="D177" t="s">
        <v>10</v>
      </c>
      <c r="E177" t="s">
        <v>14</v>
      </c>
      <c r="F177" t="s">
        <v>26</v>
      </c>
      <c r="L177" t="s">
        <v>762</v>
      </c>
      <c r="P177" t="s">
        <v>762</v>
      </c>
      <c r="S177" t="s">
        <v>763</v>
      </c>
      <c r="T177" t="s">
        <v>764</v>
      </c>
      <c r="U177" t="s">
        <v>765</v>
      </c>
      <c r="V177" t="s">
        <v>762</v>
      </c>
      <c r="W177" t="s">
        <v>86</v>
      </c>
      <c r="X177" t="s">
        <v>766</v>
      </c>
      <c r="Y177">
        <v>0</v>
      </c>
      <c r="Z177">
        <v>190.95833333333329</v>
      </c>
    </row>
    <row r="178" spans="1:26">
      <c r="A178" s="1">
        <v>176</v>
      </c>
      <c r="B178" t="str">
        <f>HYPERLINK("https://bugs.eclipse.org/bugs/show_bug.cgi?id=7556", "7556")</f>
        <v>7556</v>
      </c>
      <c r="C178" t="s">
        <v>56</v>
      </c>
      <c r="D178" t="s">
        <v>10</v>
      </c>
      <c r="E178" t="s">
        <v>14</v>
      </c>
      <c r="F178" t="s">
        <v>26</v>
      </c>
      <c r="L178" t="s">
        <v>767</v>
      </c>
      <c r="P178" t="s">
        <v>767</v>
      </c>
      <c r="T178" t="s">
        <v>768</v>
      </c>
      <c r="U178" t="s">
        <v>769</v>
      </c>
      <c r="V178" t="s">
        <v>767</v>
      </c>
      <c r="W178" t="s">
        <v>134</v>
      </c>
      <c r="X178" t="s">
        <v>770</v>
      </c>
      <c r="Y178">
        <v>0</v>
      </c>
      <c r="Z178">
        <v>115.9583333333333</v>
      </c>
    </row>
    <row r="179" spans="1:26">
      <c r="A179" s="1">
        <v>177</v>
      </c>
      <c r="B179" t="str">
        <f>HYPERLINK("https://bugs.eclipse.org/bugs/show_bug.cgi?id=7590", "7590")</f>
        <v>7590</v>
      </c>
      <c r="C179" t="s">
        <v>149</v>
      </c>
      <c r="D179" t="s">
        <v>10</v>
      </c>
      <c r="E179" t="s">
        <v>12</v>
      </c>
      <c r="F179" t="s">
        <v>145</v>
      </c>
      <c r="L179" t="s">
        <v>771</v>
      </c>
      <c r="N179" t="s">
        <v>771</v>
      </c>
      <c r="T179" t="s">
        <v>772</v>
      </c>
      <c r="U179" t="s">
        <v>773</v>
      </c>
      <c r="V179" t="s">
        <v>771</v>
      </c>
      <c r="W179" t="s">
        <v>60</v>
      </c>
      <c r="X179" t="s">
        <v>774</v>
      </c>
      <c r="Y179">
        <v>0</v>
      </c>
      <c r="Z179">
        <v>0</v>
      </c>
    </row>
    <row r="180" spans="1:26">
      <c r="A180" s="1">
        <v>178</v>
      </c>
      <c r="B180" t="str">
        <f>HYPERLINK("https://bugs.eclipse.org/bugs/show_bug.cgi?id=7596", "7596")</f>
        <v>7596</v>
      </c>
      <c r="C180" t="s">
        <v>56</v>
      </c>
      <c r="D180" t="s">
        <v>10</v>
      </c>
      <c r="E180" t="s">
        <v>14</v>
      </c>
      <c r="F180" t="s">
        <v>26</v>
      </c>
      <c r="L180" t="s">
        <v>775</v>
      </c>
      <c r="P180" t="s">
        <v>776</v>
      </c>
      <c r="T180" t="s">
        <v>777</v>
      </c>
      <c r="U180" t="s">
        <v>778</v>
      </c>
      <c r="V180" t="s">
        <v>776</v>
      </c>
      <c r="W180" t="s">
        <v>80</v>
      </c>
      <c r="X180" t="s">
        <v>779</v>
      </c>
      <c r="Y180">
        <v>0</v>
      </c>
      <c r="Z180">
        <v>2783.958333333333</v>
      </c>
    </row>
    <row r="181" spans="1:26">
      <c r="A181" s="1">
        <v>179</v>
      </c>
      <c r="B181" t="str">
        <f>HYPERLINK("https://bugs.eclipse.org/bugs/show_bug.cgi?id=7623", "7623")</f>
        <v>7623</v>
      </c>
      <c r="C181" t="s">
        <v>149</v>
      </c>
      <c r="D181" t="s">
        <v>10</v>
      </c>
      <c r="E181" t="s">
        <v>12</v>
      </c>
      <c r="F181" t="s">
        <v>26</v>
      </c>
      <c r="G181" t="s">
        <v>780</v>
      </c>
      <c r="L181" t="s">
        <v>781</v>
      </c>
      <c r="N181" t="s">
        <v>781</v>
      </c>
      <c r="T181" t="s">
        <v>782</v>
      </c>
      <c r="U181" t="s">
        <v>781</v>
      </c>
      <c r="V181" t="s">
        <v>783</v>
      </c>
      <c r="W181" t="s">
        <v>60</v>
      </c>
      <c r="X181" t="s">
        <v>784</v>
      </c>
      <c r="Y181">
        <v>0</v>
      </c>
      <c r="Z181">
        <v>0</v>
      </c>
    </row>
    <row r="182" spans="1:26">
      <c r="A182" s="1">
        <v>180</v>
      </c>
      <c r="B182" t="str">
        <f>HYPERLINK("https://bugs.eclipse.org/bugs/show_bug.cgi?id=7634", "7634")</f>
        <v>7634</v>
      </c>
      <c r="C182" t="s">
        <v>785</v>
      </c>
      <c r="D182" t="s">
        <v>10</v>
      </c>
      <c r="E182" t="s">
        <v>15</v>
      </c>
      <c r="F182" t="s">
        <v>26</v>
      </c>
      <c r="L182" t="s">
        <v>783</v>
      </c>
      <c r="Q182" t="s">
        <v>783</v>
      </c>
      <c r="T182" t="s">
        <v>786</v>
      </c>
      <c r="U182" t="s">
        <v>783</v>
      </c>
      <c r="V182" t="s">
        <v>783</v>
      </c>
      <c r="W182" t="s">
        <v>60</v>
      </c>
      <c r="X182" t="s">
        <v>787</v>
      </c>
      <c r="Y182">
        <v>0</v>
      </c>
      <c r="Z182">
        <v>0</v>
      </c>
    </row>
    <row r="183" spans="1:26">
      <c r="A183" s="1">
        <v>181</v>
      </c>
      <c r="B183" t="str">
        <f>HYPERLINK("https://bugs.eclipse.org/bugs/show_bug.cgi?id=7639", "7639")</f>
        <v>7639</v>
      </c>
      <c r="C183" t="s">
        <v>35</v>
      </c>
      <c r="D183" t="s">
        <v>11</v>
      </c>
      <c r="E183" t="s">
        <v>12</v>
      </c>
      <c r="F183" t="s">
        <v>145</v>
      </c>
      <c r="L183" t="s">
        <v>788</v>
      </c>
      <c r="M183" t="s">
        <v>789</v>
      </c>
      <c r="N183" t="s">
        <v>788</v>
      </c>
      <c r="T183" t="s">
        <v>790</v>
      </c>
      <c r="U183" t="s">
        <v>791</v>
      </c>
      <c r="V183" t="s">
        <v>789</v>
      </c>
      <c r="W183" t="s">
        <v>49</v>
      </c>
      <c r="X183" t="s">
        <v>792</v>
      </c>
      <c r="Y183">
        <v>1</v>
      </c>
      <c r="Z183">
        <v>29</v>
      </c>
    </row>
    <row r="184" spans="1:26">
      <c r="A184" s="1">
        <v>182</v>
      </c>
      <c r="B184" t="str">
        <f>HYPERLINK("https://bugs.eclipse.org/bugs/show_bug.cgi?id=7650", "7650")</f>
        <v>7650</v>
      </c>
      <c r="C184" t="s">
        <v>140</v>
      </c>
      <c r="D184" t="s">
        <v>10</v>
      </c>
      <c r="E184" t="s">
        <v>16</v>
      </c>
      <c r="F184" t="s">
        <v>150</v>
      </c>
      <c r="L184" t="s">
        <v>793</v>
      </c>
      <c r="R184" t="s">
        <v>793</v>
      </c>
      <c r="T184" t="s">
        <v>794</v>
      </c>
      <c r="U184" t="s">
        <v>795</v>
      </c>
      <c r="V184" t="s">
        <v>793</v>
      </c>
      <c r="W184" t="s">
        <v>60</v>
      </c>
      <c r="X184" t="s">
        <v>796</v>
      </c>
      <c r="Y184">
        <v>1</v>
      </c>
      <c r="Z184">
        <v>23</v>
      </c>
    </row>
    <row r="185" spans="1:26">
      <c r="A185" s="1">
        <v>183</v>
      </c>
      <c r="B185" t="str">
        <f>HYPERLINK("https://bugs.eclipse.org/bugs/show_bug.cgi?id=7671", "7671")</f>
        <v>7671</v>
      </c>
      <c r="C185" t="s">
        <v>149</v>
      </c>
      <c r="D185" t="s">
        <v>10</v>
      </c>
      <c r="E185" t="s">
        <v>12</v>
      </c>
      <c r="F185" t="s">
        <v>145</v>
      </c>
      <c r="G185" t="s">
        <v>797</v>
      </c>
      <c r="L185" t="s">
        <v>798</v>
      </c>
      <c r="N185" t="s">
        <v>798</v>
      </c>
      <c r="T185" t="s">
        <v>799</v>
      </c>
      <c r="U185" t="s">
        <v>800</v>
      </c>
      <c r="V185" t="s">
        <v>798</v>
      </c>
      <c r="W185" t="s">
        <v>60</v>
      </c>
      <c r="X185" t="s">
        <v>801</v>
      </c>
      <c r="Y185">
        <v>0</v>
      </c>
      <c r="Z185">
        <v>5</v>
      </c>
    </row>
    <row r="186" spans="1:26">
      <c r="A186" s="1">
        <v>184</v>
      </c>
      <c r="B186" t="str">
        <f>HYPERLINK("https://bugs.eclipse.org/bugs/show_bug.cgi?id=7780", "7780")</f>
        <v>7780</v>
      </c>
      <c r="C186" t="s">
        <v>88</v>
      </c>
      <c r="D186" t="s">
        <v>10</v>
      </c>
      <c r="E186" t="s">
        <v>13</v>
      </c>
      <c r="F186" t="s">
        <v>150</v>
      </c>
      <c r="L186" t="s">
        <v>802</v>
      </c>
      <c r="O186" t="s">
        <v>802</v>
      </c>
      <c r="T186" t="s">
        <v>803</v>
      </c>
      <c r="U186" t="s">
        <v>804</v>
      </c>
      <c r="V186" t="s">
        <v>802</v>
      </c>
      <c r="W186" t="s">
        <v>86</v>
      </c>
      <c r="X186" t="s">
        <v>805</v>
      </c>
      <c r="Y186">
        <v>0</v>
      </c>
      <c r="Z186">
        <v>2</v>
      </c>
    </row>
    <row r="187" spans="1:26">
      <c r="A187" s="1">
        <v>185</v>
      </c>
      <c r="B187" t="str">
        <f>HYPERLINK("https://bugs.eclipse.org/bugs/show_bug.cgi?id=7835", "7835")</f>
        <v>7835</v>
      </c>
      <c r="C187" t="s">
        <v>149</v>
      </c>
      <c r="D187" t="s">
        <v>10</v>
      </c>
      <c r="E187" t="s">
        <v>12</v>
      </c>
      <c r="F187" t="s">
        <v>150</v>
      </c>
      <c r="L187" t="s">
        <v>806</v>
      </c>
      <c r="N187" t="s">
        <v>806</v>
      </c>
      <c r="T187" t="s">
        <v>807</v>
      </c>
      <c r="U187" t="s">
        <v>808</v>
      </c>
      <c r="V187" t="s">
        <v>806</v>
      </c>
      <c r="W187" t="s">
        <v>60</v>
      </c>
      <c r="X187" t="s">
        <v>809</v>
      </c>
      <c r="Y187">
        <v>1</v>
      </c>
      <c r="Z187">
        <v>8</v>
      </c>
    </row>
    <row r="188" spans="1:26">
      <c r="A188" s="1">
        <v>186</v>
      </c>
      <c r="B188" t="str">
        <f>HYPERLINK("https://bugs.eclipse.org/bugs/show_bug.cgi?id=7853", "7853")</f>
        <v>7853</v>
      </c>
      <c r="C188" t="s">
        <v>35</v>
      </c>
      <c r="D188" t="s">
        <v>11</v>
      </c>
      <c r="E188" t="s">
        <v>12</v>
      </c>
      <c r="F188" t="s">
        <v>26</v>
      </c>
      <c r="L188" t="s">
        <v>810</v>
      </c>
      <c r="M188" t="s">
        <v>811</v>
      </c>
      <c r="N188" t="s">
        <v>810</v>
      </c>
      <c r="T188" t="s">
        <v>812</v>
      </c>
      <c r="U188" t="s">
        <v>810</v>
      </c>
      <c r="V188" t="s">
        <v>811</v>
      </c>
      <c r="W188" t="s">
        <v>40</v>
      </c>
      <c r="X188" t="s">
        <v>813</v>
      </c>
      <c r="Y188">
        <v>12</v>
      </c>
      <c r="Z188">
        <v>70</v>
      </c>
    </row>
    <row r="189" spans="1:26">
      <c r="A189" s="1">
        <v>187</v>
      </c>
      <c r="B189" t="str">
        <f>HYPERLINK("https://bugs.eclipse.org/bugs/show_bug.cgi?id=7917", "7917")</f>
        <v>7917</v>
      </c>
      <c r="C189" t="s">
        <v>149</v>
      </c>
      <c r="D189" t="s">
        <v>10</v>
      </c>
      <c r="E189" t="s">
        <v>12</v>
      </c>
      <c r="F189" t="s">
        <v>26</v>
      </c>
      <c r="L189" t="s">
        <v>814</v>
      </c>
      <c r="N189" t="s">
        <v>814</v>
      </c>
      <c r="T189" t="s">
        <v>815</v>
      </c>
      <c r="U189" t="s">
        <v>816</v>
      </c>
      <c r="V189" t="s">
        <v>814</v>
      </c>
      <c r="W189" t="s">
        <v>60</v>
      </c>
      <c r="X189" t="s">
        <v>817</v>
      </c>
      <c r="Y189">
        <v>1</v>
      </c>
      <c r="Z189">
        <v>80.958333333333329</v>
      </c>
    </row>
    <row r="190" spans="1:26">
      <c r="A190" s="1">
        <v>188</v>
      </c>
      <c r="B190" t="str">
        <f>HYPERLINK("https://bugs.eclipse.org/bugs/show_bug.cgi?id=7923", "7923")</f>
        <v>7923</v>
      </c>
      <c r="C190" t="s">
        <v>35</v>
      </c>
      <c r="D190" t="s">
        <v>11</v>
      </c>
      <c r="E190" t="s">
        <v>12</v>
      </c>
      <c r="F190" t="s">
        <v>150</v>
      </c>
      <c r="L190" t="s">
        <v>818</v>
      </c>
      <c r="M190" t="s">
        <v>819</v>
      </c>
      <c r="N190" t="s">
        <v>818</v>
      </c>
      <c r="T190" t="s">
        <v>820</v>
      </c>
      <c r="U190" t="s">
        <v>821</v>
      </c>
      <c r="V190" t="s">
        <v>819</v>
      </c>
      <c r="W190" t="s">
        <v>40</v>
      </c>
      <c r="X190" t="s">
        <v>822</v>
      </c>
      <c r="Y190">
        <v>0</v>
      </c>
      <c r="Z190">
        <v>66</v>
      </c>
    </row>
    <row r="191" spans="1:26">
      <c r="A191" s="1">
        <v>189</v>
      </c>
      <c r="B191" t="str">
        <f>HYPERLINK("https://bugs.eclipse.org/bugs/show_bug.cgi?id=7924", "7924")</f>
        <v>7924</v>
      </c>
      <c r="C191" t="s">
        <v>35</v>
      </c>
      <c r="D191" t="s">
        <v>11</v>
      </c>
      <c r="E191" t="s">
        <v>12</v>
      </c>
      <c r="F191" t="s">
        <v>150</v>
      </c>
      <c r="G191" t="s">
        <v>823</v>
      </c>
      <c r="L191" t="s">
        <v>824</v>
      </c>
      <c r="M191" t="s">
        <v>825</v>
      </c>
      <c r="N191" t="s">
        <v>824</v>
      </c>
      <c r="T191" t="s">
        <v>826</v>
      </c>
      <c r="U191" t="s">
        <v>827</v>
      </c>
      <c r="V191" t="s">
        <v>825</v>
      </c>
      <c r="W191" t="s">
        <v>40</v>
      </c>
      <c r="X191" t="s">
        <v>828</v>
      </c>
      <c r="Y191">
        <v>0</v>
      </c>
      <c r="Z191">
        <v>66</v>
      </c>
    </row>
    <row r="192" spans="1:26">
      <c r="A192" s="1">
        <v>190</v>
      </c>
      <c r="B192" t="str">
        <f>HYPERLINK("https://bugs.eclipse.org/bugs/show_bug.cgi?id=7932", "7932")</f>
        <v>7932</v>
      </c>
      <c r="C192" t="s">
        <v>149</v>
      </c>
      <c r="D192" t="s">
        <v>10</v>
      </c>
      <c r="E192" t="s">
        <v>12</v>
      </c>
      <c r="F192" t="s">
        <v>145</v>
      </c>
      <c r="L192" t="s">
        <v>829</v>
      </c>
      <c r="N192" t="s">
        <v>829</v>
      </c>
      <c r="T192" t="s">
        <v>830</v>
      </c>
      <c r="U192" t="s">
        <v>831</v>
      </c>
      <c r="V192" t="s">
        <v>829</v>
      </c>
      <c r="W192" t="s">
        <v>60</v>
      </c>
      <c r="X192" t="s">
        <v>832</v>
      </c>
      <c r="Y192">
        <v>3</v>
      </c>
      <c r="Z192">
        <v>7</v>
      </c>
    </row>
    <row r="193" spans="1:26">
      <c r="A193" s="1">
        <v>191</v>
      </c>
      <c r="B193" t="str">
        <f>HYPERLINK("https://bugs.eclipse.org/bugs/show_bug.cgi?id=7960", "7960")</f>
        <v>7960</v>
      </c>
      <c r="C193" t="s">
        <v>149</v>
      </c>
      <c r="D193" t="s">
        <v>10</v>
      </c>
      <c r="E193" t="s">
        <v>12</v>
      </c>
      <c r="F193" t="s">
        <v>150</v>
      </c>
      <c r="L193" t="s">
        <v>833</v>
      </c>
      <c r="N193" t="s">
        <v>833</v>
      </c>
      <c r="T193" t="s">
        <v>834</v>
      </c>
      <c r="U193" t="s">
        <v>835</v>
      </c>
      <c r="V193" t="s">
        <v>833</v>
      </c>
      <c r="W193" t="s">
        <v>134</v>
      </c>
      <c r="X193" t="s">
        <v>836</v>
      </c>
      <c r="Y193">
        <v>0</v>
      </c>
      <c r="Z193">
        <v>63</v>
      </c>
    </row>
    <row r="194" spans="1:26">
      <c r="A194" s="1">
        <v>192</v>
      </c>
      <c r="B194" t="str">
        <f>HYPERLINK("https://bugs.eclipse.org/bugs/show_bug.cgi?id=7992", "7992")</f>
        <v>7992</v>
      </c>
      <c r="C194" t="s">
        <v>149</v>
      </c>
      <c r="D194" t="s">
        <v>10</v>
      </c>
      <c r="E194" t="s">
        <v>12</v>
      </c>
      <c r="F194" t="s">
        <v>150</v>
      </c>
      <c r="L194" t="s">
        <v>837</v>
      </c>
      <c r="N194" t="s">
        <v>837</v>
      </c>
      <c r="T194" t="s">
        <v>838</v>
      </c>
      <c r="U194" t="s">
        <v>839</v>
      </c>
      <c r="V194" t="s">
        <v>837</v>
      </c>
      <c r="W194" t="s">
        <v>86</v>
      </c>
      <c r="X194" t="s">
        <v>840</v>
      </c>
      <c r="Y194">
        <v>2</v>
      </c>
      <c r="Z194">
        <v>48</v>
      </c>
    </row>
    <row r="195" spans="1:26">
      <c r="A195" s="1">
        <v>193</v>
      </c>
      <c r="B195" t="str">
        <f>HYPERLINK("https://bugs.eclipse.org/bugs/show_bug.cgi?id=7995", "7995")</f>
        <v>7995</v>
      </c>
      <c r="C195" t="s">
        <v>56</v>
      </c>
      <c r="D195" t="s">
        <v>10</v>
      </c>
      <c r="E195" t="s">
        <v>14</v>
      </c>
      <c r="F195" t="s">
        <v>26</v>
      </c>
      <c r="G195" t="s">
        <v>841</v>
      </c>
      <c r="L195" t="s">
        <v>842</v>
      </c>
      <c r="P195" t="s">
        <v>842</v>
      </c>
      <c r="T195" t="s">
        <v>843</v>
      </c>
      <c r="U195" t="s">
        <v>844</v>
      </c>
      <c r="V195" t="s">
        <v>842</v>
      </c>
      <c r="W195" t="s">
        <v>134</v>
      </c>
      <c r="X195" t="s">
        <v>845</v>
      </c>
      <c r="Y195">
        <v>20</v>
      </c>
      <c r="Z195">
        <v>57</v>
      </c>
    </row>
    <row r="196" spans="1:26">
      <c r="A196" s="1">
        <v>194</v>
      </c>
      <c r="B196" t="str">
        <f>HYPERLINK("https://bugs.eclipse.org/bugs/show_bug.cgi?id=8003", "8003")</f>
        <v>8003</v>
      </c>
      <c r="C196" t="s">
        <v>56</v>
      </c>
      <c r="D196" t="s">
        <v>10</v>
      </c>
      <c r="E196" t="s">
        <v>14</v>
      </c>
      <c r="F196" t="s">
        <v>26</v>
      </c>
      <c r="G196" t="s">
        <v>846</v>
      </c>
      <c r="L196" t="s">
        <v>847</v>
      </c>
      <c r="P196" t="s">
        <v>847</v>
      </c>
      <c r="T196" t="s">
        <v>848</v>
      </c>
      <c r="U196" t="s">
        <v>849</v>
      </c>
      <c r="V196" t="s">
        <v>850</v>
      </c>
      <c r="W196" t="s">
        <v>851</v>
      </c>
      <c r="X196" t="s">
        <v>852</v>
      </c>
      <c r="Y196">
        <v>20</v>
      </c>
      <c r="Z196">
        <v>2562</v>
      </c>
    </row>
    <row r="197" spans="1:26">
      <c r="A197" s="1">
        <v>195</v>
      </c>
      <c r="B197" t="str">
        <f>HYPERLINK("https://bugs.eclipse.org/bugs/show_bug.cgi?id=8011", "8011")</f>
        <v>8011</v>
      </c>
      <c r="C197" t="s">
        <v>149</v>
      </c>
      <c r="D197" t="s">
        <v>10</v>
      </c>
      <c r="E197" t="s">
        <v>12</v>
      </c>
      <c r="F197" t="s">
        <v>26</v>
      </c>
      <c r="L197" t="s">
        <v>853</v>
      </c>
      <c r="N197" t="s">
        <v>853</v>
      </c>
      <c r="T197" t="s">
        <v>854</v>
      </c>
      <c r="U197" t="s">
        <v>855</v>
      </c>
      <c r="V197" t="s">
        <v>853</v>
      </c>
      <c r="W197" t="s">
        <v>60</v>
      </c>
      <c r="X197" t="s">
        <v>856</v>
      </c>
      <c r="Y197">
        <v>1</v>
      </c>
      <c r="Z197">
        <v>13</v>
      </c>
    </row>
    <row r="198" spans="1:26">
      <c r="A198" s="1">
        <v>196</v>
      </c>
      <c r="B198" t="str">
        <f>HYPERLINK("https://bugs.eclipse.org/bugs/show_bug.cgi?id=8023", "8023")</f>
        <v>8023</v>
      </c>
      <c r="C198" t="s">
        <v>35</v>
      </c>
      <c r="D198" t="s">
        <v>11</v>
      </c>
      <c r="E198" t="s">
        <v>12</v>
      </c>
      <c r="F198" t="s">
        <v>145</v>
      </c>
      <c r="L198" t="s">
        <v>857</v>
      </c>
      <c r="M198" t="s">
        <v>858</v>
      </c>
      <c r="N198" t="s">
        <v>857</v>
      </c>
      <c r="T198" t="s">
        <v>859</v>
      </c>
      <c r="U198" t="s">
        <v>860</v>
      </c>
      <c r="V198" t="s">
        <v>858</v>
      </c>
      <c r="W198" t="s">
        <v>49</v>
      </c>
      <c r="X198" t="s">
        <v>861</v>
      </c>
      <c r="Y198">
        <v>1</v>
      </c>
      <c r="Z198">
        <v>22</v>
      </c>
    </row>
    <row r="199" spans="1:26">
      <c r="A199" s="1">
        <v>197</v>
      </c>
      <c r="B199" t="str">
        <f>HYPERLINK("https://bugs.eclipse.org/bugs/show_bug.cgi?id=8029", "8029")</f>
        <v>8029</v>
      </c>
      <c r="C199" t="s">
        <v>35</v>
      </c>
      <c r="D199" t="s">
        <v>11</v>
      </c>
      <c r="E199" t="s">
        <v>12</v>
      </c>
      <c r="F199" t="s">
        <v>26</v>
      </c>
      <c r="L199" t="s">
        <v>862</v>
      </c>
      <c r="M199" t="s">
        <v>863</v>
      </c>
      <c r="N199" t="s">
        <v>862</v>
      </c>
      <c r="T199" t="s">
        <v>864</v>
      </c>
      <c r="U199" t="s">
        <v>862</v>
      </c>
      <c r="V199" t="s">
        <v>863</v>
      </c>
      <c r="W199" t="s">
        <v>40</v>
      </c>
      <c r="X199" t="s">
        <v>865</v>
      </c>
      <c r="Y199">
        <v>54</v>
      </c>
      <c r="Z199">
        <v>65</v>
      </c>
    </row>
    <row r="200" spans="1:26">
      <c r="A200" s="1">
        <v>198</v>
      </c>
      <c r="B200" t="str">
        <f>HYPERLINK("https://bugs.eclipse.org/bugs/show_bug.cgi?id=8045", "8045")</f>
        <v>8045</v>
      </c>
      <c r="C200" t="s">
        <v>149</v>
      </c>
      <c r="D200" t="s">
        <v>10</v>
      </c>
      <c r="E200" t="s">
        <v>12</v>
      </c>
      <c r="F200" t="s">
        <v>51</v>
      </c>
      <c r="L200" t="s">
        <v>866</v>
      </c>
      <c r="N200" t="s">
        <v>866</v>
      </c>
      <c r="T200" t="s">
        <v>867</v>
      </c>
      <c r="U200" t="s">
        <v>868</v>
      </c>
      <c r="V200" t="s">
        <v>866</v>
      </c>
      <c r="W200" t="s">
        <v>86</v>
      </c>
      <c r="X200" t="s">
        <v>869</v>
      </c>
      <c r="Y200">
        <v>1</v>
      </c>
      <c r="Z200">
        <v>385</v>
      </c>
    </row>
    <row r="201" spans="1:26">
      <c r="A201" s="1">
        <v>199</v>
      </c>
      <c r="B201" t="str">
        <f>HYPERLINK("https://bugs.eclipse.org/bugs/show_bug.cgi?id=8113", "8113")</f>
        <v>8113</v>
      </c>
      <c r="C201" t="s">
        <v>56</v>
      </c>
      <c r="D201" t="s">
        <v>10</v>
      </c>
      <c r="E201" t="s">
        <v>14</v>
      </c>
      <c r="F201" t="s">
        <v>26</v>
      </c>
      <c r="L201" t="s">
        <v>870</v>
      </c>
      <c r="P201" t="s">
        <v>870</v>
      </c>
      <c r="T201" t="s">
        <v>871</v>
      </c>
      <c r="U201" t="s">
        <v>872</v>
      </c>
      <c r="V201" t="s">
        <v>870</v>
      </c>
      <c r="W201" t="s">
        <v>134</v>
      </c>
      <c r="X201" t="s">
        <v>873</v>
      </c>
      <c r="Y201">
        <v>0</v>
      </c>
      <c r="Z201">
        <v>106.9583333333333</v>
      </c>
    </row>
    <row r="202" spans="1:26">
      <c r="A202" s="1">
        <v>200</v>
      </c>
      <c r="B202" t="str">
        <f>HYPERLINK("https://bugs.eclipse.org/bugs/show_bug.cgi?id=8118", "8118")</f>
        <v>8118</v>
      </c>
      <c r="C202" t="s">
        <v>35</v>
      </c>
      <c r="D202" t="s">
        <v>11</v>
      </c>
      <c r="E202" t="s">
        <v>12</v>
      </c>
      <c r="F202" t="s">
        <v>26</v>
      </c>
      <c r="L202" t="s">
        <v>874</v>
      </c>
      <c r="M202" t="s">
        <v>875</v>
      </c>
      <c r="N202" t="s">
        <v>874</v>
      </c>
      <c r="T202" t="s">
        <v>876</v>
      </c>
      <c r="U202" t="s">
        <v>877</v>
      </c>
      <c r="V202" t="s">
        <v>875</v>
      </c>
      <c r="W202" t="s">
        <v>40</v>
      </c>
      <c r="X202" t="s">
        <v>878</v>
      </c>
      <c r="Y202">
        <v>0</v>
      </c>
      <c r="Z202">
        <v>64</v>
      </c>
    </row>
    <row r="203" spans="1:26">
      <c r="A203" s="1">
        <v>201</v>
      </c>
      <c r="B203" t="str">
        <f>HYPERLINK("https://bugs.eclipse.org/bugs/show_bug.cgi?id=8121", "8121")</f>
        <v>8121</v>
      </c>
      <c r="C203" t="s">
        <v>149</v>
      </c>
      <c r="D203" t="s">
        <v>10</v>
      </c>
      <c r="E203" t="s">
        <v>12</v>
      </c>
      <c r="F203" t="s">
        <v>26</v>
      </c>
      <c r="L203" t="s">
        <v>879</v>
      </c>
      <c r="N203" t="s">
        <v>879</v>
      </c>
      <c r="T203" t="s">
        <v>880</v>
      </c>
      <c r="U203" t="s">
        <v>881</v>
      </c>
      <c r="V203" t="s">
        <v>879</v>
      </c>
      <c r="W203" t="s">
        <v>60</v>
      </c>
      <c r="X203" t="s">
        <v>882</v>
      </c>
      <c r="Y203">
        <v>19</v>
      </c>
      <c r="Z203">
        <v>19</v>
      </c>
    </row>
    <row r="204" spans="1:26">
      <c r="A204" s="1">
        <v>202</v>
      </c>
      <c r="B204" t="str">
        <f>HYPERLINK("https://bugs.eclipse.org/bugs/show_bug.cgi?id=8123", "8123")</f>
        <v>8123</v>
      </c>
      <c r="C204" t="s">
        <v>149</v>
      </c>
      <c r="D204" t="s">
        <v>10</v>
      </c>
      <c r="E204" t="s">
        <v>12</v>
      </c>
      <c r="F204" t="s">
        <v>26</v>
      </c>
      <c r="L204" t="s">
        <v>883</v>
      </c>
      <c r="N204" t="s">
        <v>883</v>
      </c>
      <c r="T204" t="s">
        <v>884</v>
      </c>
      <c r="U204" t="s">
        <v>885</v>
      </c>
      <c r="V204" t="s">
        <v>883</v>
      </c>
      <c r="W204" t="s">
        <v>60</v>
      </c>
      <c r="X204" t="s">
        <v>886</v>
      </c>
      <c r="Y204">
        <v>0</v>
      </c>
      <c r="Z204">
        <v>43</v>
      </c>
    </row>
    <row r="205" spans="1:26">
      <c r="A205" s="1">
        <v>203</v>
      </c>
      <c r="B205" t="str">
        <f>HYPERLINK("https://bugs.eclipse.org/bugs/show_bug.cgi?id=8129", "8129")</f>
        <v>8129</v>
      </c>
      <c r="C205" t="s">
        <v>35</v>
      </c>
      <c r="D205" t="s">
        <v>11</v>
      </c>
      <c r="E205" t="s">
        <v>12</v>
      </c>
      <c r="F205" t="s">
        <v>145</v>
      </c>
      <c r="L205" t="s">
        <v>887</v>
      </c>
      <c r="M205" t="s">
        <v>888</v>
      </c>
      <c r="N205" t="s">
        <v>887</v>
      </c>
      <c r="T205" t="s">
        <v>889</v>
      </c>
      <c r="U205" t="s">
        <v>890</v>
      </c>
      <c r="V205" t="s">
        <v>888</v>
      </c>
      <c r="W205" t="s">
        <v>40</v>
      </c>
      <c r="X205" t="s">
        <v>891</v>
      </c>
      <c r="Y205">
        <v>1</v>
      </c>
      <c r="Z205">
        <v>64</v>
      </c>
    </row>
    <row r="206" spans="1:26">
      <c r="A206" s="1">
        <v>204</v>
      </c>
      <c r="B206" t="str">
        <f>HYPERLINK("https://bugs.eclipse.org/bugs/show_bug.cgi?id=8165", "8165")</f>
        <v>8165</v>
      </c>
      <c r="C206" t="s">
        <v>191</v>
      </c>
      <c r="D206" t="s">
        <v>192</v>
      </c>
      <c r="E206" t="s">
        <v>14</v>
      </c>
      <c r="F206" t="s">
        <v>51</v>
      </c>
      <c r="G206" t="s">
        <v>892</v>
      </c>
      <c r="H206" t="s">
        <v>893</v>
      </c>
      <c r="L206" t="s">
        <v>894</v>
      </c>
      <c r="P206" t="s">
        <v>895</v>
      </c>
      <c r="S206" t="s">
        <v>896</v>
      </c>
      <c r="T206" t="s">
        <v>897</v>
      </c>
      <c r="U206" t="s">
        <v>898</v>
      </c>
      <c r="V206" t="s">
        <v>895</v>
      </c>
      <c r="W206" t="s">
        <v>80</v>
      </c>
      <c r="X206" t="s">
        <v>899</v>
      </c>
      <c r="Y206">
        <v>56</v>
      </c>
      <c r="Z206">
        <v>2775.958333333333</v>
      </c>
    </row>
    <row r="207" spans="1:26">
      <c r="A207" s="1">
        <v>205</v>
      </c>
      <c r="B207" t="str">
        <f>HYPERLINK("https://bugs.eclipse.org/bugs/show_bug.cgi?id=8175", "8175")</f>
        <v>8175</v>
      </c>
      <c r="C207" t="s">
        <v>149</v>
      </c>
      <c r="D207" t="s">
        <v>10</v>
      </c>
      <c r="E207" t="s">
        <v>12</v>
      </c>
      <c r="F207" t="s">
        <v>26</v>
      </c>
      <c r="L207" t="s">
        <v>900</v>
      </c>
      <c r="N207" t="s">
        <v>900</v>
      </c>
      <c r="T207" t="s">
        <v>901</v>
      </c>
      <c r="U207" t="s">
        <v>900</v>
      </c>
      <c r="V207" t="s">
        <v>900</v>
      </c>
      <c r="W207" t="s">
        <v>60</v>
      </c>
      <c r="X207" t="s">
        <v>902</v>
      </c>
      <c r="Y207">
        <v>20</v>
      </c>
      <c r="Z207">
        <v>20</v>
      </c>
    </row>
    <row r="208" spans="1:26">
      <c r="A208" s="1">
        <v>206</v>
      </c>
      <c r="B208" t="str">
        <f>HYPERLINK("https://bugs.eclipse.org/bugs/show_bug.cgi?id=8187", "8187")</f>
        <v>8187</v>
      </c>
      <c r="C208" t="s">
        <v>35</v>
      </c>
      <c r="D208" t="s">
        <v>11</v>
      </c>
      <c r="E208" t="s">
        <v>12</v>
      </c>
      <c r="F208" t="s">
        <v>145</v>
      </c>
      <c r="L208" t="s">
        <v>903</v>
      </c>
      <c r="M208" t="s">
        <v>904</v>
      </c>
      <c r="N208" t="s">
        <v>903</v>
      </c>
      <c r="T208" t="s">
        <v>905</v>
      </c>
      <c r="U208" t="s">
        <v>906</v>
      </c>
      <c r="V208" t="s">
        <v>904</v>
      </c>
      <c r="W208" t="s">
        <v>49</v>
      </c>
      <c r="X208" t="s">
        <v>907</v>
      </c>
      <c r="Y208">
        <v>1</v>
      </c>
      <c r="Z208">
        <v>21</v>
      </c>
    </row>
    <row r="209" spans="1:26">
      <c r="A209" s="1">
        <v>207</v>
      </c>
      <c r="B209" t="str">
        <f>HYPERLINK("https://bugs.eclipse.org/bugs/show_bug.cgi?id=8194", "8194")</f>
        <v>8194</v>
      </c>
      <c r="C209" t="s">
        <v>149</v>
      </c>
      <c r="D209" t="s">
        <v>10</v>
      </c>
      <c r="E209" t="s">
        <v>12</v>
      </c>
      <c r="F209" t="s">
        <v>145</v>
      </c>
      <c r="L209" t="s">
        <v>908</v>
      </c>
      <c r="N209" t="s">
        <v>908</v>
      </c>
      <c r="S209" t="s">
        <v>909</v>
      </c>
      <c r="T209" t="s">
        <v>910</v>
      </c>
      <c r="U209" t="s">
        <v>911</v>
      </c>
      <c r="V209" t="s">
        <v>908</v>
      </c>
      <c r="W209" t="s">
        <v>60</v>
      </c>
      <c r="X209" t="s">
        <v>912</v>
      </c>
      <c r="Y209">
        <v>1</v>
      </c>
      <c r="Z209">
        <v>2</v>
      </c>
    </row>
    <row r="210" spans="1:26">
      <c r="A210" s="1">
        <v>208</v>
      </c>
      <c r="B210" t="str">
        <f>HYPERLINK("https://bugs.eclipse.org/bugs/show_bug.cgi?id=8201", "8201")</f>
        <v>8201</v>
      </c>
      <c r="C210" t="s">
        <v>149</v>
      </c>
      <c r="D210" t="s">
        <v>10</v>
      </c>
      <c r="E210" t="s">
        <v>12</v>
      </c>
      <c r="F210" t="s">
        <v>26</v>
      </c>
      <c r="L210" t="s">
        <v>913</v>
      </c>
      <c r="N210" t="s">
        <v>913</v>
      </c>
      <c r="T210" t="s">
        <v>914</v>
      </c>
      <c r="U210" t="s">
        <v>915</v>
      </c>
      <c r="V210" t="s">
        <v>913</v>
      </c>
      <c r="W210" t="s">
        <v>60</v>
      </c>
      <c r="X210" t="s">
        <v>916</v>
      </c>
      <c r="Y210">
        <v>1</v>
      </c>
      <c r="Z210">
        <v>2</v>
      </c>
    </row>
    <row r="211" spans="1:26">
      <c r="A211" s="1">
        <v>209</v>
      </c>
      <c r="B211" t="str">
        <f>HYPERLINK("https://bugs.eclipse.org/bugs/show_bug.cgi?id=8210", "8210")</f>
        <v>8210</v>
      </c>
      <c r="C211" t="s">
        <v>35</v>
      </c>
      <c r="D211" t="s">
        <v>11</v>
      </c>
      <c r="E211" t="s">
        <v>12</v>
      </c>
      <c r="F211" t="s">
        <v>150</v>
      </c>
      <c r="L211" t="s">
        <v>917</v>
      </c>
      <c r="M211" t="s">
        <v>918</v>
      </c>
      <c r="N211" t="s">
        <v>917</v>
      </c>
      <c r="T211" t="s">
        <v>919</v>
      </c>
      <c r="U211" t="s">
        <v>920</v>
      </c>
      <c r="V211" t="s">
        <v>918</v>
      </c>
      <c r="W211" t="s">
        <v>40</v>
      </c>
      <c r="X211" t="s">
        <v>921</v>
      </c>
      <c r="Y211">
        <v>1</v>
      </c>
      <c r="Z211">
        <v>64</v>
      </c>
    </row>
    <row r="212" spans="1:26">
      <c r="A212" s="1">
        <v>210</v>
      </c>
      <c r="B212" t="str">
        <f>HYPERLINK("https://bugs.eclipse.org/bugs/show_bug.cgi?id=8220", "8220")</f>
        <v>8220</v>
      </c>
      <c r="C212" t="s">
        <v>149</v>
      </c>
      <c r="D212" t="s">
        <v>10</v>
      </c>
      <c r="E212" t="s">
        <v>12</v>
      </c>
      <c r="F212" t="s">
        <v>26</v>
      </c>
      <c r="L212" t="s">
        <v>922</v>
      </c>
      <c r="N212" t="s">
        <v>922</v>
      </c>
      <c r="T212" t="s">
        <v>923</v>
      </c>
      <c r="U212" t="s">
        <v>922</v>
      </c>
      <c r="V212" t="s">
        <v>922</v>
      </c>
      <c r="W212" t="s">
        <v>134</v>
      </c>
      <c r="X212" t="s">
        <v>924</v>
      </c>
      <c r="Y212">
        <v>56</v>
      </c>
      <c r="Z212">
        <v>56</v>
      </c>
    </row>
    <row r="213" spans="1:26">
      <c r="A213" s="1">
        <v>211</v>
      </c>
      <c r="B213" t="str">
        <f>HYPERLINK("https://bugs.eclipse.org/bugs/show_bug.cgi?id=8221", "8221")</f>
        <v>8221</v>
      </c>
      <c r="C213" t="s">
        <v>35</v>
      </c>
      <c r="D213" t="s">
        <v>11</v>
      </c>
      <c r="E213" t="s">
        <v>12</v>
      </c>
      <c r="F213" t="s">
        <v>145</v>
      </c>
      <c r="L213" t="s">
        <v>925</v>
      </c>
      <c r="M213" t="s">
        <v>926</v>
      </c>
      <c r="N213" t="s">
        <v>925</v>
      </c>
      <c r="T213" t="s">
        <v>927</v>
      </c>
      <c r="U213" t="s">
        <v>928</v>
      </c>
      <c r="V213" t="s">
        <v>926</v>
      </c>
      <c r="W213" t="s">
        <v>143</v>
      </c>
      <c r="X213" t="s">
        <v>929</v>
      </c>
      <c r="Y213">
        <v>0</v>
      </c>
      <c r="Z213">
        <v>1</v>
      </c>
    </row>
    <row r="214" spans="1:26">
      <c r="A214" s="1">
        <v>212</v>
      </c>
      <c r="B214" t="str">
        <f>HYPERLINK("https://bugs.eclipse.org/bugs/show_bug.cgi?id=8321", "8321")</f>
        <v>8321</v>
      </c>
      <c r="C214" t="s">
        <v>35</v>
      </c>
      <c r="D214" t="s">
        <v>11</v>
      </c>
      <c r="E214" t="s">
        <v>12</v>
      </c>
      <c r="F214" t="s">
        <v>26</v>
      </c>
      <c r="L214" t="s">
        <v>930</v>
      </c>
      <c r="M214" t="s">
        <v>931</v>
      </c>
      <c r="N214" t="s">
        <v>930</v>
      </c>
      <c r="T214" t="s">
        <v>932</v>
      </c>
      <c r="U214" t="s">
        <v>933</v>
      </c>
      <c r="V214" t="s">
        <v>931</v>
      </c>
      <c r="W214" t="s">
        <v>40</v>
      </c>
      <c r="X214" t="s">
        <v>934</v>
      </c>
      <c r="Y214">
        <v>1</v>
      </c>
      <c r="Z214">
        <v>64</v>
      </c>
    </row>
    <row r="215" spans="1:26">
      <c r="A215" s="1">
        <v>213</v>
      </c>
      <c r="B215" t="str">
        <f>HYPERLINK("https://bugs.eclipse.org/bugs/show_bug.cgi?id=8356", "8356")</f>
        <v>8356</v>
      </c>
      <c r="C215" t="s">
        <v>56</v>
      </c>
      <c r="D215" t="s">
        <v>10</v>
      </c>
      <c r="E215" t="s">
        <v>14</v>
      </c>
      <c r="F215" t="s">
        <v>51</v>
      </c>
      <c r="L215" t="s">
        <v>935</v>
      </c>
      <c r="P215" t="s">
        <v>936</v>
      </c>
      <c r="S215" t="s">
        <v>937</v>
      </c>
      <c r="T215" t="s">
        <v>938</v>
      </c>
      <c r="U215" t="s">
        <v>939</v>
      </c>
      <c r="V215" t="s">
        <v>936</v>
      </c>
      <c r="W215" t="s">
        <v>80</v>
      </c>
      <c r="X215" t="s">
        <v>940</v>
      </c>
      <c r="Y215">
        <v>0</v>
      </c>
      <c r="Z215">
        <v>2774.958333333333</v>
      </c>
    </row>
    <row r="216" spans="1:26">
      <c r="A216" s="1">
        <v>214</v>
      </c>
      <c r="B216" t="str">
        <f>HYPERLINK("https://bugs.eclipse.org/bugs/show_bug.cgi?id=8357", "8357")</f>
        <v>8357</v>
      </c>
      <c r="C216" t="s">
        <v>149</v>
      </c>
      <c r="D216" t="s">
        <v>10</v>
      </c>
      <c r="E216" t="s">
        <v>12</v>
      </c>
      <c r="F216" t="s">
        <v>150</v>
      </c>
      <c r="L216" t="s">
        <v>941</v>
      </c>
      <c r="N216" t="s">
        <v>941</v>
      </c>
      <c r="T216" t="s">
        <v>942</v>
      </c>
      <c r="U216" t="s">
        <v>943</v>
      </c>
      <c r="V216" t="s">
        <v>941</v>
      </c>
      <c r="W216" t="s">
        <v>60</v>
      </c>
      <c r="X216" t="s">
        <v>944</v>
      </c>
      <c r="Y216">
        <v>0</v>
      </c>
      <c r="Z216">
        <v>48</v>
      </c>
    </row>
    <row r="217" spans="1:26">
      <c r="A217" s="1">
        <v>215</v>
      </c>
      <c r="B217" t="str">
        <f>HYPERLINK("https://bugs.eclipse.org/bugs/show_bug.cgi?id=8405", "8405")</f>
        <v>8405</v>
      </c>
      <c r="C217" t="s">
        <v>945</v>
      </c>
      <c r="D217" t="s">
        <v>10</v>
      </c>
      <c r="E217" t="s">
        <v>15</v>
      </c>
      <c r="F217" t="s">
        <v>150</v>
      </c>
      <c r="G217" t="s">
        <v>946</v>
      </c>
      <c r="H217" t="s">
        <v>947</v>
      </c>
      <c r="L217" t="s">
        <v>948</v>
      </c>
      <c r="Q217" t="s">
        <v>948</v>
      </c>
      <c r="S217" t="s">
        <v>949</v>
      </c>
      <c r="T217" t="s">
        <v>950</v>
      </c>
      <c r="U217" t="s">
        <v>951</v>
      </c>
      <c r="V217" t="s">
        <v>952</v>
      </c>
      <c r="W217" t="s">
        <v>953</v>
      </c>
      <c r="X217" t="s">
        <v>954</v>
      </c>
      <c r="Y217">
        <v>0</v>
      </c>
      <c r="Z217">
        <v>417</v>
      </c>
    </row>
    <row r="218" spans="1:26">
      <c r="A218" s="1">
        <v>216</v>
      </c>
      <c r="B218" t="str">
        <f>HYPERLINK("https://bugs.eclipse.org/bugs/show_bug.cgi?id=8573", "8573")</f>
        <v>8573</v>
      </c>
      <c r="C218" t="s">
        <v>88</v>
      </c>
      <c r="D218" t="s">
        <v>10</v>
      </c>
      <c r="E218" t="s">
        <v>13</v>
      </c>
      <c r="F218" t="s">
        <v>145</v>
      </c>
      <c r="L218" t="s">
        <v>955</v>
      </c>
      <c r="O218" t="s">
        <v>955</v>
      </c>
      <c r="T218" t="s">
        <v>956</v>
      </c>
      <c r="U218" t="s">
        <v>955</v>
      </c>
      <c r="V218" t="s">
        <v>955</v>
      </c>
      <c r="W218" t="s">
        <v>60</v>
      </c>
      <c r="X218" t="s">
        <v>957</v>
      </c>
      <c r="Y218">
        <v>1</v>
      </c>
      <c r="Z218">
        <v>1</v>
      </c>
    </row>
    <row r="219" spans="1:26">
      <c r="A219" s="1">
        <v>217</v>
      </c>
      <c r="B219" t="str">
        <f>HYPERLINK("https://bugs.eclipse.org/bugs/show_bug.cgi?id=8662", "8662")</f>
        <v>8662</v>
      </c>
      <c r="C219" t="s">
        <v>149</v>
      </c>
      <c r="D219" t="s">
        <v>10</v>
      </c>
      <c r="E219" t="s">
        <v>12</v>
      </c>
      <c r="F219" t="s">
        <v>150</v>
      </c>
      <c r="G219" t="s">
        <v>958</v>
      </c>
      <c r="L219" t="s">
        <v>959</v>
      </c>
      <c r="N219" t="s">
        <v>959</v>
      </c>
      <c r="T219" t="s">
        <v>960</v>
      </c>
      <c r="U219" t="s">
        <v>961</v>
      </c>
      <c r="V219" t="s">
        <v>959</v>
      </c>
      <c r="W219" t="s">
        <v>60</v>
      </c>
      <c r="X219" t="s">
        <v>962</v>
      </c>
      <c r="Y219">
        <v>0</v>
      </c>
      <c r="Z219">
        <v>71.958333333333329</v>
      </c>
    </row>
    <row r="220" spans="1:26">
      <c r="A220" s="1">
        <v>218</v>
      </c>
      <c r="B220" t="str">
        <f>HYPERLINK("https://bugs.eclipse.org/bugs/show_bug.cgi?id=8663", "8663")</f>
        <v>8663</v>
      </c>
      <c r="C220" t="s">
        <v>963</v>
      </c>
      <c r="D220" t="s">
        <v>10</v>
      </c>
      <c r="E220" t="s">
        <v>15</v>
      </c>
      <c r="F220" t="s">
        <v>26</v>
      </c>
      <c r="L220" t="s">
        <v>964</v>
      </c>
      <c r="Q220" t="s">
        <v>964</v>
      </c>
      <c r="T220" t="s">
        <v>965</v>
      </c>
      <c r="U220" t="s">
        <v>966</v>
      </c>
      <c r="V220" t="s">
        <v>964</v>
      </c>
      <c r="W220" t="s">
        <v>134</v>
      </c>
      <c r="X220" t="s">
        <v>967</v>
      </c>
      <c r="Y220">
        <v>1</v>
      </c>
      <c r="Z220">
        <v>101.9583333333333</v>
      </c>
    </row>
    <row r="221" spans="1:26">
      <c r="A221" s="1">
        <v>219</v>
      </c>
      <c r="B221" t="str">
        <f>HYPERLINK("https://bugs.eclipse.org/bugs/show_bug.cgi?id=8678", "8678")</f>
        <v>8678</v>
      </c>
      <c r="C221" t="s">
        <v>56</v>
      </c>
      <c r="D221" t="s">
        <v>10</v>
      </c>
      <c r="E221" t="s">
        <v>14</v>
      </c>
      <c r="F221" t="s">
        <v>26</v>
      </c>
      <c r="L221" t="s">
        <v>968</v>
      </c>
      <c r="P221" t="s">
        <v>968</v>
      </c>
      <c r="T221" t="s">
        <v>969</v>
      </c>
      <c r="U221" t="s">
        <v>970</v>
      </c>
      <c r="V221" t="s">
        <v>968</v>
      </c>
      <c r="W221" t="s">
        <v>86</v>
      </c>
      <c r="X221" t="s">
        <v>971</v>
      </c>
      <c r="Y221">
        <v>1</v>
      </c>
      <c r="Z221">
        <v>449.95833333333331</v>
      </c>
    </row>
    <row r="222" spans="1:26">
      <c r="A222" s="1">
        <v>220</v>
      </c>
      <c r="B222" t="str">
        <f>HYPERLINK("https://bugs.eclipse.org/bugs/show_bug.cgi?id=8717", "8717")</f>
        <v>8717</v>
      </c>
      <c r="C222" t="s">
        <v>149</v>
      </c>
      <c r="D222" t="s">
        <v>10</v>
      </c>
      <c r="E222" t="s">
        <v>12</v>
      </c>
      <c r="F222" t="s">
        <v>26</v>
      </c>
      <c r="L222" t="s">
        <v>972</v>
      </c>
      <c r="N222" t="s">
        <v>972</v>
      </c>
      <c r="T222" t="s">
        <v>973</v>
      </c>
      <c r="U222" t="s">
        <v>974</v>
      </c>
      <c r="V222" t="s">
        <v>972</v>
      </c>
      <c r="W222" t="s">
        <v>86</v>
      </c>
      <c r="X222" t="s">
        <v>975</v>
      </c>
      <c r="Y222">
        <v>1</v>
      </c>
      <c r="Z222">
        <v>14</v>
      </c>
    </row>
    <row r="223" spans="1:26">
      <c r="A223" s="1">
        <v>221</v>
      </c>
      <c r="B223" t="str">
        <f>HYPERLINK("https://bugs.eclipse.org/bugs/show_bug.cgi?id=8759", "8759")</f>
        <v>8759</v>
      </c>
      <c r="C223" t="s">
        <v>140</v>
      </c>
      <c r="D223" t="s">
        <v>10</v>
      </c>
      <c r="E223" t="s">
        <v>16</v>
      </c>
      <c r="F223" t="s">
        <v>26</v>
      </c>
      <c r="L223" t="s">
        <v>976</v>
      </c>
      <c r="R223" t="s">
        <v>976</v>
      </c>
      <c r="T223" t="s">
        <v>977</v>
      </c>
      <c r="U223" t="s">
        <v>978</v>
      </c>
      <c r="V223" t="s">
        <v>976</v>
      </c>
      <c r="W223" t="s">
        <v>86</v>
      </c>
      <c r="X223" t="s">
        <v>979</v>
      </c>
      <c r="Y223">
        <v>0</v>
      </c>
      <c r="Z223">
        <v>1</v>
      </c>
    </row>
    <row r="224" spans="1:26">
      <c r="A224" s="1">
        <v>222</v>
      </c>
      <c r="B224" t="str">
        <f>HYPERLINK("https://bugs.eclipse.org/bugs/show_bug.cgi?id=8843", "8843")</f>
        <v>8843</v>
      </c>
      <c r="C224" t="s">
        <v>980</v>
      </c>
      <c r="D224" t="s">
        <v>10</v>
      </c>
      <c r="E224" t="s">
        <v>15</v>
      </c>
      <c r="F224" t="s">
        <v>150</v>
      </c>
      <c r="L224" t="s">
        <v>981</v>
      </c>
      <c r="Q224" t="s">
        <v>981</v>
      </c>
      <c r="T224" t="s">
        <v>982</v>
      </c>
      <c r="U224" t="s">
        <v>983</v>
      </c>
      <c r="V224" t="s">
        <v>981</v>
      </c>
      <c r="W224" t="s">
        <v>60</v>
      </c>
      <c r="X224" t="s">
        <v>984</v>
      </c>
      <c r="Y224">
        <v>0</v>
      </c>
      <c r="Z224">
        <v>1</v>
      </c>
    </row>
    <row r="225" spans="1:26">
      <c r="A225" s="1">
        <v>223</v>
      </c>
      <c r="B225" t="str">
        <f>HYPERLINK("https://bugs.eclipse.org/bugs/show_bug.cgi?id=8908", "8908")</f>
        <v>8908</v>
      </c>
      <c r="C225" t="s">
        <v>56</v>
      </c>
      <c r="D225" t="s">
        <v>10</v>
      </c>
      <c r="E225" t="s">
        <v>14</v>
      </c>
      <c r="F225" t="s">
        <v>26</v>
      </c>
      <c r="L225" t="s">
        <v>985</v>
      </c>
      <c r="P225" t="s">
        <v>986</v>
      </c>
      <c r="T225" t="s">
        <v>987</v>
      </c>
      <c r="U225" t="s">
        <v>988</v>
      </c>
      <c r="V225" t="s">
        <v>986</v>
      </c>
      <c r="W225" t="s">
        <v>75</v>
      </c>
      <c r="X225" t="s">
        <v>989</v>
      </c>
      <c r="Y225">
        <v>0</v>
      </c>
      <c r="Z225">
        <v>2766.958333333333</v>
      </c>
    </row>
    <row r="226" spans="1:26">
      <c r="A226" s="1">
        <v>224</v>
      </c>
      <c r="B226" t="str">
        <f>HYPERLINK("https://bugs.eclipse.org/bugs/show_bug.cgi?id=8938", "8938")</f>
        <v>8938</v>
      </c>
      <c r="C226" t="s">
        <v>191</v>
      </c>
      <c r="D226" t="s">
        <v>192</v>
      </c>
      <c r="E226" t="s">
        <v>14</v>
      </c>
      <c r="F226" t="s">
        <v>26</v>
      </c>
      <c r="G226" t="s">
        <v>990</v>
      </c>
      <c r="L226" t="s">
        <v>569</v>
      </c>
      <c r="P226" t="s">
        <v>991</v>
      </c>
      <c r="T226" t="s">
        <v>992</v>
      </c>
      <c r="U226" t="s">
        <v>993</v>
      </c>
      <c r="V226" t="s">
        <v>991</v>
      </c>
      <c r="W226" t="s">
        <v>75</v>
      </c>
      <c r="X226" t="s">
        <v>994</v>
      </c>
      <c r="Y226">
        <v>98.958333333333329</v>
      </c>
      <c r="Z226">
        <v>2766.958333333333</v>
      </c>
    </row>
    <row r="227" spans="1:26">
      <c r="A227" s="1">
        <v>225</v>
      </c>
      <c r="B227" t="str">
        <f>HYPERLINK("https://bugs.eclipse.org/bugs/show_bug.cgi?id=9001", "9001")</f>
        <v>9001</v>
      </c>
      <c r="C227" t="s">
        <v>995</v>
      </c>
      <c r="D227" t="s">
        <v>192</v>
      </c>
      <c r="E227" t="s">
        <v>12</v>
      </c>
      <c r="F227" t="s">
        <v>150</v>
      </c>
      <c r="L227" t="s">
        <v>996</v>
      </c>
      <c r="N227" t="s">
        <v>996</v>
      </c>
      <c r="T227" t="s">
        <v>997</v>
      </c>
      <c r="U227" t="s">
        <v>998</v>
      </c>
      <c r="V227" t="s">
        <v>999</v>
      </c>
      <c r="W227" t="s">
        <v>1000</v>
      </c>
      <c r="X227" t="s">
        <v>1001</v>
      </c>
      <c r="Y227">
        <v>1</v>
      </c>
      <c r="Z227">
        <v>5</v>
      </c>
    </row>
    <row r="228" spans="1:26">
      <c r="A228" s="1">
        <v>226</v>
      </c>
      <c r="B228" t="str">
        <f>HYPERLINK("https://bugs.eclipse.org/bugs/show_bug.cgi?id=9043", "9043")</f>
        <v>9043</v>
      </c>
      <c r="C228" t="s">
        <v>35</v>
      </c>
      <c r="D228" t="s">
        <v>11</v>
      </c>
      <c r="E228" t="s">
        <v>12</v>
      </c>
      <c r="F228" t="s">
        <v>26</v>
      </c>
      <c r="L228" t="s">
        <v>1002</v>
      </c>
      <c r="M228" t="s">
        <v>1003</v>
      </c>
      <c r="N228" t="s">
        <v>1002</v>
      </c>
      <c r="T228" t="s">
        <v>1004</v>
      </c>
      <c r="U228" t="s">
        <v>1002</v>
      </c>
      <c r="V228" t="s">
        <v>1003</v>
      </c>
      <c r="W228" t="s">
        <v>40</v>
      </c>
      <c r="X228" t="s">
        <v>1005</v>
      </c>
      <c r="Y228">
        <v>2</v>
      </c>
      <c r="Z228">
        <v>52</v>
      </c>
    </row>
    <row r="229" spans="1:26">
      <c r="A229" s="1">
        <v>227</v>
      </c>
      <c r="B229" t="str">
        <f>HYPERLINK("https://bugs.eclipse.org/bugs/show_bug.cgi?id=9100", "9100")</f>
        <v>9100</v>
      </c>
      <c r="C229" t="s">
        <v>149</v>
      </c>
      <c r="D229" t="s">
        <v>10</v>
      </c>
      <c r="E229" t="s">
        <v>12</v>
      </c>
      <c r="F229" t="s">
        <v>26</v>
      </c>
      <c r="G229" t="s">
        <v>1006</v>
      </c>
      <c r="L229" t="s">
        <v>1007</v>
      </c>
      <c r="N229" t="s">
        <v>1007</v>
      </c>
      <c r="T229" t="s">
        <v>1008</v>
      </c>
      <c r="U229" t="s">
        <v>1009</v>
      </c>
      <c r="V229" t="s">
        <v>1007</v>
      </c>
      <c r="W229" t="s">
        <v>283</v>
      </c>
      <c r="X229" t="s">
        <v>1010</v>
      </c>
      <c r="Y229">
        <v>34</v>
      </c>
      <c r="Z229">
        <v>187.95833333333329</v>
      </c>
    </row>
    <row r="230" spans="1:26">
      <c r="A230" s="1">
        <v>228</v>
      </c>
      <c r="B230" t="str">
        <f>HYPERLINK("https://bugs.eclipse.org/bugs/show_bug.cgi?id=9147", "9147")</f>
        <v>9147</v>
      </c>
      <c r="C230" t="s">
        <v>140</v>
      </c>
      <c r="D230" t="s">
        <v>10</v>
      </c>
      <c r="E230" t="s">
        <v>16</v>
      </c>
      <c r="F230" t="s">
        <v>26</v>
      </c>
      <c r="L230" t="s">
        <v>1011</v>
      </c>
      <c r="R230" t="s">
        <v>1011</v>
      </c>
      <c r="T230" t="s">
        <v>1012</v>
      </c>
      <c r="U230" t="s">
        <v>1013</v>
      </c>
      <c r="V230" t="s">
        <v>1011</v>
      </c>
      <c r="W230" t="s">
        <v>60</v>
      </c>
      <c r="X230" t="s">
        <v>1014</v>
      </c>
      <c r="Y230">
        <v>1</v>
      </c>
      <c r="Z230">
        <v>2</v>
      </c>
    </row>
    <row r="231" spans="1:26">
      <c r="A231" s="1">
        <v>229</v>
      </c>
      <c r="B231" t="str">
        <f>HYPERLINK("https://bugs.eclipse.org/bugs/show_bug.cgi?id=9227", "9227")</f>
        <v>9227</v>
      </c>
      <c r="C231" t="s">
        <v>149</v>
      </c>
      <c r="D231" t="s">
        <v>10</v>
      </c>
      <c r="E231" t="s">
        <v>12</v>
      </c>
      <c r="F231" t="s">
        <v>26</v>
      </c>
      <c r="L231" t="s">
        <v>1015</v>
      </c>
      <c r="N231" t="s">
        <v>1015</v>
      </c>
      <c r="T231" t="s">
        <v>1016</v>
      </c>
      <c r="U231" t="s">
        <v>1017</v>
      </c>
      <c r="V231" t="s">
        <v>1015</v>
      </c>
      <c r="W231" t="s">
        <v>60</v>
      </c>
      <c r="X231" t="s">
        <v>1018</v>
      </c>
      <c r="Y231">
        <v>0</v>
      </c>
      <c r="Z231">
        <v>4</v>
      </c>
    </row>
    <row r="232" spans="1:26">
      <c r="A232" s="1">
        <v>230</v>
      </c>
      <c r="B232" t="str">
        <f>HYPERLINK("https://bugs.eclipse.org/bugs/show_bug.cgi?id=9265", "9265")</f>
        <v>9265</v>
      </c>
      <c r="C232" t="s">
        <v>149</v>
      </c>
      <c r="D232" t="s">
        <v>10</v>
      </c>
      <c r="E232" t="s">
        <v>12</v>
      </c>
      <c r="F232" t="s">
        <v>26</v>
      </c>
      <c r="L232" t="s">
        <v>1019</v>
      </c>
      <c r="N232" t="s">
        <v>1019</v>
      </c>
      <c r="T232" t="s">
        <v>1020</v>
      </c>
      <c r="U232" t="s">
        <v>1021</v>
      </c>
      <c r="V232" t="s">
        <v>1019</v>
      </c>
      <c r="W232" t="s">
        <v>86</v>
      </c>
      <c r="X232" t="s">
        <v>1022</v>
      </c>
      <c r="Y232">
        <v>0</v>
      </c>
      <c r="Z232">
        <v>84.958333333333329</v>
      </c>
    </row>
    <row r="233" spans="1:26">
      <c r="A233" s="1">
        <v>231</v>
      </c>
      <c r="B233" t="str">
        <f>HYPERLINK("https://bugs.eclipse.org/bugs/show_bug.cgi?id=9281", "9281")</f>
        <v>9281</v>
      </c>
      <c r="C233" t="s">
        <v>1023</v>
      </c>
      <c r="D233" t="s">
        <v>10</v>
      </c>
      <c r="E233" t="s">
        <v>15</v>
      </c>
      <c r="F233" t="s">
        <v>26</v>
      </c>
      <c r="L233" t="s">
        <v>1024</v>
      </c>
      <c r="Q233" t="s">
        <v>1024</v>
      </c>
      <c r="T233" t="s">
        <v>1025</v>
      </c>
      <c r="U233" t="s">
        <v>1026</v>
      </c>
      <c r="V233" t="s">
        <v>1024</v>
      </c>
      <c r="W233" t="s">
        <v>60</v>
      </c>
      <c r="X233" t="s">
        <v>1027</v>
      </c>
      <c r="Y233">
        <v>1</v>
      </c>
      <c r="Z233">
        <v>43</v>
      </c>
    </row>
    <row r="234" spans="1:26">
      <c r="A234" s="1">
        <v>232</v>
      </c>
      <c r="B234" t="str">
        <f>HYPERLINK("https://bugs.eclipse.org/bugs/show_bug.cgi?id=9286", "9286")</f>
        <v>9286</v>
      </c>
      <c r="C234" t="s">
        <v>56</v>
      </c>
      <c r="D234" t="s">
        <v>10</v>
      </c>
      <c r="E234" t="s">
        <v>14</v>
      </c>
      <c r="F234" t="s">
        <v>51</v>
      </c>
      <c r="L234" t="s">
        <v>1028</v>
      </c>
      <c r="P234" t="s">
        <v>1029</v>
      </c>
      <c r="T234" t="s">
        <v>1030</v>
      </c>
      <c r="U234" t="s">
        <v>1031</v>
      </c>
      <c r="V234" t="s">
        <v>1029</v>
      </c>
      <c r="W234" t="s">
        <v>80</v>
      </c>
      <c r="X234" t="s">
        <v>1032</v>
      </c>
      <c r="Y234">
        <v>4</v>
      </c>
      <c r="Z234">
        <v>2760.958333333333</v>
      </c>
    </row>
    <row r="235" spans="1:26">
      <c r="A235" s="1">
        <v>233</v>
      </c>
      <c r="B235" t="str">
        <f>HYPERLINK("https://bugs.eclipse.org/bugs/show_bug.cgi?id=9300", "9300")</f>
        <v>9300</v>
      </c>
      <c r="C235" t="s">
        <v>1033</v>
      </c>
      <c r="D235" t="s">
        <v>10</v>
      </c>
      <c r="E235" t="s">
        <v>15</v>
      </c>
      <c r="F235" t="s">
        <v>26</v>
      </c>
      <c r="L235" t="s">
        <v>844</v>
      </c>
      <c r="Q235" t="s">
        <v>844</v>
      </c>
      <c r="T235" t="s">
        <v>1034</v>
      </c>
      <c r="U235" t="s">
        <v>844</v>
      </c>
      <c r="V235" t="s">
        <v>844</v>
      </c>
      <c r="W235" t="s">
        <v>60</v>
      </c>
      <c r="X235" t="s">
        <v>1035</v>
      </c>
      <c r="Y235">
        <v>3</v>
      </c>
      <c r="Z235">
        <v>3</v>
      </c>
    </row>
    <row r="236" spans="1:26">
      <c r="A236" s="1">
        <v>234</v>
      </c>
      <c r="B236" t="str">
        <f>HYPERLINK("https://bugs.eclipse.org/bugs/show_bug.cgi?id=9378", "9378")</f>
        <v>9378</v>
      </c>
      <c r="C236" t="s">
        <v>149</v>
      </c>
      <c r="D236" t="s">
        <v>10</v>
      </c>
      <c r="E236" t="s">
        <v>12</v>
      </c>
      <c r="F236" t="s">
        <v>150</v>
      </c>
      <c r="L236" t="s">
        <v>1036</v>
      </c>
      <c r="N236" t="s">
        <v>1036</v>
      </c>
      <c r="T236" t="s">
        <v>1037</v>
      </c>
      <c r="U236" t="s">
        <v>1038</v>
      </c>
      <c r="V236" t="s">
        <v>1036</v>
      </c>
      <c r="W236" t="s">
        <v>86</v>
      </c>
      <c r="X236" t="s">
        <v>1039</v>
      </c>
      <c r="Y236">
        <v>0</v>
      </c>
      <c r="Z236">
        <v>3</v>
      </c>
    </row>
    <row r="237" spans="1:26">
      <c r="A237" s="1">
        <v>235</v>
      </c>
      <c r="B237" t="str">
        <f>HYPERLINK("https://bugs.eclipse.org/bugs/show_bug.cgi?id=9443", "9443")</f>
        <v>9443</v>
      </c>
      <c r="C237" t="s">
        <v>140</v>
      </c>
      <c r="D237" t="s">
        <v>10</v>
      </c>
      <c r="E237" t="s">
        <v>16</v>
      </c>
      <c r="F237" t="s">
        <v>26</v>
      </c>
      <c r="H237" t="s">
        <v>1040</v>
      </c>
      <c r="L237" t="s">
        <v>1041</v>
      </c>
      <c r="R237" t="s">
        <v>1041</v>
      </c>
      <c r="S237" t="s">
        <v>1042</v>
      </c>
      <c r="T237" t="s">
        <v>1043</v>
      </c>
      <c r="U237" t="s">
        <v>1044</v>
      </c>
      <c r="V237" t="s">
        <v>1041</v>
      </c>
      <c r="W237" t="s">
        <v>86</v>
      </c>
      <c r="X237" t="s">
        <v>1045</v>
      </c>
      <c r="Y237">
        <v>15</v>
      </c>
      <c r="Z237">
        <v>162.95833333333329</v>
      </c>
    </row>
    <row r="238" spans="1:26">
      <c r="A238" s="1">
        <v>236</v>
      </c>
      <c r="B238" t="str">
        <f>HYPERLINK("https://bugs.eclipse.org/bugs/show_bug.cgi?id=9448", "9448")</f>
        <v>9448</v>
      </c>
      <c r="C238" t="s">
        <v>149</v>
      </c>
      <c r="D238" t="s">
        <v>10</v>
      </c>
      <c r="E238" t="s">
        <v>12</v>
      </c>
      <c r="F238" t="s">
        <v>26</v>
      </c>
      <c r="L238" t="s">
        <v>1046</v>
      </c>
      <c r="N238" t="s">
        <v>1046</v>
      </c>
      <c r="S238" t="s">
        <v>1047</v>
      </c>
      <c r="T238" t="s">
        <v>1048</v>
      </c>
      <c r="U238" t="s">
        <v>1049</v>
      </c>
      <c r="V238" t="s">
        <v>1046</v>
      </c>
      <c r="W238" t="s">
        <v>86</v>
      </c>
      <c r="X238" t="s">
        <v>1050</v>
      </c>
      <c r="Y238">
        <v>40</v>
      </c>
      <c r="Z238">
        <v>182.95833333333329</v>
      </c>
    </row>
    <row r="239" spans="1:26">
      <c r="A239" s="1">
        <v>237</v>
      </c>
      <c r="B239" t="str">
        <f>HYPERLINK("https://bugs.eclipse.org/bugs/show_bug.cgi?id=9598", "9598")</f>
        <v>9598</v>
      </c>
      <c r="C239" t="s">
        <v>149</v>
      </c>
      <c r="D239" t="s">
        <v>10</v>
      </c>
      <c r="E239" t="s">
        <v>12</v>
      </c>
      <c r="F239" t="s">
        <v>51</v>
      </c>
      <c r="G239" t="s">
        <v>1051</v>
      </c>
      <c r="L239" t="s">
        <v>1052</v>
      </c>
      <c r="N239" t="s">
        <v>1052</v>
      </c>
      <c r="S239" t="s">
        <v>1053</v>
      </c>
      <c r="T239" t="s">
        <v>1054</v>
      </c>
      <c r="U239" t="s">
        <v>1055</v>
      </c>
      <c r="V239" t="s">
        <v>1052</v>
      </c>
      <c r="W239" t="s">
        <v>86</v>
      </c>
      <c r="X239" t="s">
        <v>1056</v>
      </c>
      <c r="Y239">
        <v>0</v>
      </c>
      <c r="Z239">
        <v>202.95833333333329</v>
      </c>
    </row>
    <row r="240" spans="1:26">
      <c r="A240" s="1">
        <v>238</v>
      </c>
      <c r="B240" t="str">
        <f>HYPERLINK("https://bugs.eclipse.org/bugs/show_bug.cgi?id=9619", "9619")</f>
        <v>9619</v>
      </c>
      <c r="C240" t="s">
        <v>149</v>
      </c>
      <c r="D240" t="s">
        <v>10</v>
      </c>
      <c r="E240" t="s">
        <v>12</v>
      </c>
      <c r="F240" t="s">
        <v>26</v>
      </c>
      <c r="L240" t="s">
        <v>1057</v>
      </c>
      <c r="N240" t="s">
        <v>1057</v>
      </c>
      <c r="S240" t="s">
        <v>1058</v>
      </c>
      <c r="T240" t="s">
        <v>1059</v>
      </c>
      <c r="U240" t="s">
        <v>1060</v>
      </c>
      <c r="V240" t="s">
        <v>1057</v>
      </c>
      <c r="W240" t="s">
        <v>60</v>
      </c>
      <c r="X240" t="s">
        <v>1061</v>
      </c>
      <c r="Y240">
        <v>0</v>
      </c>
      <c r="Z240">
        <v>70.958333333333329</v>
      </c>
    </row>
    <row r="241" spans="1:26">
      <c r="A241" s="1">
        <v>239</v>
      </c>
      <c r="B241" t="str">
        <f>HYPERLINK("https://bugs.eclipse.org/bugs/show_bug.cgi?id=9656", "9656")</f>
        <v>9656</v>
      </c>
      <c r="C241" t="s">
        <v>1062</v>
      </c>
      <c r="D241" t="s">
        <v>10</v>
      </c>
      <c r="E241" t="s">
        <v>15</v>
      </c>
      <c r="F241" t="s">
        <v>150</v>
      </c>
      <c r="L241" t="s">
        <v>1063</v>
      </c>
      <c r="Q241" t="s">
        <v>1063</v>
      </c>
      <c r="T241" t="s">
        <v>1064</v>
      </c>
      <c r="U241" t="s">
        <v>1065</v>
      </c>
      <c r="V241" t="s">
        <v>1063</v>
      </c>
      <c r="W241" t="s">
        <v>60</v>
      </c>
      <c r="X241" t="s">
        <v>1066</v>
      </c>
      <c r="Y241">
        <v>0</v>
      </c>
      <c r="Z241">
        <v>1</v>
      </c>
    </row>
    <row r="242" spans="1:26">
      <c r="A242" s="1">
        <v>240</v>
      </c>
      <c r="B242" t="str">
        <f>HYPERLINK("https://bugs.eclipse.org/bugs/show_bug.cgi?id=9666", "9666")</f>
        <v>9666</v>
      </c>
      <c r="C242" t="s">
        <v>149</v>
      </c>
      <c r="D242" t="s">
        <v>10</v>
      </c>
      <c r="E242" t="s">
        <v>12</v>
      </c>
      <c r="F242" t="s">
        <v>26</v>
      </c>
      <c r="L242" t="s">
        <v>1067</v>
      </c>
      <c r="N242" t="s">
        <v>1067</v>
      </c>
      <c r="T242" t="s">
        <v>1068</v>
      </c>
      <c r="U242" t="s">
        <v>1069</v>
      </c>
      <c r="V242" t="s">
        <v>1067</v>
      </c>
      <c r="W242" t="s">
        <v>143</v>
      </c>
      <c r="X242" t="s">
        <v>1070</v>
      </c>
      <c r="Y242">
        <v>0</v>
      </c>
      <c r="Z242">
        <v>13</v>
      </c>
    </row>
    <row r="243" spans="1:26">
      <c r="A243" s="1">
        <v>241</v>
      </c>
      <c r="B243" t="str">
        <f>HYPERLINK("https://bugs.eclipse.org/bugs/show_bug.cgi?id=9673", "9673")</f>
        <v>9673</v>
      </c>
      <c r="C243" t="s">
        <v>149</v>
      </c>
      <c r="D243" t="s">
        <v>10</v>
      </c>
      <c r="E243" t="s">
        <v>12</v>
      </c>
      <c r="F243" t="s">
        <v>145</v>
      </c>
      <c r="G243" t="s">
        <v>1071</v>
      </c>
      <c r="H243" t="s">
        <v>1072</v>
      </c>
      <c r="L243" t="s">
        <v>1073</v>
      </c>
      <c r="N243" t="s">
        <v>1073</v>
      </c>
      <c r="T243" t="s">
        <v>1074</v>
      </c>
      <c r="U243" t="s">
        <v>1075</v>
      </c>
      <c r="V243" t="s">
        <v>1076</v>
      </c>
      <c r="W243" t="s">
        <v>1077</v>
      </c>
      <c r="X243" t="s">
        <v>1078</v>
      </c>
      <c r="Y243">
        <v>0</v>
      </c>
      <c r="Z243">
        <v>479.95833333333331</v>
      </c>
    </row>
    <row r="244" spans="1:26">
      <c r="A244" s="1">
        <v>242</v>
      </c>
      <c r="B244" t="str">
        <f>HYPERLINK("https://bugs.eclipse.org/bugs/show_bug.cgi?id=9798", "9798")</f>
        <v>9798</v>
      </c>
      <c r="C244" t="s">
        <v>149</v>
      </c>
      <c r="D244" t="s">
        <v>10</v>
      </c>
      <c r="E244" t="s">
        <v>12</v>
      </c>
      <c r="F244" t="s">
        <v>26</v>
      </c>
      <c r="G244" t="s">
        <v>1079</v>
      </c>
      <c r="L244" t="s">
        <v>1080</v>
      </c>
      <c r="N244" t="s">
        <v>1080</v>
      </c>
      <c r="S244" t="s">
        <v>1081</v>
      </c>
      <c r="T244" t="s">
        <v>1082</v>
      </c>
      <c r="U244" t="s">
        <v>1083</v>
      </c>
      <c r="V244" t="s">
        <v>1084</v>
      </c>
      <c r="W244" t="s">
        <v>596</v>
      </c>
      <c r="X244" t="s">
        <v>1085</v>
      </c>
      <c r="Y244">
        <v>1</v>
      </c>
      <c r="Z244">
        <v>1168.958333333333</v>
      </c>
    </row>
    <row r="245" spans="1:26">
      <c r="A245" s="1">
        <v>243</v>
      </c>
      <c r="B245" t="str">
        <f>HYPERLINK("https://bugs.eclipse.org/bugs/show_bug.cgi?id=9815", "9815")</f>
        <v>9815</v>
      </c>
      <c r="C245" t="s">
        <v>149</v>
      </c>
      <c r="D245" t="s">
        <v>10</v>
      </c>
      <c r="E245" t="s">
        <v>12</v>
      </c>
      <c r="F245" t="s">
        <v>26</v>
      </c>
      <c r="L245" t="s">
        <v>1086</v>
      </c>
      <c r="N245" t="s">
        <v>1086</v>
      </c>
      <c r="T245" t="s">
        <v>1087</v>
      </c>
      <c r="U245" t="s">
        <v>1088</v>
      </c>
      <c r="V245" t="s">
        <v>1086</v>
      </c>
      <c r="W245" t="s">
        <v>86</v>
      </c>
      <c r="X245" t="s">
        <v>1089</v>
      </c>
      <c r="Y245">
        <v>0</v>
      </c>
      <c r="Z245">
        <v>25</v>
      </c>
    </row>
    <row r="246" spans="1:26">
      <c r="A246" s="1">
        <v>244</v>
      </c>
      <c r="B246" t="str">
        <f>HYPERLINK("https://bugs.eclipse.org/bugs/show_bug.cgi?id=9895", "9895")</f>
        <v>9895</v>
      </c>
      <c r="C246" t="s">
        <v>149</v>
      </c>
      <c r="D246" t="s">
        <v>10</v>
      </c>
      <c r="E246" t="s">
        <v>12</v>
      </c>
      <c r="F246" t="s">
        <v>26</v>
      </c>
      <c r="L246" t="s">
        <v>1090</v>
      </c>
      <c r="N246" t="s">
        <v>1090</v>
      </c>
      <c r="T246" t="s">
        <v>1091</v>
      </c>
      <c r="U246" t="s">
        <v>1090</v>
      </c>
      <c r="V246" t="s">
        <v>1090</v>
      </c>
      <c r="W246" t="s">
        <v>60</v>
      </c>
      <c r="X246" t="s">
        <v>1092</v>
      </c>
      <c r="Y246">
        <v>0</v>
      </c>
      <c r="Z246">
        <v>0</v>
      </c>
    </row>
    <row r="247" spans="1:26">
      <c r="A247" s="1">
        <v>245</v>
      </c>
      <c r="B247" t="str">
        <f>HYPERLINK("https://bugs.eclipse.org/bugs/show_bug.cgi?id=9899", "9899")</f>
        <v>9899</v>
      </c>
      <c r="C247" t="s">
        <v>149</v>
      </c>
      <c r="D247" t="s">
        <v>10</v>
      </c>
      <c r="E247" t="s">
        <v>12</v>
      </c>
      <c r="F247" t="s">
        <v>51</v>
      </c>
      <c r="L247" t="s">
        <v>1093</v>
      </c>
      <c r="N247" t="s">
        <v>1093</v>
      </c>
      <c r="S247" t="s">
        <v>1094</v>
      </c>
      <c r="T247" t="s">
        <v>1095</v>
      </c>
      <c r="U247" t="s">
        <v>1096</v>
      </c>
      <c r="V247" t="s">
        <v>1093</v>
      </c>
      <c r="W247" t="s">
        <v>60</v>
      </c>
      <c r="X247" t="s">
        <v>1097</v>
      </c>
      <c r="Y247">
        <v>18</v>
      </c>
      <c r="Z247">
        <v>369</v>
      </c>
    </row>
    <row r="248" spans="1:26">
      <c r="A248" s="1">
        <v>246</v>
      </c>
      <c r="B248" t="str">
        <f>HYPERLINK("https://bugs.eclipse.org/bugs/show_bug.cgi?id=10051", "10051")</f>
        <v>10051</v>
      </c>
      <c r="C248" t="s">
        <v>1098</v>
      </c>
      <c r="D248" t="s">
        <v>10</v>
      </c>
      <c r="E248" t="s">
        <v>15</v>
      </c>
      <c r="F248" t="s">
        <v>26</v>
      </c>
      <c r="L248" t="s">
        <v>1099</v>
      </c>
      <c r="Q248" t="s">
        <v>1099</v>
      </c>
      <c r="T248" t="s">
        <v>1100</v>
      </c>
      <c r="U248" t="s">
        <v>1101</v>
      </c>
      <c r="V248" t="s">
        <v>1099</v>
      </c>
      <c r="W248" t="s">
        <v>60</v>
      </c>
      <c r="X248" t="s">
        <v>1102</v>
      </c>
      <c r="Y248">
        <v>0</v>
      </c>
      <c r="Z248">
        <v>6</v>
      </c>
    </row>
    <row r="249" spans="1:26">
      <c r="A249" s="1">
        <v>247</v>
      </c>
      <c r="B249" t="str">
        <f>HYPERLINK("https://bugs.eclipse.org/bugs/show_bug.cgi?id=10094", "10094")</f>
        <v>10094</v>
      </c>
      <c r="C249" t="s">
        <v>140</v>
      </c>
      <c r="D249" t="s">
        <v>10</v>
      </c>
      <c r="E249" t="s">
        <v>16</v>
      </c>
      <c r="F249" t="s">
        <v>26</v>
      </c>
      <c r="L249" t="s">
        <v>1103</v>
      </c>
      <c r="R249" t="s">
        <v>1103</v>
      </c>
      <c r="T249" t="s">
        <v>1104</v>
      </c>
      <c r="U249" t="s">
        <v>1105</v>
      </c>
      <c r="V249" t="s">
        <v>1103</v>
      </c>
      <c r="W249" t="s">
        <v>60</v>
      </c>
      <c r="X249" t="s">
        <v>1106</v>
      </c>
      <c r="Y249">
        <v>5</v>
      </c>
      <c r="Z249">
        <v>5</v>
      </c>
    </row>
    <row r="250" spans="1:26">
      <c r="A250" s="1">
        <v>248</v>
      </c>
      <c r="B250" t="str">
        <f>HYPERLINK("https://bugs.eclipse.org/bugs/show_bug.cgi?id=10136", "10136")</f>
        <v>10136</v>
      </c>
      <c r="C250" t="s">
        <v>149</v>
      </c>
      <c r="D250" t="s">
        <v>10</v>
      </c>
      <c r="E250" t="s">
        <v>12</v>
      </c>
      <c r="F250" t="s">
        <v>145</v>
      </c>
      <c r="L250" t="s">
        <v>1107</v>
      </c>
      <c r="N250" t="s">
        <v>1107</v>
      </c>
      <c r="R250" t="s">
        <v>1108</v>
      </c>
      <c r="S250" t="s">
        <v>1109</v>
      </c>
      <c r="T250" t="s">
        <v>1110</v>
      </c>
      <c r="U250" t="s">
        <v>1108</v>
      </c>
      <c r="V250" t="s">
        <v>1107</v>
      </c>
      <c r="W250" t="s">
        <v>86</v>
      </c>
      <c r="X250" t="s">
        <v>1111</v>
      </c>
      <c r="Y250">
        <v>4</v>
      </c>
      <c r="Z250">
        <v>30</v>
      </c>
    </row>
    <row r="251" spans="1:26">
      <c r="A251" s="1">
        <v>249</v>
      </c>
      <c r="B251" t="str">
        <f>HYPERLINK("https://bugs.eclipse.org/bugs/show_bug.cgi?id=10137", "10137")</f>
        <v>10137</v>
      </c>
      <c r="C251" t="s">
        <v>1112</v>
      </c>
      <c r="D251" t="s">
        <v>10</v>
      </c>
      <c r="E251" t="s">
        <v>15</v>
      </c>
      <c r="F251" t="s">
        <v>26</v>
      </c>
      <c r="L251" t="s">
        <v>1113</v>
      </c>
      <c r="Q251" t="s">
        <v>1113</v>
      </c>
      <c r="T251" t="s">
        <v>1114</v>
      </c>
      <c r="U251" t="s">
        <v>1113</v>
      </c>
      <c r="V251" t="s">
        <v>1113</v>
      </c>
      <c r="W251" t="s">
        <v>60</v>
      </c>
      <c r="X251" t="s">
        <v>1115</v>
      </c>
      <c r="Y251">
        <v>4</v>
      </c>
      <c r="Z251">
        <v>4</v>
      </c>
    </row>
    <row r="252" spans="1:26">
      <c r="A252" s="1">
        <v>250</v>
      </c>
      <c r="B252" t="str">
        <f>HYPERLINK("https://bugs.eclipse.org/bugs/show_bug.cgi?id=10182", "10182")</f>
        <v>10182</v>
      </c>
      <c r="C252" t="s">
        <v>149</v>
      </c>
      <c r="D252" t="s">
        <v>10</v>
      </c>
      <c r="E252" t="s">
        <v>12</v>
      </c>
      <c r="F252" t="s">
        <v>145</v>
      </c>
      <c r="L252" t="s">
        <v>1116</v>
      </c>
      <c r="N252" t="s">
        <v>1116</v>
      </c>
      <c r="T252" t="s">
        <v>1117</v>
      </c>
      <c r="U252" t="s">
        <v>1118</v>
      </c>
      <c r="V252" t="s">
        <v>1116</v>
      </c>
      <c r="W252" t="s">
        <v>60</v>
      </c>
      <c r="X252" t="s">
        <v>1119</v>
      </c>
      <c r="Y252">
        <v>2</v>
      </c>
      <c r="Z252">
        <v>3</v>
      </c>
    </row>
    <row r="253" spans="1:26">
      <c r="A253" s="1">
        <v>251</v>
      </c>
      <c r="B253" t="str">
        <f>HYPERLINK("https://bugs.eclipse.org/bugs/show_bug.cgi?id=10339", "10339")</f>
        <v>10339</v>
      </c>
      <c r="C253" t="s">
        <v>149</v>
      </c>
      <c r="D253" t="s">
        <v>10</v>
      </c>
      <c r="E253" t="s">
        <v>12</v>
      </c>
      <c r="F253" t="s">
        <v>150</v>
      </c>
      <c r="L253" t="s">
        <v>1120</v>
      </c>
      <c r="N253" t="s">
        <v>1120</v>
      </c>
      <c r="T253" t="s">
        <v>1121</v>
      </c>
      <c r="U253" t="s">
        <v>1122</v>
      </c>
      <c r="V253" t="s">
        <v>1120</v>
      </c>
      <c r="W253" t="s">
        <v>60</v>
      </c>
      <c r="X253" t="s">
        <v>1123</v>
      </c>
      <c r="Y253">
        <v>1</v>
      </c>
      <c r="Z253">
        <v>14</v>
      </c>
    </row>
    <row r="254" spans="1:26">
      <c r="A254" s="1">
        <v>252</v>
      </c>
      <c r="B254" t="str">
        <f>HYPERLINK("https://bugs.eclipse.org/bugs/show_bug.cgi?id=10382", "10382")</f>
        <v>10382</v>
      </c>
      <c r="C254" t="s">
        <v>149</v>
      </c>
      <c r="D254" t="s">
        <v>10</v>
      </c>
      <c r="E254" t="s">
        <v>12</v>
      </c>
      <c r="F254" t="s">
        <v>145</v>
      </c>
      <c r="L254" t="s">
        <v>1124</v>
      </c>
      <c r="N254" t="s">
        <v>1124</v>
      </c>
      <c r="T254" t="s">
        <v>1125</v>
      </c>
      <c r="U254" t="s">
        <v>1126</v>
      </c>
      <c r="V254" t="s">
        <v>1124</v>
      </c>
      <c r="W254" t="s">
        <v>60</v>
      </c>
      <c r="X254" t="s">
        <v>1127</v>
      </c>
      <c r="Y254">
        <v>0</v>
      </c>
      <c r="Z254">
        <v>1</v>
      </c>
    </row>
    <row r="255" spans="1:26">
      <c r="A255" s="1">
        <v>253</v>
      </c>
      <c r="B255" t="str">
        <f>HYPERLINK("https://bugs.eclipse.org/bugs/show_bug.cgi?id=10406", "10406")</f>
        <v>10406</v>
      </c>
      <c r="C255" t="s">
        <v>149</v>
      </c>
      <c r="D255" t="s">
        <v>10</v>
      </c>
      <c r="E255" t="s">
        <v>12</v>
      </c>
      <c r="F255" t="s">
        <v>26</v>
      </c>
      <c r="L255" t="s">
        <v>1128</v>
      </c>
      <c r="N255" t="s">
        <v>1128</v>
      </c>
      <c r="T255" t="s">
        <v>1129</v>
      </c>
      <c r="U255" t="s">
        <v>1130</v>
      </c>
      <c r="V255" t="s">
        <v>1128</v>
      </c>
      <c r="W255" t="s">
        <v>134</v>
      </c>
      <c r="X255" t="s">
        <v>1131</v>
      </c>
      <c r="Y255">
        <v>1</v>
      </c>
      <c r="Z255">
        <v>357</v>
      </c>
    </row>
    <row r="256" spans="1:26">
      <c r="A256" s="1">
        <v>254</v>
      </c>
      <c r="B256" t="str">
        <f>HYPERLINK("https://bugs.eclipse.org/bugs/show_bug.cgi?id=10470", "10470")</f>
        <v>10470</v>
      </c>
      <c r="C256" t="s">
        <v>149</v>
      </c>
      <c r="D256" t="s">
        <v>10</v>
      </c>
      <c r="E256" t="s">
        <v>12</v>
      </c>
      <c r="F256" t="s">
        <v>145</v>
      </c>
      <c r="L256" t="s">
        <v>1132</v>
      </c>
      <c r="N256" t="s">
        <v>1132</v>
      </c>
      <c r="T256" t="s">
        <v>1133</v>
      </c>
      <c r="U256" t="s">
        <v>1134</v>
      </c>
      <c r="V256" t="s">
        <v>1132</v>
      </c>
      <c r="W256" t="s">
        <v>60</v>
      </c>
      <c r="X256" t="s">
        <v>1135</v>
      </c>
      <c r="Y256">
        <v>3</v>
      </c>
      <c r="Z256">
        <v>4</v>
      </c>
    </row>
    <row r="257" spans="1:26">
      <c r="A257" s="1">
        <v>255</v>
      </c>
      <c r="B257" t="str">
        <f>HYPERLINK("https://bugs.eclipse.org/bugs/show_bug.cgi?id=10555", "10555")</f>
        <v>10555</v>
      </c>
      <c r="C257" t="s">
        <v>140</v>
      </c>
      <c r="D257" t="s">
        <v>10</v>
      </c>
      <c r="E257" t="s">
        <v>16</v>
      </c>
      <c r="F257" t="s">
        <v>26</v>
      </c>
      <c r="G257" t="s">
        <v>1136</v>
      </c>
      <c r="L257" t="s">
        <v>1137</v>
      </c>
      <c r="R257" t="s">
        <v>1137</v>
      </c>
      <c r="S257" t="s">
        <v>1138</v>
      </c>
      <c r="T257" t="s">
        <v>1139</v>
      </c>
      <c r="U257" t="s">
        <v>1140</v>
      </c>
      <c r="V257" t="s">
        <v>1137</v>
      </c>
      <c r="W257" t="s">
        <v>86</v>
      </c>
      <c r="X257" t="s">
        <v>1141</v>
      </c>
      <c r="Y257">
        <v>4</v>
      </c>
      <c r="Z257">
        <v>144.95833333333329</v>
      </c>
    </row>
    <row r="258" spans="1:26">
      <c r="A258" s="1">
        <v>256</v>
      </c>
      <c r="B258" t="str">
        <f>HYPERLINK("https://bugs.eclipse.org/bugs/show_bug.cgi?id=10597", "10597")</f>
        <v>10597</v>
      </c>
      <c r="C258" t="s">
        <v>149</v>
      </c>
      <c r="D258" t="s">
        <v>10</v>
      </c>
      <c r="E258" t="s">
        <v>12</v>
      </c>
      <c r="F258" t="s">
        <v>150</v>
      </c>
      <c r="L258" t="s">
        <v>1142</v>
      </c>
      <c r="N258" t="s">
        <v>1142</v>
      </c>
      <c r="T258" t="s">
        <v>1143</v>
      </c>
      <c r="U258" t="s">
        <v>1144</v>
      </c>
      <c r="V258" t="s">
        <v>1142</v>
      </c>
      <c r="W258" t="s">
        <v>49</v>
      </c>
      <c r="X258" t="s">
        <v>1145</v>
      </c>
      <c r="Y258">
        <v>2</v>
      </c>
      <c r="Z258">
        <v>6</v>
      </c>
    </row>
    <row r="259" spans="1:26">
      <c r="A259" s="1">
        <v>257</v>
      </c>
      <c r="B259" t="str">
        <f>HYPERLINK("https://bugs.eclipse.org/bugs/show_bug.cgi?id=10601", "10601")</f>
        <v>10601</v>
      </c>
      <c r="C259" t="s">
        <v>149</v>
      </c>
      <c r="D259" t="s">
        <v>10</v>
      </c>
      <c r="E259" t="s">
        <v>12</v>
      </c>
      <c r="F259" t="s">
        <v>26</v>
      </c>
      <c r="L259" t="s">
        <v>1146</v>
      </c>
      <c r="N259" t="s">
        <v>1146</v>
      </c>
      <c r="T259" t="s">
        <v>1147</v>
      </c>
      <c r="U259" t="s">
        <v>1148</v>
      </c>
      <c r="V259" t="s">
        <v>1146</v>
      </c>
      <c r="W259" t="s">
        <v>60</v>
      </c>
      <c r="X259" t="s">
        <v>1149</v>
      </c>
      <c r="Y259">
        <v>2</v>
      </c>
      <c r="Z259">
        <v>4</v>
      </c>
    </row>
    <row r="260" spans="1:26">
      <c r="A260" s="1">
        <v>258</v>
      </c>
      <c r="B260" t="str">
        <f>HYPERLINK("https://bugs.eclipse.org/bugs/show_bug.cgi?id=10604", "10604")</f>
        <v>10604</v>
      </c>
      <c r="C260" t="s">
        <v>56</v>
      </c>
      <c r="D260" t="s">
        <v>10</v>
      </c>
      <c r="E260" t="s">
        <v>14</v>
      </c>
      <c r="F260" t="s">
        <v>26</v>
      </c>
      <c r="L260" t="s">
        <v>1150</v>
      </c>
      <c r="P260" t="s">
        <v>1151</v>
      </c>
      <c r="T260" t="s">
        <v>1152</v>
      </c>
      <c r="U260" t="s">
        <v>1153</v>
      </c>
      <c r="V260" t="s">
        <v>1151</v>
      </c>
      <c r="W260" t="s">
        <v>75</v>
      </c>
      <c r="X260" t="s">
        <v>1154</v>
      </c>
      <c r="Y260">
        <v>2</v>
      </c>
      <c r="Z260">
        <v>2738.958333333333</v>
      </c>
    </row>
    <row r="261" spans="1:26">
      <c r="A261" s="1">
        <v>259</v>
      </c>
      <c r="B261" t="str">
        <f>HYPERLINK("https://bugs.eclipse.org/bugs/show_bug.cgi?id=10605", "10605")</f>
        <v>10605</v>
      </c>
      <c r="C261" t="s">
        <v>25</v>
      </c>
      <c r="D261" t="s">
        <v>25</v>
      </c>
      <c r="F261" t="s">
        <v>26</v>
      </c>
      <c r="G261" t="s">
        <v>1155</v>
      </c>
      <c r="L261" t="s">
        <v>1156</v>
      </c>
      <c r="Q261" t="s">
        <v>1156</v>
      </c>
      <c r="S261" t="s">
        <v>1157</v>
      </c>
      <c r="T261" t="s">
        <v>1158</v>
      </c>
      <c r="U261" t="s">
        <v>1159</v>
      </c>
      <c r="V261" t="s">
        <v>1160</v>
      </c>
      <c r="W261" t="s">
        <v>1161</v>
      </c>
      <c r="X261" t="s">
        <v>1162</v>
      </c>
      <c r="Y261">
        <v>2</v>
      </c>
    </row>
    <row r="262" spans="1:26">
      <c r="A262" s="1">
        <v>260</v>
      </c>
      <c r="B262" t="str">
        <f>HYPERLINK("https://bugs.eclipse.org/bugs/show_bug.cgi?id=10655", "10655")</f>
        <v>10655</v>
      </c>
      <c r="C262" t="s">
        <v>56</v>
      </c>
      <c r="D262" t="s">
        <v>10</v>
      </c>
      <c r="E262" t="s">
        <v>14</v>
      </c>
      <c r="F262" t="s">
        <v>26</v>
      </c>
      <c r="L262" t="s">
        <v>1163</v>
      </c>
      <c r="P262" t="s">
        <v>1164</v>
      </c>
      <c r="T262" t="s">
        <v>1165</v>
      </c>
      <c r="U262" t="s">
        <v>1166</v>
      </c>
      <c r="V262" t="s">
        <v>1164</v>
      </c>
      <c r="W262" t="s">
        <v>75</v>
      </c>
      <c r="X262" t="s">
        <v>1167</v>
      </c>
      <c r="Y262">
        <v>0</v>
      </c>
      <c r="Z262">
        <v>2735.958333333333</v>
      </c>
    </row>
    <row r="263" spans="1:26">
      <c r="A263" s="1">
        <v>261</v>
      </c>
      <c r="B263" t="str">
        <f>HYPERLINK("https://bugs.eclipse.org/bugs/show_bug.cgi?id=10656", "10656")</f>
        <v>10656</v>
      </c>
      <c r="C263" t="s">
        <v>1168</v>
      </c>
      <c r="D263" t="s">
        <v>10</v>
      </c>
      <c r="E263" t="s">
        <v>15</v>
      </c>
      <c r="F263" t="s">
        <v>26</v>
      </c>
      <c r="G263" t="s">
        <v>1169</v>
      </c>
      <c r="L263" t="s">
        <v>1170</v>
      </c>
      <c r="P263" t="s">
        <v>1171</v>
      </c>
      <c r="Q263" t="s">
        <v>1170</v>
      </c>
      <c r="S263" t="s">
        <v>1172</v>
      </c>
      <c r="T263" t="s">
        <v>1173</v>
      </c>
      <c r="U263" t="s">
        <v>1174</v>
      </c>
      <c r="V263" t="s">
        <v>1170</v>
      </c>
      <c r="W263" t="s">
        <v>49</v>
      </c>
      <c r="X263" t="s">
        <v>1175</v>
      </c>
      <c r="Y263">
        <v>0</v>
      </c>
      <c r="Z263">
        <v>1934.958333333333</v>
      </c>
    </row>
    <row r="264" spans="1:26">
      <c r="A264" s="1">
        <v>262</v>
      </c>
      <c r="B264" t="str">
        <f>HYPERLINK("https://bugs.eclipse.org/bugs/show_bug.cgi?id=10657", "10657")</f>
        <v>10657</v>
      </c>
      <c r="C264" t="s">
        <v>149</v>
      </c>
      <c r="D264" t="s">
        <v>10</v>
      </c>
      <c r="E264" t="s">
        <v>12</v>
      </c>
      <c r="F264" t="s">
        <v>51</v>
      </c>
      <c r="G264" t="s">
        <v>1176</v>
      </c>
      <c r="L264" t="s">
        <v>1177</v>
      </c>
      <c r="N264" t="s">
        <v>1177</v>
      </c>
      <c r="S264" t="s">
        <v>1178</v>
      </c>
      <c r="T264" t="s">
        <v>1179</v>
      </c>
      <c r="U264" t="s">
        <v>1180</v>
      </c>
      <c r="V264" t="s">
        <v>1177</v>
      </c>
      <c r="W264" t="s">
        <v>86</v>
      </c>
      <c r="X264" t="s">
        <v>1181</v>
      </c>
      <c r="Y264">
        <v>0</v>
      </c>
      <c r="Z264">
        <v>345</v>
      </c>
    </row>
    <row r="265" spans="1:26">
      <c r="A265" s="1">
        <v>263</v>
      </c>
      <c r="B265" t="str">
        <f>HYPERLINK("https://bugs.eclipse.org/bugs/show_bug.cgi?id=10658", "10658")</f>
        <v>10658</v>
      </c>
      <c r="C265" t="s">
        <v>1182</v>
      </c>
      <c r="D265" t="s">
        <v>10</v>
      </c>
      <c r="E265" t="s">
        <v>15</v>
      </c>
      <c r="F265" t="s">
        <v>51</v>
      </c>
      <c r="L265" t="s">
        <v>1183</v>
      </c>
      <c r="Q265" t="s">
        <v>1183</v>
      </c>
      <c r="S265" t="s">
        <v>1184</v>
      </c>
      <c r="T265" t="s">
        <v>1185</v>
      </c>
      <c r="U265" t="s">
        <v>1186</v>
      </c>
      <c r="V265" t="s">
        <v>1183</v>
      </c>
      <c r="W265" t="s">
        <v>60</v>
      </c>
      <c r="X265" t="s">
        <v>1187</v>
      </c>
      <c r="Y265">
        <v>0</v>
      </c>
      <c r="Z265">
        <v>135.95833333333329</v>
      </c>
    </row>
    <row r="266" spans="1:26">
      <c r="A266" s="1">
        <v>264</v>
      </c>
      <c r="B266" t="str">
        <f>HYPERLINK("https://bugs.eclipse.org/bugs/show_bug.cgi?id=10659", "10659")</f>
        <v>10659</v>
      </c>
      <c r="C266" t="s">
        <v>149</v>
      </c>
      <c r="D266" t="s">
        <v>10</v>
      </c>
      <c r="E266" t="s">
        <v>12</v>
      </c>
      <c r="F266" t="s">
        <v>26</v>
      </c>
      <c r="L266" t="s">
        <v>1188</v>
      </c>
      <c r="N266" t="s">
        <v>1188</v>
      </c>
      <c r="T266" t="s">
        <v>1189</v>
      </c>
      <c r="U266" t="s">
        <v>1190</v>
      </c>
      <c r="V266" t="s">
        <v>1188</v>
      </c>
      <c r="W266" t="s">
        <v>60</v>
      </c>
      <c r="X266" t="s">
        <v>1191</v>
      </c>
      <c r="Y266">
        <v>0</v>
      </c>
      <c r="Z266">
        <v>355</v>
      </c>
    </row>
    <row r="267" spans="1:26">
      <c r="A267" s="1">
        <v>265</v>
      </c>
      <c r="B267" t="str">
        <f>HYPERLINK("https://bugs.eclipse.org/bugs/show_bug.cgi?id=10660", "10660")</f>
        <v>10660</v>
      </c>
      <c r="C267" t="s">
        <v>149</v>
      </c>
      <c r="D267" t="s">
        <v>10</v>
      </c>
      <c r="E267" t="s">
        <v>12</v>
      </c>
      <c r="F267" t="s">
        <v>51</v>
      </c>
      <c r="G267" t="s">
        <v>1192</v>
      </c>
      <c r="L267" t="s">
        <v>1193</v>
      </c>
      <c r="N267" t="s">
        <v>1193</v>
      </c>
      <c r="T267" t="s">
        <v>1194</v>
      </c>
      <c r="U267" t="s">
        <v>1195</v>
      </c>
      <c r="V267" t="s">
        <v>1193</v>
      </c>
      <c r="W267" t="s">
        <v>60</v>
      </c>
      <c r="X267" t="s">
        <v>1196</v>
      </c>
      <c r="Y267">
        <v>0</v>
      </c>
      <c r="Z267">
        <v>18</v>
      </c>
    </row>
    <row r="268" spans="1:26">
      <c r="A268" s="1">
        <v>266</v>
      </c>
      <c r="B268" t="str">
        <f>HYPERLINK("https://bugs.eclipse.org/bugs/show_bug.cgi?id=10661", "10661")</f>
        <v>10661</v>
      </c>
      <c r="C268" t="s">
        <v>149</v>
      </c>
      <c r="D268" t="s">
        <v>10</v>
      </c>
      <c r="E268" t="s">
        <v>12</v>
      </c>
      <c r="F268" t="s">
        <v>51</v>
      </c>
      <c r="L268" t="s">
        <v>1197</v>
      </c>
      <c r="N268" t="s">
        <v>1197</v>
      </c>
      <c r="T268" t="s">
        <v>1198</v>
      </c>
      <c r="U268" t="s">
        <v>1199</v>
      </c>
      <c r="V268" t="s">
        <v>1197</v>
      </c>
      <c r="W268" t="s">
        <v>60</v>
      </c>
      <c r="X268" t="s">
        <v>1200</v>
      </c>
      <c r="Y268">
        <v>0</v>
      </c>
      <c r="Z268">
        <v>10</v>
      </c>
    </row>
    <row r="269" spans="1:26">
      <c r="A269" s="1">
        <v>267</v>
      </c>
      <c r="B269" t="str">
        <f>HYPERLINK("https://bugs.eclipse.org/bugs/show_bug.cgi?id=10669", "10669")</f>
        <v>10669</v>
      </c>
      <c r="C269" t="s">
        <v>149</v>
      </c>
      <c r="D269" t="s">
        <v>10</v>
      </c>
      <c r="E269" t="s">
        <v>12</v>
      </c>
      <c r="F269" t="s">
        <v>150</v>
      </c>
      <c r="L269" t="s">
        <v>1201</v>
      </c>
      <c r="N269" t="s">
        <v>1201</v>
      </c>
      <c r="T269" t="s">
        <v>1202</v>
      </c>
      <c r="U269" t="s">
        <v>1203</v>
      </c>
      <c r="V269" t="s">
        <v>1201</v>
      </c>
      <c r="W269" t="s">
        <v>60</v>
      </c>
      <c r="X269" t="s">
        <v>1204</v>
      </c>
      <c r="Y269">
        <v>0</v>
      </c>
      <c r="Z269">
        <v>9</v>
      </c>
    </row>
    <row r="270" spans="1:26">
      <c r="A270" s="1">
        <v>268</v>
      </c>
      <c r="B270" t="str">
        <f>HYPERLINK("https://bugs.eclipse.org/bugs/show_bug.cgi?id=10677", "10677")</f>
        <v>10677</v>
      </c>
      <c r="C270" t="s">
        <v>1205</v>
      </c>
      <c r="D270" t="s">
        <v>10</v>
      </c>
      <c r="E270" t="s">
        <v>15</v>
      </c>
      <c r="F270" t="s">
        <v>26</v>
      </c>
      <c r="L270" t="s">
        <v>1206</v>
      </c>
      <c r="Q270" t="s">
        <v>1206</v>
      </c>
      <c r="T270" t="s">
        <v>1207</v>
      </c>
      <c r="U270" t="s">
        <v>1208</v>
      </c>
      <c r="V270" t="s">
        <v>1206</v>
      </c>
      <c r="W270" t="s">
        <v>134</v>
      </c>
      <c r="X270" t="s">
        <v>1209</v>
      </c>
      <c r="Y270">
        <v>0</v>
      </c>
      <c r="Z270">
        <v>60.958333333333343</v>
      </c>
    </row>
    <row r="271" spans="1:26">
      <c r="A271" s="1">
        <v>269</v>
      </c>
      <c r="B271" t="str">
        <f>HYPERLINK("https://bugs.eclipse.org/bugs/show_bug.cgi?id=10795", "10795")</f>
        <v>10795</v>
      </c>
      <c r="C271" t="s">
        <v>149</v>
      </c>
      <c r="D271" t="s">
        <v>10</v>
      </c>
      <c r="E271" t="s">
        <v>12</v>
      </c>
      <c r="F271" t="s">
        <v>150</v>
      </c>
      <c r="L271" t="s">
        <v>1210</v>
      </c>
      <c r="N271" t="s">
        <v>1210</v>
      </c>
      <c r="T271" t="s">
        <v>1211</v>
      </c>
      <c r="U271" t="s">
        <v>1212</v>
      </c>
      <c r="V271" t="s">
        <v>1210</v>
      </c>
      <c r="W271" t="s">
        <v>60</v>
      </c>
      <c r="X271" t="s">
        <v>1213</v>
      </c>
      <c r="Y271">
        <v>2</v>
      </c>
      <c r="Z271">
        <v>2</v>
      </c>
    </row>
    <row r="272" spans="1:26">
      <c r="A272" s="1">
        <v>270</v>
      </c>
      <c r="B272" t="str">
        <f>HYPERLINK("https://bugs.eclipse.org/bugs/show_bug.cgi?id=10858", "10858")</f>
        <v>10858</v>
      </c>
      <c r="C272" t="s">
        <v>56</v>
      </c>
      <c r="D272" t="s">
        <v>10</v>
      </c>
      <c r="E272" t="s">
        <v>14</v>
      </c>
      <c r="F272" t="s">
        <v>26</v>
      </c>
      <c r="L272" t="s">
        <v>1214</v>
      </c>
      <c r="P272" t="s">
        <v>1215</v>
      </c>
      <c r="Q272" t="s">
        <v>1216</v>
      </c>
      <c r="S272" t="s">
        <v>1217</v>
      </c>
      <c r="T272" t="s">
        <v>1218</v>
      </c>
      <c r="U272" t="s">
        <v>1219</v>
      </c>
      <c r="V272" t="s">
        <v>1215</v>
      </c>
      <c r="W272" t="s">
        <v>75</v>
      </c>
      <c r="X272" t="s">
        <v>1220</v>
      </c>
      <c r="Y272">
        <v>1</v>
      </c>
      <c r="Z272">
        <v>2733.958333333333</v>
      </c>
    </row>
    <row r="273" spans="1:26">
      <c r="A273" s="1">
        <v>271</v>
      </c>
      <c r="B273" t="str">
        <f>HYPERLINK("https://bugs.eclipse.org/bugs/show_bug.cgi?id=10885", "10885")</f>
        <v>10885</v>
      </c>
      <c r="C273" t="s">
        <v>149</v>
      </c>
      <c r="D273" t="s">
        <v>10</v>
      </c>
      <c r="E273" t="s">
        <v>12</v>
      </c>
      <c r="F273" t="s">
        <v>145</v>
      </c>
      <c r="L273" t="s">
        <v>1221</v>
      </c>
      <c r="N273" t="s">
        <v>1221</v>
      </c>
      <c r="T273" t="s">
        <v>1222</v>
      </c>
      <c r="U273" t="s">
        <v>1223</v>
      </c>
      <c r="V273" t="s">
        <v>1221</v>
      </c>
      <c r="W273" t="s">
        <v>1224</v>
      </c>
      <c r="X273" t="s">
        <v>1225</v>
      </c>
      <c r="Y273">
        <v>1</v>
      </c>
      <c r="Z273">
        <v>85.958333333333329</v>
      </c>
    </row>
    <row r="274" spans="1:26">
      <c r="A274" s="1">
        <v>272</v>
      </c>
      <c r="B274" t="str">
        <f>HYPERLINK("https://bugs.eclipse.org/bugs/show_bug.cgi?id=10888", "10888")</f>
        <v>10888</v>
      </c>
      <c r="C274" t="s">
        <v>149</v>
      </c>
      <c r="D274" t="s">
        <v>10</v>
      </c>
      <c r="E274" t="s">
        <v>12</v>
      </c>
      <c r="F274" t="s">
        <v>26</v>
      </c>
      <c r="G274" t="s">
        <v>1226</v>
      </c>
      <c r="L274" t="s">
        <v>1227</v>
      </c>
      <c r="N274" t="s">
        <v>1227</v>
      </c>
      <c r="T274" t="s">
        <v>1228</v>
      </c>
      <c r="U274" t="s">
        <v>1229</v>
      </c>
      <c r="V274" t="s">
        <v>1227</v>
      </c>
      <c r="W274" t="s">
        <v>60</v>
      </c>
      <c r="X274" t="s">
        <v>1230</v>
      </c>
      <c r="Y274">
        <v>1</v>
      </c>
      <c r="Z274">
        <v>21</v>
      </c>
    </row>
    <row r="275" spans="1:26">
      <c r="A275" s="1">
        <v>273</v>
      </c>
      <c r="B275" t="str">
        <f>HYPERLINK("https://bugs.eclipse.org/bugs/show_bug.cgi?id=10934", "10934")</f>
        <v>10934</v>
      </c>
      <c r="C275" t="s">
        <v>56</v>
      </c>
      <c r="D275" t="s">
        <v>10</v>
      </c>
      <c r="E275" t="s">
        <v>14</v>
      </c>
      <c r="F275" t="s">
        <v>26</v>
      </c>
      <c r="L275" t="s">
        <v>1231</v>
      </c>
      <c r="P275" t="s">
        <v>1231</v>
      </c>
      <c r="T275" t="s">
        <v>1232</v>
      </c>
      <c r="U275" t="s">
        <v>1233</v>
      </c>
      <c r="V275" t="s">
        <v>1231</v>
      </c>
      <c r="W275" t="s">
        <v>86</v>
      </c>
      <c r="X275" t="s">
        <v>1234</v>
      </c>
      <c r="Y275">
        <v>1</v>
      </c>
      <c r="Z275">
        <v>412.95833333333331</v>
      </c>
    </row>
    <row r="276" spans="1:26">
      <c r="A276" s="1">
        <v>274</v>
      </c>
      <c r="B276" t="str">
        <f>HYPERLINK("https://bugs.eclipse.org/bugs/show_bug.cgi?id=11014", "11014")</f>
        <v>11014</v>
      </c>
      <c r="C276" t="s">
        <v>1235</v>
      </c>
      <c r="D276" t="s">
        <v>10</v>
      </c>
      <c r="E276" t="s">
        <v>15</v>
      </c>
      <c r="F276" t="s">
        <v>26</v>
      </c>
      <c r="L276" t="s">
        <v>1236</v>
      </c>
      <c r="Q276" t="s">
        <v>1236</v>
      </c>
      <c r="T276" t="s">
        <v>1237</v>
      </c>
      <c r="U276" t="s">
        <v>1238</v>
      </c>
      <c r="V276" t="s">
        <v>1236</v>
      </c>
      <c r="W276" t="s">
        <v>60</v>
      </c>
      <c r="X276" t="s">
        <v>1239</v>
      </c>
      <c r="Y276">
        <v>0</v>
      </c>
      <c r="Z276">
        <v>3</v>
      </c>
    </row>
    <row r="277" spans="1:26">
      <c r="A277" s="1">
        <v>275</v>
      </c>
      <c r="B277" t="str">
        <f>HYPERLINK("https://bugs.eclipse.org/bugs/show_bug.cgi?id=11016", "11016")</f>
        <v>11016</v>
      </c>
      <c r="C277" t="s">
        <v>1240</v>
      </c>
      <c r="D277" t="s">
        <v>10</v>
      </c>
      <c r="E277" t="s">
        <v>15</v>
      </c>
      <c r="F277" t="s">
        <v>26</v>
      </c>
      <c r="L277" t="s">
        <v>1241</v>
      </c>
      <c r="Q277" t="s">
        <v>1241</v>
      </c>
      <c r="T277" t="s">
        <v>1242</v>
      </c>
      <c r="U277" t="s">
        <v>1243</v>
      </c>
      <c r="V277" t="s">
        <v>1241</v>
      </c>
      <c r="W277" t="s">
        <v>49</v>
      </c>
      <c r="X277" t="s">
        <v>1244</v>
      </c>
      <c r="Y277">
        <v>3</v>
      </c>
      <c r="Z277">
        <v>10</v>
      </c>
    </row>
    <row r="278" spans="1:26">
      <c r="A278" s="1">
        <v>276</v>
      </c>
      <c r="B278" t="str">
        <f>HYPERLINK("https://bugs.eclipse.org/bugs/show_bug.cgi?id=11068", "11068")</f>
        <v>11068</v>
      </c>
      <c r="C278" t="s">
        <v>140</v>
      </c>
      <c r="D278" t="s">
        <v>10</v>
      </c>
      <c r="E278" t="s">
        <v>16</v>
      </c>
      <c r="F278" t="s">
        <v>26</v>
      </c>
      <c r="L278" t="s">
        <v>1245</v>
      </c>
      <c r="R278" t="s">
        <v>1245</v>
      </c>
      <c r="T278" t="s">
        <v>1246</v>
      </c>
      <c r="U278" t="s">
        <v>1247</v>
      </c>
      <c r="V278" t="s">
        <v>1245</v>
      </c>
      <c r="W278" t="s">
        <v>86</v>
      </c>
      <c r="X278" t="s">
        <v>1248</v>
      </c>
      <c r="Y278">
        <v>1</v>
      </c>
      <c r="Z278">
        <v>410.95833333333331</v>
      </c>
    </row>
    <row r="279" spans="1:26">
      <c r="A279" s="1">
        <v>277</v>
      </c>
      <c r="B279" t="str">
        <f>HYPERLINK("https://bugs.eclipse.org/bugs/show_bug.cgi?id=11096", "11096")</f>
        <v>11096</v>
      </c>
      <c r="C279" t="s">
        <v>56</v>
      </c>
      <c r="D279" t="s">
        <v>10</v>
      </c>
      <c r="E279" t="s">
        <v>14</v>
      </c>
      <c r="F279" t="s">
        <v>26</v>
      </c>
      <c r="L279" t="s">
        <v>1249</v>
      </c>
      <c r="P279" t="s">
        <v>1250</v>
      </c>
      <c r="T279" t="s">
        <v>1251</v>
      </c>
      <c r="U279" t="s">
        <v>1252</v>
      </c>
      <c r="V279" t="s">
        <v>1250</v>
      </c>
      <c r="W279" t="s">
        <v>75</v>
      </c>
      <c r="X279" t="s">
        <v>1253</v>
      </c>
      <c r="Y279">
        <v>0</v>
      </c>
      <c r="Z279">
        <v>2728.958333333333</v>
      </c>
    </row>
    <row r="280" spans="1:26">
      <c r="A280" s="1">
        <v>278</v>
      </c>
      <c r="B280" t="str">
        <f>HYPERLINK("https://bugs.eclipse.org/bugs/show_bug.cgi?id=11167", "11167")</f>
        <v>11167</v>
      </c>
      <c r="C280" t="s">
        <v>149</v>
      </c>
      <c r="D280" t="s">
        <v>10</v>
      </c>
      <c r="E280" t="s">
        <v>12</v>
      </c>
      <c r="F280" t="s">
        <v>26</v>
      </c>
      <c r="L280" t="s">
        <v>1254</v>
      </c>
      <c r="N280" t="s">
        <v>1254</v>
      </c>
      <c r="T280" t="s">
        <v>1255</v>
      </c>
      <c r="U280" t="s">
        <v>1256</v>
      </c>
      <c r="V280" t="s">
        <v>1254</v>
      </c>
      <c r="W280" t="s">
        <v>134</v>
      </c>
      <c r="X280" t="s">
        <v>1257</v>
      </c>
      <c r="Y280">
        <v>0</v>
      </c>
      <c r="Z280">
        <v>32.958333333333343</v>
      </c>
    </row>
    <row r="281" spans="1:26">
      <c r="A281" s="1">
        <v>279</v>
      </c>
      <c r="B281" t="str">
        <f>HYPERLINK("https://bugs.eclipse.org/bugs/show_bug.cgi?id=11219", "11219")</f>
        <v>11219</v>
      </c>
      <c r="C281" t="s">
        <v>140</v>
      </c>
      <c r="D281" t="s">
        <v>10</v>
      </c>
      <c r="E281" t="s">
        <v>16</v>
      </c>
      <c r="F281" t="s">
        <v>150</v>
      </c>
      <c r="L281" t="s">
        <v>1258</v>
      </c>
      <c r="R281" t="s">
        <v>1258</v>
      </c>
      <c r="T281" t="s">
        <v>1259</v>
      </c>
      <c r="U281" t="s">
        <v>1260</v>
      </c>
      <c r="V281" t="s">
        <v>1258</v>
      </c>
      <c r="W281" t="s">
        <v>86</v>
      </c>
      <c r="X281" t="s">
        <v>1261</v>
      </c>
      <c r="Y281">
        <v>7</v>
      </c>
      <c r="Z281">
        <v>36.958333333333343</v>
      </c>
    </row>
    <row r="282" spans="1:26">
      <c r="A282" s="1">
        <v>280</v>
      </c>
      <c r="B282" t="str">
        <f>HYPERLINK("https://bugs.eclipse.org/bugs/show_bug.cgi?id=11222", "11222")</f>
        <v>11222</v>
      </c>
      <c r="C282" t="s">
        <v>56</v>
      </c>
      <c r="D282" t="s">
        <v>10</v>
      </c>
      <c r="E282" t="s">
        <v>14</v>
      </c>
      <c r="F282" t="s">
        <v>26</v>
      </c>
      <c r="L282" t="s">
        <v>1262</v>
      </c>
      <c r="P282" t="s">
        <v>1262</v>
      </c>
      <c r="T282" t="s">
        <v>1263</v>
      </c>
      <c r="U282" t="s">
        <v>1262</v>
      </c>
      <c r="V282" t="s">
        <v>1262</v>
      </c>
      <c r="W282" t="s">
        <v>1264</v>
      </c>
      <c r="X282" t="s">
        <v>1265</v>
      </c>
      <c r="Y282">
        <v>7</v>
      </c>
      <c r="Z282">
        <v>7</v>
      </c>
    </row>
    <row r="283" spans="1:26">
      <c r="A283" s="1">
        <v>281</v>
      </c>
      <c r="B283" t="str">
        <f>HYPERLINK("https://bugs.eclipse.org/bugs/show_bug.cgi?id=11223", "11223")</f>
        <v>11223</v>
      </c>
      <c r="C283" t="s">
        <v>56</v>
      </c>
      <c r="D283" t="s">
        <v>10</v>
      </c>
      <c r="E283" t="s">
        <v>14</v>
      </c>
      <c r="F283" t="s">
        <v>26</v>
      </c>
      <c r="L283" t="s">
        <v>1266</v>
      </c>
      <c r="P283" t="s">
        <v>1266</v>
      </c>
      <c r="T283" t="s">
        <v>1267</v>
      </c>
      <c r="U283" t="s">
        <v>1266</v>
      </c>
      <c r="V283" t="s">
        <v>1266</v>
      </c>
      <c r="W283" t="s">
        <v>1264</v>
      </c>
      <c r="X283" t="s">
        <v>1268</v>
      </c>
      <c r="Y283">
        <v>7</v>
      </c>
      <c r="Z283">
        <v>7</v>
      </c>
    </row>
    <row r="284" spans="1:26">
      <c r="A284" s="1">
        <v>282</v>
      </c>
      <c r="B284" t="str">
        <f>HYPERLINK("https://bugs.eclipse.org/bugs/show_bug.cgi?id=11226", "11226")</f>
        <v>11226</v>
      </c>
      <c r="C284" t="s">
        <v>56</v>
      </c>
      <c r="D284" t="s">
        <v>10</v>
      </c>
      <c r="E284" t="s">
        <v>14</v>
      </c>
      <c r="F284" t="s">
        <v>150</v>
      </c>
      <c r="L284" t="s">
        <v>1269</v>
      </c>
      <c r="P284" t="s">
        <v>1269</v>
      </c>
      <c r="T284" t="s">
        <v>1270</v>
      </c>
      <c r="U284" t="s">
        <v>1271</v>
      </c>
      <c r="V284" t="s">
        <v>1269</v>
      </c>
      <c r="W284" t="s">
        <v>49</v>
      </c>
      <c r="X284" t="s">
        <v>1272</v>
      </c>
      <c r="Y284">
        <v>31.958333333333329</v>
      </c>
      <c r="Z284">
        <v>32.958333333333343</v>
      </c>
    </row>
    <row r="285" spans="1:26">
      <c r="A285" s="1">
        <v>283</v>
      </c>
      <c r="B285" t="str">
        <f>HYPERLINK("https://bugs.eclipse.org/bugs/show_bug.cgi?id=11273", "11273")</f>
        <v>11273</v>
      </c>
      <c r="C285" t="s">
        <v>149</v>
      </c>
      <c r="D285" t="s">
        <v>10</v>
      </c>
      <c r="E285" t="s">
        <v>12</v>
      </c>
      <c r="F285" t="s">
        <v>150</v>
      </c>
      <c r="L285" t="s">
        <v>1273</v>
      </c>
      <c r="N285" t="s">
        <v>1273</v>
      </c>
      <c r="T285" t="s">
        <v>1274</v>
      </c>
      <c r="U285" t="s">
        <v>1275</v>
      </c>
      <c r="V285" t="s">
        <v>1273</v>
      </c>
      <c r="W285" t="s">
        <v>86</v>
      </c>
      <c r="X285" t="s">
        <v>1276</v>
      </c>
      <c r="Y285">
        <v>6</v>
      </c>
      <c r="Z285">
        <v>50.958333333333343</v>
      </c>
    </row>
    <row r="286" spans="1:26">
      <c r="A286" s="1">
        <v>284</v>
      </c>
      <c r="B286" t="str">
        <f>HYPERLINK("https://bugs.eclipse.org/bugs/show_bug.cgi?id=11334", "11334")</f>
        <v>11334</v>
      </c>
      <c r="C286" t="s">
        <v>56</v>
      </c>
      <c r="D286" t="s">
        <v>10</v>
      </c>
      <c r="E286" t="s">
        <v>14</v>
      </c>
      <c r="F286" t="s">
        <v>51</v>
      </c>
      <c r="G286" t="s">
        <v>1277</v>
      </c>
      <c r="L286" t="s">
        <v>1278</v>
      </c>
      <c r="P286" t="s">
        <v>1278</v>
      </c>
      <c r="S286" t="s">
        <v>1279</v>
      </c>
      <c r="T286" t="s">
        <v>1280</v>
      </c>
      <c r="U286" t="s">
        <v>1281</v>
      </c>
      <c r="V286" t="s">
        <v>1282</v>
      </c>
      <c r="W286" t="s">
        <v>86</v>
      </c>
      <c r="X286" t="s">
        <v>1283</v>
      </c>
      <c r="Y286">
        <v>6</v>
      </c>
      <c r="Z286">
        <v>237</v>
      </c>
    </row>
    <row r="287" spans="1:26">
      <c r="A287" s="1">
        <v>285</v>
      </c>
      <c r="B287" t="str">
        <f>HYPERLINK("https://bugs.eclipse.org/bugs/show_bug.cgi?id=11360", "11360")</f>
        <v>11360</v>
      </c>
      <c r="C287" t="s">
        <v>149</v>
      </c>
      <c r="D287" t="s">
        <v>10</v>
      </c>
      <c r="E287" t="s">
        <v>12</v>
      </c>
      <c r="F287" t="s">
        <v>26</v>
      </c>
      <c r="H287" t="s">
        <v>1284</v>
      </c>
      <c r="L287" t="s">
        <v>1285</v>
      </c>
      <c r="N287" t="s">
        <v>1285</v>
      </c>
      <c r="T287" t="s">
        <v>1286</v>
      </c>
      <c r="U287" t="s">
        <v>1287</v>
      </c>
      <c r="V287" t="s">
        <v>1285</v>
      </c>
      <c r="W287" t="s">
        <v>147</v>
      </c>
      <c r="X287" t="s">
        <v>1288</v>
      </c>
      <c r="Y287">
        <v>0</v>
      </c>
      <c r="Z287">
        <v>82.958333333333329</v>
      </c>
    </row>
    <row r="288" spans="1:26">
      <c r="A288" s="1">
        <v>286</v>
      </c>
      <c r="B288" t="str">
        <f>HYPERLINK("https://bugs.eclipse.org/bugs/show_bug.cgi?id=11397", "11397")</f>
        <v>11397</v>
      </c>
      <c r="C288" t="s">
        <v>1289</v>
      </c>
      <c r="D288" t="s">
        <v>10</v>
      </c>
      <c r="E288" t="s">
        <v>15</v>
      </c>
      <c r="F288" t="s">
        <v>26</v>
      </c>
      <c r="L288" t="s">
        <v>1290</v>
      </c>
      <c r="Q288" t="s">
        <v>1290</v>
      </c>
      <c r="T288" t="s">
        <v>1291</v>
      </c>
      <c r="U288" t="s">
        <v>1290</v>
      </c>
      <c r="V288" t="s">
        <v>1290</v>
      </c>
      <c r="W288" t="s">
        <v>86</v>
      </c>
      <c r="X288" t="s">
        <v>1292</v>
      </c>
      <c r="Y288">
        <v>1</v>
      </c>
      <c r="Z288">
        <v>1</v>
      </c>
    </row>
    <row r="289" spans="1:26">
      <c r="A289" s="1">
        <v>287</v>
      </c>
      <c r="B289" t="str">
        <f>HYPERLINK("https://bugs.eclipse.org/bugs/show_bug.cgi?id=11424", "11424")</f>
        <v>11424</v>
      </c>
      <c r="C289" t="s">
        <v>35</v>
      </c>
      <c r="D289" t="s">
        <v>11</v>
      </c>
      <c r="E289" t="s">
        <v>12</v>
      </c>
      <c r="F289" t="s">
        <v>145</v>
      </c>
      <c r="L289" t="s">
        <v>1293</v>
      </c>
      <c r="M289" t="s">
        <v>1294</v>
      </c>
      <c r="N289" t="s">
        <v>1293</v>
      </c>
      <c r="T289" t="s">
        <v>1295</v>
      </c>
      <c r="U289" t="s">
        <v>1296</v>
      </c>
      <c r="V289" t="s">
        <v>1294</v>
      </c>
      <c r="W289" t="s">
        <v>40</v>
      </c>
      <c r="X289" t="s">
        <v>1297</v>
      </c>
      <c r="Y289">
        <v>1</v>
      </c>
      <c r="Z289">
        <v>14</v>
      </c>
    </row>
    <row r="290" spans="1:26">
      <c r="A290" s="1">
        <v>288</v>
      </c>
      <c r="B290" t="str">
        <f>HYPERLINK("https://bugs.eclipse.org/bugs/show_bug.cgi?id=11441", "11441")</f>
        <v>11441</v>
      </c>
      <c r="C290" t="s">
        <v>149</v>
      </c>
      <c r="D290" t="s">
        <v>10</v>
      </c>
      <c r="E290" t="s">
        <v>12</v>
      </c>
      <c r="F290" t="s">
        <v>26</v>
      </c>
      <c r="G290" t="s">
        <v>1298</v>
      </c>
      <c r="L290" t="s">
        <v>1299</v>
      </c>
      <c r="N290" t="s">
        <v>1299</v>
      </c>
      <c r="T290" t="s">
        <v>1300</v>
      </c>
      <c r="U290" t="s">
        <v>1301</v>
      </c>
      <c r="V290" t="s">
        <v>1302</v>
      </c>
      <c r="W290" t="s">
        <v>60</v>
      </c>
      <c r="X290" t="s">
        <v>1303</v>
      </c>
      <c r="Y290">
        <v>0</v>
      </c>
      <c r="Z290">
        <v>4</v>
      </c>
    </row>
    <row r="291" spans="1:26">
      <c r="A291" s="1">
        <v>289</v>
      </c>
      <c r="B291" t="str">
        <f>HYPERLINK("https://bugs.eclipse.org/bugs/show_bug.cgi?id=11452", "11452")</f>
        <v>11452</v>
      </c>
      <c r="C291" t="s">
        <v>149</v>
      </c>
      <c r="D291" t="s">
        <v>10</v>
      </c>
      <c r="E291" t="s">
        <v>12</v>
      </c>
      <c r="F291" t="s">
        <v>26</v>
      </c>
      <c r="G291" t="s">
        <v>1304</v>
      </c>
      <c r="L291" t="s">
        <v>1305</v>
      </c>
      <c r="N291" t="s">
        <v>1305</v>
      </c>
      <c r="S291" t="s">
        <v>1306</v>
      </c>
      <c r="T291" t="s">
        <v>1307</v>
      </c>
      <c r="U291" t="s">
        <v>1308</v>
      </c>
      <c r="V291" t="s">
        <v>1305</v>
      </c>
      <c r="W291" t="s">
        <v>86</v>
      </c>
      <c r="X291" t="s">
        <v>1309</v>
      </c>
      <c r="Y291">
        <v>0</v>
      </c>
      <c r="Z291">
        <v>499.95833333333331</v>
      </c>
    </row>
    <row r="292" spans="1:26">
      <c r="A292" s="1">
        <v>290</v>
      </c>
      <c r="B292" t="str">
        <f>HYPERLINK("https://bugs.eclipse.org/bugs/show_bug.cgi?id=11519", "11519")</f>
        <v>11519</v>
      </c>
      <c r="C292" t="s">
        <v>140</v>
      </c>
      <c r="D292" t="s">
        <v>10</v>
      </c>
      <c r="E292" t="s">
        <v>16</v>
      </c>
      <c r="F292" t="s">
        <v>150</v>
      </c>
      <c r="L292" t="s">
        <v>1310</v>
      </c>
      <c r="R292" t="s">
        <v>1310</v>
      </c>
      <c r="T292" t="s">
        <v>1311</v>
      </c>
      <c r="U292" t="s">
        <v>1312</v>
      </c>
      <c r="V292" t="s">
        <v>1310</v>
      </c>
      <c r="W292" t="s">
        <v>60</v>
      </c>
      <c r="X292" t="s">
        <v>1313</v>
      </c>
      <c r="Y292">
        <v>0</v>
      </c>
      <c r="Z292">
        <v>3</v>
      </c>
    </row>
    <row r="293" spans="1:26">
      <c r="A293" s="1">
        <v>291</v>
      </c>
      <c r="B293" t="str">
        <f>HYPERLINK("https://bugs.eclipse.org/bugs/show_bug.cgi?id=11535", "11535")</f>
        <v>11535</v>
      </c>
      <c r="C293" t="s">
        <v>88</v>
      </c>
      <c r="D293" t="s">
        <v>10</v>
      </c>
      <c r="E293" t="s">
        <v>13</v>
      </c>
      <c r="F293" t="s">
        <v>26</v>
      </c>
      <c r="L293" t="s">
        <v>1314</v>
      </c>
      <c r="O293" t="s">
        <v>1314</v>
      </c>
      <c r="T293" t="s">
        <v>1315</v>
      </c>
      <c r="U293" t="s">
        <v>1316</v>
      </c>
      <c r="V293" t="s">
        <v>1314</v>
      </c>
      <c r="W293" t="s">
        <v>60</v>
      </c>
      <c r="X293" t="s">
        <v>1317</v>
      </c>
      <c r="Y293">
        <v>0</v>
      </c>
      <c r="Z293">
        <v>4</v>
      </c>
    </row>
    <row r="294" spans="1:26">
      <c r="A294" s="1">
        <v>292</v>
      </c>
      <c r="B294" t="str">
        <f>HYPERLINK("https://bugs.eclipse.org/bugs/show_bug.cgi?id=11537", "11537")</f>
        <v>11537</v>
      </c>
      <c r="C294" t="s">
        <v>149</v>
      </c>
      <c r="D294" t="s">
        <v>10</v>
      </c>
      <c r="E294" t="s">
        <v>12</v>
      </c>
      <c r="F294" t="s">
        <v>150</v>
      </c>
      <c r="L294" t="s">
        <v>1318</v>
      </c>
      <c r="N294" t="s">
        <v>1318</v>
      </c>
      <c r="T294" t="s">
        <v>1319</v>
      </c>
      <c r="U294" t="s">
        <v>1320</v>
      </c>
      <c r="V294" t="s">
        <v>1318</v>
      </c>
      <c r="W294" t="s">
        <v>60</v>
      </c>
      <c r="X294" t="s">
        <v>1321</v>
      </c>
      <c r="Y294">
        <v>0</v>
      </c>
      <c r="Z294">
        <v>1</v>
      </c>
    </row>
    <row r="295" spans="1:26">
      <c r="A295" s="1">
        <v>293</v>
      </c>
      <c r="B295" t="str">
        <f>HYPERLINK("https://bugs.eclipse.org/bugs/show_bug.cgi?id=11571", "11571")</f>
        <v>11571</v>
      </c>
      <c r="C295" t="s">
        <v>1322</v>
      </c>
      <c r="D295" t="s">
        <v>10</v>
      </c>
      <c r="E295" t="s">
        <v>15</v>
      </c>
      <c r="F295" t="s">
        <v>150</v>
      </c>
      <c r="L295" t="s">
        <v>1323</v>
      </c>
      <c r="Q295" t="s">
        <v>1323</v>
      </c>
      <c r="T295" t="s">
        <v>1324</v>
      </c>
      <c r="U295" t="s">
        <v>1325</v>
      </c>
      <c r="V295" t="s">
        <v>1323</v>
      </c>
      <c r="W295" t="s">
        <v>60</v>
      </c>
      <c r="X295" t="s">
        <v>1326</v>
      </c>
      <c r="Y295">
        <v>0</v>
      </c>
      <c r="Z295">
        <v>3</v>
      </c>
    </row>
    <row r="296" spans="1:26">
      <c r="A296" s="1">
        <v>294</v>
      </c>
      <c r="B296" t="str">
        <f>HYPERLINK("https://bugs.eclipse.org/bugs/show_bug.cgi?id=11622", "11622")</f>
        <v>11622</v>
      </c>
      <c r="C296" t="s">
        <v>149</v>
      </c>
      <c r="D296" t="s">
        <v>10</v>
      </c>
      <c r="E296" t="s">
        <v>12</v>
      </c>
      <c r="F296" t="s">
        <v>145</v>
      </c>
      <c r="G296" t="s">
        <v>1327</v>
      </c>
      <c r="L296" t="s">
        <v>1328</v>
      </c>
      <c r="N296" t="s">
        <v>1328</v>
      </c>
      <c r="T296" t="s">
        <v>1329</v>
      </c>
      <c r="U296" t="s">
        <v>1330</v>
      </c>
      <c r="V296" t="s">
        <v>1331</v>
      </c>
      <c r="W296" t="s">
        <v>60</v>
      </c>
      <c r="X296" t="s">
        <v>1332</v>
      </c>
      <c r="Y296">
        <v>0</v>
      </c>
      <c r="Z296">
        <v>6</v>
      </c>
    </row>
    <row r="297" spans="1:26">
      <c r="A297" s="1">
        <v>295</v>
      </c>
      <c r="B297" t="str">
        <f>HYPERLINK("https://bugs.eclipse.org/bugs/show_bug.cgi?id=11649", "11649")</f>
        <v>11649</v>
      </c>
      <c r="C297" t="s">
        <v>1289</v>
      </c>
      <c r="D297" t="s">
        <v>10</v>
      </c>
      <c r="E297" t="s">
        <v>15</v>
      </c>
      <c r="F297" t="s">
        <v>26</v>
      </c>
      <c r="L297" t="s">
        <v>1302</v>
      </c>
      <c r="Q297" t="s">
        <v>1302</v>
      </c>
      <c r="T297" t="s">
        <v>1333</v>
      </c>
      <c r="U297" t="s">
        <v>1302</v>
      </c>
      <c r="V297" t="s">
        <v>1302</v>
      </c>
      <c r="W297" t="s">
        <v>60</v>
      </c>
      <c r="X297" t="s">
        <v>1334</v>
      </c>
      <c r="Y297">
        <v>0</v>
      </c>
      <c r="Z297">
        <v>0</v>
      </c>
    </row>
    <row r="298" spans="1:26">
      <c r="A298" s="1">
        <v>296</v>
      </c>
      <c r="B298" t="str">
        <f>HYPERLINK("https://bugs.eclipse.org/bugs/show_bug.cgi?id=11664", "11664")</f>
        <v>11664</v>
      </c>
      <c r="C298" t="s">
        <v>149</v>
      </c>
      <c r="D298" t="s">
        <v>10</v>
      </c>
      <c r="E298" t="s">
        <v>12</v>
      </c>
      <c r="F298" t="s">
        <v>26</v>
      </c>
      <c r="L298" t="s">
        <v>1335</v>
      </c>
      <c r="N298" t="s">
        <v>1335</v>
      </c>
      <c r="S298" t="s">
        <v>1336</v>
      </c>
      <c r="T298" t="s">
        <v>1337</v>
      </c>
      <c r="U298" t="s">
        <v>1338</v>
      </c>
      <c r="V298" t="s">
        <v>1335</v>
      </c>
      <c r="W298" t="s">
        <v>49</v>
      </c>
      <c r="X298" t="s">
        <v>1339</v>
      </c>
      <c r="Y298">
        <v>0</v>
      </c>
      <c r="Z298">
        <v>1700</v>
      </c>
    </row>
    <row r="299" spans="1:26">
      <c r="A299" s="1">
        <v>297</v>
      </c>
      <c r="B299" t="str">
        <f>HYPERLINK("https://bugs.eclipse.org/bugs/show_bug.cgi?id=11706", "11706")</f>
        <v>11706</v>
      </c>
      <c r="C299" t="s">
        <v>1340</v>
      </c>
      <c r="D299" t="s">
        <v>10</v>
      </c>
      <c r="E299" t="s">
        <v>15</v>
      </c>
      <c r="F299" t="s">
        <v>26</v>
      </c>
      <c r="L299" t="s">
        <v>1341</v>
      </c>
      <c r="Q299" t="s">
        <v>1341</v>
      </c>
      <c r="T299" t="s">
        <v>1342</v>
      </c>
      <c r="U299" t="s">
        <v>1343</v>
      </c>
      <c r="V299" t="s">
        <v>1341</v>
      </c>
      <c r="W299" t="s">
        <v>134</v>
      </c>
      <c r="X299" t="s">
        <v>1344</v>
      </c>
      <c r="Y299">
        <v>20.958333333333329</v>
      </c>
      <c r="Z299">
        <v>242</v>
      </c>
    </row>
    <row r="300" spans="1:26">
      <c r="A300" s="1">
        <v>298</v>
      </c>
      <c r="B300" t="str">
        <f>HYPERLINK("https://bugs.eclipse.org/bugs/show_bug.cgi?id=11729", "11729")</f>
        <v>11729</v>
      </c>
      <c r="C300" t="s">
        <v>149</v>
      </c>
      <c r="D300" t="s">
        <v>10</v>
      </c>
      <c r="E300" t="s">
        <v>12</v>
      </c>
      <c r="F300" t="s">
        <v>26</v>
      </c>
      <c r="L300" t="s">
        <v>1345</v>
      </c>
      <c r="N300" t="s">
        <v>1345</v>
      </c>
      <c r="T300" t="s">
        <v>1346</v>
      </c>
      <c r="U300" t="s">
        <v>1345</v>
      </c>
      <c r="V300" t="s">
        <v>1345</v>
      </c>
      <c r="W300" t="s">
        <v>60</v>
      </c>
      <c r="X300" t="s">
        <v>1347</v>
      </c>
      <c r="Y300">
        <v>8</v>
      </c>
      <c r="Z300">
        <v>8</v>
      </c>
    </row>
    <row r="301" spans="1:26">
      <c r="A301" s="1">
        <v>299</v>
      </c>
      <c r="B301" t="str">
        <f>HYPERLINK("https://bugs.eclipse.org/bugs/show_bug.cgi?id=11839", "11839")</f>
        <v>11839</v>
      </c>
      <c r="C301" t="s">
        <v>56</v>
      </c>
      <c r="D301" t="s">
        <v>10</v>
      </c>
      <c r="E301" t="s">
        <v>14</v>
      </c>
      <c r="F301" t="s">
        <v>26</v>
      </c>
      <c r="L301" t="s">
        <v>1348</v>
      </c>
      <c r="P301" t="s">
        <v>1349</v>
      </c>
      <c r="T301" t="s">
        <v>1350</v>
      </c>
      <c r="U301" t="s">
        <v>1351</v>
      </c>
      <c r="V301" t="s">
        <v>1349</v>
      </c>
      <c r="W301" t="s">
        <v>75</v>
      </c>
      <c r="X301" t="s">
        <v>1352</v>
      </c>
      <c r="Y301">
        <v>0</v>
      </c>
      <c r="Z301">
        <v>2719.958333333333</v>
      </c>
    </row>
    <row r="302" spans="1:26">
      <c r="A302" s="1">
        <v>300</v>
      </c>
      <c r="B302" t="str">
        <f>HYPERLINK("https://bugs.eclipse.org/bugs/show_bug.cgi?id=11860", "11860")</f>
        <v>11860</v>
      </c>
      <c r="C302" t="s">
        <v>1353</v>
      </c>
      <c r="D302" t="s">
        <v>10</v>
      </c>
      <c r="E302" t="s">
        <v>15</v>
      </c>
      <c r="F302" t="s">
        <v>26</v>
      </c>
      <c r="L302" t="s">
        <v>1354</v>
      </c>
      <c r="Q302" t="s">
        <v>1354</v>
      </c>
      <c r="T302" t="s">
        <v>1355</v>
      </c>
      <c r="U302" t="s">
        <v>1354</v>
      </c>
      <c r="V302" t="s">
        <v>1356</v>
      </c>
      <c r="W302" t="s">
        <v>953</v>
      </c>
      <c r="X302" t="s">
        <v>1357</v>
      </c>
      <c r="Y302">
        <v>0</v>
      </c>
      <c r="Z302">
        <v>0</v>
      </c>
    </row>
    <row r="303" spans="1:26">
      <c r="A303" s="1">
        <v>301</v>
      </c>
      <c r="B303" t="str">
        <f>HYPERLINK("https://bugs.eclipse.org/bugs/show_bug.cgi?id=12006", "12006")</f>
        <v>12006</v>
      </c>
      <c r="C303" t="s">
        <v>56</v>
      </c>
      <c r="D303" t="s">
        <v>10</v>
      </c>
      <c r="E303" t="s">
        <v>14</v>
      </c>
      <c r="F303" t="s">
        <v>51</v>
      </c>
      <c r="L303" t="s">
        <v>1358</v>
      </c>
      <c r="P303" t="s">
        <v>1359</v>
      </c>
      <c r="S303" t="s">
        <v>1360</v>
      </c>
      <c r="T303" t="s">
        <v>1361</v>
      </c>
      <c r="U303" t="s">
        <v>1362</v>
      </c>
      <c r="V303" t="s">
        <v>1359</v>
      </c>
      <c r="W303" t="s">
        <v>75</v>
      </c>
      <c r="X303" t="s">
        <v>1363</v>
      </c>
      <c r="Y303">
        <v>0</v>
      </c>
      <c r="Z303">
        <v>2718.958333333333</v>
      </c>
    </row>
    <row r="304" spans="1:26">
      <c r="A304" s="1">
        <v>302</v>
      </c>
      <c r="B304" t="str">
        <f>HYPERLINK("https://bugs.eclipse.org/bugs/show_bug.cgi?id=12035", "12035")</f>
        <v>12035</v>
      </c>
      <c r="C304" t="s">
        <v>149</v>
      </c>
      <c r="D304" t="s">
        <v>10</v>
      </c>
      <c r="E304" t="s">
        <v>12</v>
      </c>
      <c r="F304" t="s">
        <v>26</v>
      </c>
      <c r="L304" t="s">
        <v>1364</v>
      </c>
      <c r="N304" t="s">
        <v>1364</v>
      </c>
      <c r="T304" t="s">
        <v>1365</v>
      </c>
      <c r="U304" t="s">
        <v>1366</v>
      </c>
      <c r="V304" t="s">
        <v>1364</v>
      </c>
      <c r="W304" t="s">
        <v>60</v>
      </c>
      <c r="X304" t="s">
        <v>1367</v>
      </c>
      <c r="Y304">
        <v>0</v>
      </c>
      <c r="Z304">
        <v>46.958333333333343</v>
      </c>
    </row>
    <row r="305" spans="1:26">
      <c r="A305" s="1">
        <v>303</v>
      </c>
      <c r="B305" t="str">
        <f>HYPERLINK("https://bugs.eclipse.org/bugs/show_bug.cgi?id=12082", "12082")</f>
        <v>12082</v>
      </c>
      <c r="C305" t="s">
        <v>149</v>
      </c>
      <c r="D305" t="s">
        <v>10</v>
      </c>
      <c r="E305" t="s">
        <v>12</v>
      </c>
      <c r="F305" t="s">
        <v>26</v>
      </c>
      <c r="G305" t="s">
        <v>1368</v>
      </c>
      <c r="L305" t="s">
        <v>1369</v>
      </c>
      <c r="N305" t="s">
        <v>1369</v>
      </c>
      <c r="T305" t="s">
        <v>1370</v>
      </c>
      <c r="U305" t="s">
        <v>1371</v>
      </c>
      <c r="V305" t="s">
        <v>1372</v>
      </c>
      <c r="W305" t="s">
        <v>1373</v>
      </c>
      <c r="X305" t="s">
        <v>1374</v>
      </c>
      <c r="Y305">
        <v>1</v>
      </c>
      <c r="Z305">
        <v>333</v>
      </c>
    </row>
    <row r="306" spans="1:26">
      <c r="A306" s="1">
        <v>304</v>
      </c>
      <c r="B306" t="str">
        <f>HYPERLINK("https://bugs.eclipse.org/bugs/show_bug.cgi?id=12083", "12083")</f>
        <v>12083</v>
      </c>
      <c r="C306" t="s">
        <v>1375</v>
      </c>
      <c r="D306" t="s">
        <v>10</v>
      </c>
      <c r="E306" t="s">
        <v>15</v>
      </c>
      <c r="F306" t="s">
        <v>26</v>
      </c>
      <c r="L306" t="s">
        <v>1376</v>
      </c>
      <c r="Q306" t="s">
        <v>1376</v>
      </c>
      <c r="S306" t="s">
        <v>1377</v>
      </c>
      <c r="T306" t="s">
        <v>1378</v>
      </c>
      <c r="U306" t="s">
        <v>1379</v>
      </c>
      <c r="V306" t="s">
        <v>1376</v>
      </c>
      <c r="W306" t="s">
        <v>60</v>
      </c>
      <c r="X306" t="s">
        <v>1380</v>
      </c>
      <c r="Y306">
        <v>1</v>
      </c>
      <c r="Z306">
        <v>399.95833333333331</v>
      </c>
    </row>
    <row r="307" spans="1:26">
      <c r="A307" s="1">
        <v>305</v>
      </c>
      <c r="B307" t="str">
        <f>HYPERLINK("https://bugs.eclipse.org/bugs/show_bug.cgi?id=12097", "12097")</f>
        <v>12097</v>
      </c>
      <c r="C307" t="s">
        <v>149</v>
      </c>
      <c r="D307" t="s">
        <v>10</v>
      </c>
      <c r="E307" t="s">
        <v>12</v>
      </c>
      <c r="F307" t="s">
        <v>150</v>
      </c>
      <c r="L307" t="s">
        <v>1381</v>
      </c>
      <c r="N307" t="s">
        <v>1381</v>
      </c>
      <c r="T307" t="s">
        <v>1382</v>
      </c>
      <c r="U307" t="s">
        <v>1383</v>
      </c>
      <c r="V307" t="s">
        <v>1381</v>
      </c>
      <c r="W307" t="s">
        <v>86</v>
      </c>
      <c r="X307" t="s">
        <v>1384</v>
      </c>
      <c r="Y307">
        <v>3</v>
      </c>
      <c r="Z307">
        <v>26.958333333333329</v>
      </c>
    </row>
    <row r="308" spans="1:26">
      <c r="A308" s="1">
        <v>306</v>
      </c>
      <c r="B308" t="str">
        <f>HYPERLINK("https://bugs.eclipse.org/bugs/show_bug.cgi?id=12105", "12105")</f>
        <v>12105</v>
      </c>
      <c r="C308" t="s">
        <v>1385</v>
      </c>
      <c r="D308" t="s">
        <v>10</v>
      </c>
      <c r="E308" t="s">
        <v>15</v>
      </c>
      <c r="F308" t="s">
        <v>26</v>
      </c>
      <c r="L308" t="s">
        <v>1386</v>
      </c>
      <c r="Q308" t="s">
        <v>1386</v>
      </c>
      <c r="T308" t="s">
        <v>1387</v>
      </c>
      <c r="U308" t="s">
        <v>1386</v>
      </c>
      <c r="V308" t="s">
        <v>1386</v>
      </c>
      <c r="W308" t="s">
        <v>60</v>
      </c>
      <c r="X308" t="s">
        <v>1388</v>
      </c>
      <c r="Y308">
        <v>0</v>
      </c>
      <c r="Z308">
        <v>0</v>
      </c>
    </row>
    <row r="309" spans="1:26">
      <c r="A309" s="1">
        <v>307</v>
      </c>
      <c r="B309" t="str">
        <f>HYPERLINK("https://bugs.eclipse.org/bugs/show_bug.cgi?id=12156", "12156")</f>
        <v>12156</v>
      </c>
      <c r="C309" t="s">
        <v>88</v>
      </c>
      <c r="D309" t="s">
        <v>10</v>
      </c>
      <c r="E309" t="s">
        <v>13</v>
      </c>
      <c r="F309" t="s">
        <v>26</v>
      </c>
      <c r="L309" t="s">
        <v>1389</v>
      </c>
      <c r="O309" t="s">
        <v>1389</v>
      </c>
      <c r="T309" t="s">
        <v>1390</v>
      </c>
      <c r="U309" t="s">
        <v>1391</v>
      </c>
      <c r="V309" t="s">
        <v>1389</v>
      </c>
      <c r="W309" t="s">
        <v>134</v>
      </c>
      <c r="X309" t="s">
        <v>1392</v>
      </c>
      <c r="Y309">
        <v>39.958333333333343</v>
      </c>
      <c r="Z309">
        <v>49.958333333333343</v>
      </c>
    </row>
    <row r="310" spans="1:26">
      <c r="A310" s="1">
        <v>308</v>
      </c>
      <c r="B310" t="str">
        <f>HYPERLINK("https://bugs.eclipse.org/bugs/show_bug.cgi?id=12192", "12192")</f>
        <v>12192</v>
      </c>
      <c r="C310" t="s">
        <v>149</v>
      </c>
      <c r="D310" t="s">
        <v>10</v>
      </c>
      <c r="E310" t="s">
        <v>12</v>
      </c>
      <c r="F310" t="s">
        <v>26</v>
      </c>
      <c r="L310" t="s">
        <v>1393</v>
      </c>
      <c r="N310" t="s">
        <v>1393</v>
      </c>
      <c r="S310" t="s">
        <v>1394</v>
      </c>
      <c r="T310" t="s">
        <v>1395</v>
      </c>
      <c r="U310" t="s">
        <v>1396</v>
      </c>
      <c r="V310" t="s">
        <v>1393</v>
      </c>
      <c r="W310" t="s">
        <v>60</v>
      </c>
      <c r="X310" t="s">
        <v>1397</v>
      </c>
      <c r="Y310">
        <v>1</v>
      </c>
      <c r="Z310">
        <v>513.95833333333337</v>
      </c>
    </row>
    <row r="311" spans="1:26">
      <c r="A311" s="1">
        <v>309</v>
      </c>
      <c r="B311" t="str">
        <f>HYPERLINK("https://bugs.eclipse.org/bugs/show_bug.cgi?id=12200", "12200")</f>
        <v>12200</v>
      </c>
      <c r="C311" t="s">
        <v>149</v>
      </c>
      <c r="D311" t="s">
        <v>10</v>
      </c>
      <c r="E311" t="s">
        <v>12</v>
      </c>
      <c r="F311" t="s">
        <v>26</v>
      </c>
      <c r="L311" t="s">
        <v>1398</v>
      </c>
      <c r="N311" t="s">
        <v>1398</v>
      </c>
      <c r="T311" t="s">
        <v>1399</v>
      </c>
      <c r="U311" t="s">
        <v>1400</v>
      </c>
      <c r="V311" t="s">
        <v>1401</v>
      </c>
      <c r="W311" t="s">
        <v>1402</v>
      </c>
      <c r="X311" t="s">
        <v>1403</v>
      </c>
      <c r="Y311">
        <v>0</v>
      </c>
      <c r="Z311">
        <v>0</v>
      </c>
    </row>
    <row r="312" spans="1:26">
      <c r="A312" s="1">
        <v>310</v>
      </c>
      <c r="B312" t="str">
        <f>HYPERLINK("https://bugs.eclipse.org/bugs/show_bug.cgi?id=12205", "12205")</f>
        <v>12205</v>
      </c>
      <c r="C312" t="s">
        <v>1404</v>
      </c>
      <c r="D312" t="s">
        <v>10</v>
      </c>
      <c r="E312" t="s">
        <v>15</v>
      </c>
      <c r="F312" t="s">
        <v>26</v>
      </c>
      <c r="L312" t="s">
        <v>1331</v>
      </c>
      <c r="Q312" t="s">
        <v>1331</v>
      </c>
      <c r="T312" t="s">
        <v>1405</v>
      </c>
      <c r="U312" t="s">
        <v>1406</v>
      </c>
      <c r="V312" t="s">
        <v>1331</v>
      </c>
      <c r="W312" t="s">
        <v>60</v>
      </c>
      <c r="X312" t="s">
        <v>1407</v>
      </c>
      <c r="Y312">
        <v>0</v>
      </c>
      <c r="Z312">
        <v>0</v>
      </c>
    </row>
    <row r="313" spans="1:26">
      <c r="A313" s="1">
        <v>311</v>
      </c>
      <c r="B313" t="str">
        <f>HYPERLINK("https://bugs.eclipse.org/bugs/show_bug.cgi?id=12293", "12293")</f>
        <v>12293</v>
      </c>
      <c r="C313" t="s">
        <v>1408</v>
      </c>
      <c r="D313" t="s">
        <v>10</v>
      </c>
      <c r="E313" t="s">
        <v>15</v>
      </c>
      <c r="F313" t="s">
        <v>150</v>
      </c>
      <c r="L313" t="s">
        <v>1409</v>
      </c>
      <c r="Q313" t="s">
        <v>1409</v>
      </c>
      <c r="T313" t="s">
        <v>1410</v>
      </c>
      <c r="U313" t="s">
        <v>1411</v>
      </c>
      <c r="V313" t="s">
        <v>1409</v>
      </c>
      <c r="W313" t="s">
        <v>86</v>
      </c>
      <c r="X313" t="s">
        <v>1412</v>
      </c>
      <c r="Y313">
        <v>4</v>
      </c>
      <c r="Z313">
        <v>28.958333333333329</v>
      </c>
    </row>
    <row r="314" spans="1:26">
      <c r="A314" s="1">
        <v>312</v>
      </c>
      <c r="B314" t="str">
        <f>HYPERLINK("https://bugs.eclipse.org/bugs/show_bug.cgi?id=12414", "12414")</f>
        <v>12414</v>
      </c>
      <c r="C314" t="s">
        <v>1413</v>
      </c>
      <c r="D314" t="s">
        <v>10</v>
      </c>
      <c r="E314" t="s">
        <v>15</v>
      </c>
      <c r="F314" t="s">
        <v>26</v>
      </c>
      <c r="L314" t="s">
        <v>1414</v>
      </c>
      <c r="Q314" t="s">
        <v>1414</v>
      </c>
      <c r="S314" t="s">
        <v>1415</v>
      </c>
      <c r="T314" t="s">
        <v>1416</v>
      </c>
      <c r="U314" t="s">
        <v>1417</v>
      </c>
      <c r="V314" t="s">
        <v>1414</v>
      </c>
      <c r="W314" t="s">
        <v>86</v>
      </c>
      <c r="X314" t="s">
        <v>1418</v>
      </c>
      <c r="Y314">
        <v>0</v>
      </c>
      <c r="Z314">
        <v>116.9583333333333</v>
      </c>
    </row>
    <row r="315" spans="1:26">
      <c r="A315" s="1">
        <v>313</v>
      </c>
      <c r="B315" t="str">
        <f>HYPERLINK("https://bugs.eclipse.org/bugs/show_bug.cgi?id=12517", "12517")</f>
        <v>12517</v>
      </c>
      <c r="C315" t="s">
        <v>149</v>
      </c>
      <c r="D315" t="s">
        <v>10</v>
      </c>
      <c r="E315" t="s">
        <v>12</v>
      </c>
      <c r="F315" t="s">
        <v>26</v>
      </c>
      <c r="L315" t="s">
        <v>1419</v>
      </c>
      <c r="N315" t="s">
        <v>1419</v>
      </c>
      <c r="T315" t="s">
        <v>1420</v>
      </c>
      <c r="U315" t="s">
        <v>1421</v>
      </c>
      <c r="V315" t="s">
        <v>1419</v>
      </c>
      <c r="W315" t="s">
        <v>60</v>
      </c>
      <c r="X315" t="s">
        <v>1422</v>
      </c>
      <c r="Y315">
        <v>0</v>
      </c>
      <c r="Z315">
        <v>3</v>
      </c>
    </row>
    <row r="316" spans="1:26">
      <c r="A316" s="1">
        <v>314</v>
      </c>
      <c r="B316" t="str">
        <f>HYPERLINK("https://bugs.eclipse.org/bugs/show_bug.cgi?id=12525", "12525")</f>
        <v>12525</v>
      </c>
      <c r="C316" t="s">
        <v>149</v>
      </c>
      <c r="D316" t="s">
        <v>10</v>
      </c>
      <c r="E316" t="s">
        <v>12</v>
      </c>
      <c r="F316" t="s">
        <v>145</v>
      </c>
      <c r="L316" t="s">
        <v>1423</v>
      </c>
      <c r="N316" t="s">
        <v>1423</v>
      </c>
      <c r="T316" t="s">
        <v>1424</v>
      </c>
      <c r="U316" t="s">
        <v>1423</v>
      </c>
      <c r="V316" t="s">
        <v>1423</v>
      </c>
      <c r="W316" t="s">
        <v>86</v>
      </c>
      <c r="X316" t="s">
        <v>1425</v>
      </c>
      <c r="Y316">
        <v>8.9583333333333339</v>
      </c>
      <c r="Z316">
        <v>8.9583333333333339</v>
      </c>
    </row>
    <row r="317" spans="1:26">
      <c r="A317" s="1">
        <v>315</v>
      </c>
      <c r="B317" t="str">
        <f>HYPERLINK("https://bugs.eclipse.org/bugs/show_bug.cgi?id=12528", "12528")</f>
        <v>12528</v>
      </c>
      <c r="C317" t="s">
        <v>149</v>
      </c>
      <c r="D317" t="s">
        <v>10</v>
      </c>
      <c r="E317" t="s">
        <v>12</v>
      </c>
      <c r="F317" t="s">
        <v>26</v>
      </c>
      <c r="G317" t="s">
        <v>1426</v>
      </c>
      <c r="L317" t="s">
        <v>1427</v>
      </c>
      <c r="N317" t="s">
        <v>1427</v>
      </c>
      <c r="R317" t="s">
        <v>1428</v>
      </c>
      <c r="S317" t="s">
        <v>1429</v>
      </c>
      <c r="T317" t="s">
        <v>1430</v>
      </c>
      <c r="U317" t="s">
        <v>1431</v>
      </c>
      <c r="V317" t="s">
        <v>1427</v>
      </c>
      <c r="W317" t="s">
        <v>60</v>
      </c>
      <c r="X317" t="s">
        <v>1432</v>
      </c>
      <c r="Y317">
        <v>0</v>
      </c>
      <c r="Z317">
        <v>3</v>
      </c>
    </row>
    <row r="318" spans="1:26">
      <c r="A318" s="1">
        <v>316</v>
      </c>
      <c r="B318" t="str">
        <f>HYPERLINK("https://bugs.eclipse.org/bugs/show_bug.cgi?id=12589", "12589")</f>
        <v>12589</v>
      </c>
      <c r="C318" t="s">
        <v>149</v>
      </c>
      <c r="D318" t="s">
        <v>10</v>
      </c>
      <c r="E318" t="s">
        <v>12</v>
      </c>
      <c r="F318" t="s">
        <v>26</v>
      </c>
      <c r="L318" t="s">
        <v>1433</v>
      </c>
      <c r="N318" t="s">
        <v>1433</v>
      </c>
      <c r="S318" t="s">
        <v>1434</v>
      </c>
      <c r="T318" t="s">
        <v>1435</v>
      </c>
      <c r="U318" t="s">
        <v>1436</v>
      </c>
      <c r="V318" t="s">
        <v>1433</v>
      </c>
      <c r="W318" t="s">
        <v>60</v>
      </c>
      <c r="X318" t="s">
        <v>1437</v>
      </c>
      <c r="Y318">
        <v>0</v>
      </c>
      <c r="Z318">
        <v>370.95833333333331</v>
      </c>
    </row>
    <row r="319" spans="1:26">
      <c r="A319" s="1">
        <v>317</v>
      </c>
      <c r="B319" t="str">
        <f>HYPERLINK("https://bugs.eclipse.org/bugs/show_bug.cgi?id=12600", "12600")</f>
        <v>12600</v>
      </c>
      <c r="C319" t="s">
        <v>149</v>
      </c>
      <c r="D319" t="s">
        <v>10</v>
      </c>
      <c r="E319" t="s">
        <v>12</v>
      </c>
      <c r="F319" t="s">
        <v>145</v>
      </c>
      <c r="L319" t="s">
        <v>1438</v>
      </c>
      <c r="N319" t="s">
        <v>1438</v>
      </c>
      <c r="T319" t="s">
        <v>1439</v>
      </c>
      <c r="U319" t="s">
        <v>1440</v>
      </c>
      <c r="V319" t="s">
        <v>1438</v>
      </c>
      <c r="W319" t="s">
        <v>60</v>
      </c>
      <c r="X319" t="s">
        <v>1441</v>
      </c>
      <c r="Y319">
        <v>0</v>
      </c>
      <c r="Z319">
        <v>0</v>
      </c>
    </row>
    <row r="320" spans="1:26">
      <c r="A320" s="1">
        <v>318</v>
      </c>
      <c r="B320" t="str">
        <f>HYPERLINK("https://bugs.eclipse.org/bugs/show_bug.cgi?id=12611", "12611")</f>
        <v>12611</v>
      </c>
      <c r="C320" t="s">
        <v>149</v>
      </c>
      <c r="D320" t="s">
        <v>10</v>
      </c>
      <c r="E320" t="s">
        <v>12</v>
      </c>
      <c r="F320" t="s">
        <v>150</v>
      </c>
      <c r="L320" t="s">
        <v>1442</v>
      </c>
      <c r="N320" t="s">
        <v>1442</v>
      </c>
      <c r="T320" t="s">
        <v>1443</v>
      </c>
      <c r="U320" t="s">
        <v>1444</v>
      </c>
      <c r="V320" t="s">
        <v>1442</v>
      </c>
      <c r="W320" t="s">
        <v>60</v>
      </c>
      <c r="X320" t="s">
        <v>1445</v>
      </c>
      <c r="Y320">
        <v>1</v>
      </c>
      <c r="Z320">
        <v>12.95833333333333</v>
      </c>
    </row>
    <row r="321" spans="1:26">
      <c r="A321" s="1">
        <v>319</v>
      </c>
      <c r="B321" t="str">
        <f>HYPERLINK("https://bugs.eclipse.org/bugs/show_bug.cgi?id=12624", "12624")</f>
        <v>12624</v>
      </c>
      <c r="C321" t="s">
        <v>149</v>
      </c>
      <c r="D321" t="s">
        <v>10</v>
      </c>
      <c r="E321" t="s">
        <v>12</v>
      </c>
      <c r="F321" t="s">
        <v>26</v>
      </c>
      <c r="L321" t="s">
        <v>1446</v>
      </c>
      <c r="N321" t="s">
        <v>1446</v>
      </c>
      <c r="S321" t="s">
        <v>1447</v>
      </c>
      <c r="T321" t="s">
        <v>1448</v>
      </c>
      <c r="U321" t="s">
        <v>1449</v>
      </c>
      <c r="V321" t="s">
        <v>1446</v>
      </c>
      <c r="W321" t="s">
        <v>60</v>
      </c>
      <c r="X321" t="s">
        <v>1450</v>
      </c>
      <c r="Y321">
        <v>6.958333333333333</v>
      </c>
      <c r="Z321">
        <v>371.95833333333331</v>
      </c>
    </row>
    <row r="322" spans="1:26">
      <c r="A322" s="1">
        <v>320</v>
      </c>
      <c r="B322" t="str">
        <f>HYPERLINK("https://bugs.eclipse.org/bugs/show_bug.cgi?id=12628", "12628")</f>
        <v>12628</v>
      </c>
      <c r="C322" t="s">
        <v>1451</v>
      </c>
      <c r="D322" t="s">
        <v>10</v>
      </c>
      <c r="E322" t="s">
        <v>15</v>
      </c>
      <c r="F322" t="s">
        <v>26</v>
      </c>
      <c r="L322" t="s">
        <v>1452</v>
      </c>
      <c r="Q322" t="s">
        <v>1452</v>
      </c>
      <c r="T322" t="s">
        <v>1453</v>
      </c>
      <c r="U322" t="s">
        <v>1454</v>
      </c>
      <c r="V322" t="s">
        <v>1452</v>
      </c>
      <c r="W322" t="s">
        <v>60</v>
      </c>
      <c r="X322" t="s">
        <v>1455</v>
      </c>
      <c r="Y322">
        <v>1</v>
      </c>
      <c r="Z322">
        <v>2</v>
      </c>
    </row>
    <row r="323" spans="1:26">
      <c r="A323" s="1">
        <v>321</v>
      </c>
      <c r="B323" t="str">
        <f>HYPERLINK("https://bugs.eclipse.org/bugs/show_bug.cgi?id=12698", "12698")</f>
        <v>12698</v>
      </c>
      <c r="C323" t="s">
        <v>56</v>
      </c>
      <c r="D323" t="s">
        <v>10</v>
      </c>
      <c r="E323" t="s">
        <v>14</v>
      </c>
      <c r="F323" t="s">
        <v>51</v>
      </c>
      <c r="L323" t="s">
        <v>1456</v>
      </c>
      <c r="P323" t="s">
        <v>1457</v>
      </c>
      <c r="S323" t="s">
        <v>1458</v>
      </c>
      <c r="T323" t="s">
        <v>1459</v>
      </c>
      <c r="U323" t="s">
        <v>1460</v>
      </c>
      <c r="V323" t="s">
        <v>1457</v>
      </c>
      <c r="W323" t="s">
        <v>75</v>
      </c>
      <c r="X323" t="s">
        <v>1461</v>
      </c>
      <c r="Y323">
        <v>0</v>
      </c>
      <c r="Z323">
        <v>2705.958333333333</v>
      </c>
    </row>
    <row r="324" spans="1:26">
      <c r="A324" s="1">
        <v>322</v>
      </c>
      <c r="B324" t="str">
        <f>HYPERLINK("https://bugs.eclipse.org/bugs/show_bug.cgi?id=12739", "12739")</f>
        <v>12739</v>
      </c>
      <c r="C324" t="s">
        <v>149</v>
      </c>
      <c r="D324" t="s">
        <v>10</v>
      </c>
      <c r="E324" t="s">
        <v>12</v>
      </c>
      <c r="F324" t="s">
        <v>145</v>
      </c>
      <c r="L324" t="s">
        <v>1462</v>
      </c>
      <c r="N324" t="s">
        <v>1462</v>
      </c>
      <c r="T324" t="s">
        <v>1463</v>
      </c>
      <c r="U324" t="s">
        <v>1464</v>
      </c>
      <c r="V324" t="s">
        <v>1462</v>
      </c>
      <c r="W324" t="s">
        <v>60</v>
      </c>
      <c r="X324" t="s">
        <v>1465</v>
      </c>
      <c r="Y324">
        <v>1</v>
      </c>
      <c r="Z324">
        <v>1</v>
      </c>
    </row>
    <row r="325" spans="1:26">
      <c r="A325" s="1">
        <v>323</v>
      </c>
      <c r="B325" t="str">
        <f>HYPERLINK("https://bugs.eclipse.org/bugs/show_bug.cgi?id=12802", "12802")</f>
        <v>12802</v>
      </c>
      <c r="C325" t="s">
        <v>149</v>
      </c>
      <c r="D325" t="s">
        <v>10</v>
      </c>
      <c r="E325" t="s">
        <v>12</v>
      </c>
      <c r="F325" t="s">
        <v>51</v>
      </c>
      <c r="L325" t="s">
        <v>1466</v>
      </c>
      <c r="N325" t="s">
        <v>1466</v>
      </c>
      <c r="S325" t="s">
        <v>1467</v>
      </c>
      <c r="T325" t="s">
        <v>1468</v>
      </c>
      <c r="U325" t="s">
        <v>1469</v>
      </c>
      <c r="V325" t="s">
        <v>1466</v>
      </c>
      <c r="W325" t="s">
        <v>60</v>
      </c>
      <c r="X325" t="s">
        <v>1470</v>
      </c>
      <c r="Y325">
        <v>0</v>
      </c>
      <c r="Z325">
        <v>143.95833333333329</v>
      </c>
    </row>
    <row r="326" spans="1:26">
      <c r="A326" s="1">
        <v>324</v>
      </c>
      <c r="B326" t="str">
        <f>HYPERLINK("https://bugs.eclipse.org/bugs/show_bug.cgi?id=12892", "12892")</f>
        <v>12892</v>
      </c>
      <c r="C326" t="s">
        <v>88</v>
      </c>
      <c r="D326" t="s">
        <v>10</v>
      </c>
      <c r="E326" t="s">
        <v>13</v>
      </c>
      <c r="F326" t="s">
        <v>145</v>
      </c>
      <c r="L326" t="s">
        <v>1471</v>
      </c>
      <c r="O326" t="s">
        <v>1471</v>
      </c>
      <c r="T326" t="s">
        <v>1472</v>
      </c>
      <c r="U326" t="s">
        <v>1473</v>
      </c>
      <c r="V326" t="s">
        <v>1471</v>
      </c>
      <c r="W326" t="s">
        <v>1474</v>
      </c>
      <c r="X326" t="s">
        <v>1475</v>
      </c>
      <c r="Y326">
        <v>0</v>
      </c>
      <c r="Z326">
        <v>0</v>
      </c>
    </row>
    <row r="327" spans="1:26">
      <c r="A327" s="1">
        <v>325</v>
      </c>
      <c r="B327" t="str">
        <f>HYPERLINK("https://bugs.eclipse.org/bugs/show_bug.cgi?id=12913", "12913")</f>
        <v>12913</v>
      </c>
      <c r="C327" t="s">
        <v>1476</v>
      </c>
      <c r="D327" t="s">
        <v>10</v>
      </c>
      <c r="E327" t="s">
        <v>15</v>
      </c>
      <c r="F327" t="s">
        <v>51</v>
      </c>
      <c r="L327" t="s">
        <v>1477</v>
      </c>
      <c r="Q327" t="s">
        <v>1477</v>
      </c>
      <c r="T327" t="s">
        <v>1478</v>
      </c>
      <c r="U327" t="s">
        <v>1479</v>
      </c>
      <c r="V327" t="s">
        <v>1477</v>
      </c>
      <c r="W327" t="s">
        <v>60</v>
      </c>
      <c r="X327" t="s">
        <v>1480</v>
      </c>
      <c r="Y327">
        <v>2.958333333333333</v>
      </c>
      <c r="Z327">
        <v>18.958333333333329</v>
      </c>
    </row>
    <row r="328" spans="1:26">
      <c r="A328" s="1">
        <v>326</v>
      </c>
      <c r="B328" t="str">
        <f>HYPERLINK("https://bugs.eclipse.org/bugs/show_bug.cgi?id=13012", "13012")</f>
        <v>13012</v>
      </c>
      <c r="C328" t="s">
        <v>149</v>
      </c>
      <c r="D328" t="s">
        <v>10</v>
      </c>
      <c r="E328" t="s">
        <v>12</v>
      </c>
      <c r="F328" t="s">
        <v>26</v>
      </c>
      <c r="L328" t="s">
        <v>1481</v>
      </c>
      <c r="N328" t="s">
        <v>1481</v>
      </c>
      <c r="T328" t="s">
        <v>1482</v>
      </c>
      <c r="U328" t="s">
        <v>1483</v>
      </c>
      <c r="V328" t="s">
        <v>1481</v>
      </c>
      <c r="W328" t="s">
        <v>60</v>
      </c>
      <c r="X328" t="s">
        <v>1484</v>
      </c>
      <c r="Y328">
        <v>0</v>
      </c>
      <c r="Z328">
        <v>0</v>
      </c>
    </row>
    <row r="329" spans="1:26">
      <c r="A329" s="1">
        <v>327</v>
      </c>
      <c r="B329" t="str">
        <f>HYPERLINK("https://bugs.eclipse.org/bugs/show_bug.cgi?id=13068", "13068")</f>
        <v>13068</v>
      </c>
      <c r="C329" t="s">
        <v>149</v>
      </c>
      <c r="D329" t="s">
        <v>10</v>
      </c>
      <c r="E329" t="s">
        <v>12</v>
      </c>
      <c r="F329" t="s">
        <v>150</v>
      </c>
      <c r="L329" t="s">
        <v>1485</v>
      </c>
      <c r="N329" t="s">
        <v>1485</v>
      </c>
      <c r="T329" t="s">
        <v>1486</v>
      </c>
      <c r="U329" t="s">
        <v>1487</v>
      </c>
      <c r="V329" t="s">
        <v>1485</v>
      </c>
      <c r="W329" t="s">
        <v>60</v>
      </c>
      <c r="X329" t="s">
        <v>1488</v>
      </c>
      <c r="Y329">
        <v>0</v>
      </c>
      <c r="Z329">
        <v>7</v>
      </c>
    </row>
    <row r="330" spans="1:26">
      <c r="A330" s="1">
        <v>328</v>
      </c>
      <c r="B330" t="str">
        <f>HYPERLINK("https://bugs.eclipse.org/bugs/show_bug.cgi?id=13081", "13081")</f>
        <v>13081</v>
      </c>
      <c r="C330" t="s">
        <v>149</v>
      </c>
      <c r="D330" t="s">
        <v>10</v>
      </c>
      <c r="E330" t="s">
        <v>12</v>
      </c>
      <c r="F330" t="s">
        <v>150</v>
      </c>
      <c r="L330" t="s">
        <v>1489</v>
      </c>
      <c r="N330" t="s">
        <v>1489</v>
      </c>
      <c r="T330" t="s">
        <v>1490</v>
      </c>
      <c r="U330" t="s">
        <v>1491</v>
      </c>
      <c r="V330" t="s">
        <v>1489</v>
      </c>
      <c r="W330" t="s">
        <v>60</v>
      </c>
      <c r="X330" t="s">
        <v>1492</v>
      </c>
      <c r="Y330">
        <v>5</v>
      </c>
      <c r="Z330">
        <v>7</v>
      </c>
    </row>
    <row r="331" spans="1:26">
      <c r="A331" s="1">
        <v>329</v>
      </c>
      <c r="B331" t="str">
        <f>HYPERLINK("https://bugs.eclipse.org/bugs/show_bug.cgi?id=13082", "13082")</f>
        <v>13082</v>
      </c>
      <c r="C331" t="s">
        <v>149</v>
      </c>
      <c r="D331" t="s">
        <v>10</v>
      </c>
      <c r="E331" t="s">
        <v>12</v>
      </c>
      <c r="F331" t="s">
        <v>26</v>
      </c>
      <c r="L331" t="s">
        <v>1493</v>
      </c>
      <c r="N331" t="s">
        <v>1493</v>
      </c>
      <c r="T331" t="s">
        <v>1494</v>
      </c>
      <c r="U331" t="s">
        <v>1495</v>
      </c>
      <c r="V331" t="s">
        <v>1493</v>
      </c>
      <c r="W331" t="s">
        <v>86</v>
      </c>
      <c r="X331" t="s">
        <v>1496</v>
      </c>
      <c r="Y331">
        <v>21</v>
      </c>
      <c r="Z331">
        <v>32</v>
      </c>
    </row>
    <row r="332" spans="1:26">
      <c r="A332" s="1">
        <v>330</v>
      </c>
      <c r="B332" t="str">
        <f>HYPERLINK("https://bugs.eclipse.org/bugs/show_bug.cgi?id=13101", "13101")</f>
        <v>13101</v>
      </c>
      <c r="C332" t="s">
        <v>149</v>
      </c>
      <c r="D332" t="s">
        <v>10</v>
      </c>
      <c r="E332" t="s">
        <v>12</v>
      </c>
      <c r="F332" t="s">
        <v>51</v>
      </c>
      <c r="L332" t="s">
        <v>1497</v>
      </c>
      <c r="N332" t="s">
        <v>1497</v>
      </c>
      <c r="S332" t="s">
        <v>1498</v>
      </c>
      <c r="T332" t="s">
        <v>1499</v>
      </c>
      <c r="U332" t="s">
        <v>1500</v>
      </c>
      <c r="V332" t="s">
        <v>1497</v>
      </c>
      <c r="W332" t="s">
        <v>86</v>
      </c>
      <c r="X332" t="s">
        <v>1501</v>
      </c>
      <c r="Y332">
        <v>1</v>
      </c>
      <c r="Z332">
        <v>857</v>
      </c>
    </row>
    <row r="333" spans="1:26">
      <c r="A333" s="1">
        <v>331</v>
      </c>
      <c r="B333" t="str">
        <f>HYPERLINK("https://bugs.eclipse.org/bugs/show_bug.cgi?id=13170", "13170")</f>
        <v>13170</v>
      </c>
      <c r="C333" t="s">
        <v>35</v>
      </c>
      <c r="D333" t="s">
        <v>11</v>
      </c>
      <c r="E333" t="s">
        <v>12</v>
      </c>
      <c r="F333" t="s">
        <v>150</v>
      </c>
      <c r="L333" t="s">
        <v>1502</v>
      </c>
      <c r="M333" t="s">
        <v>1503</v>
      </c>
      <c r="N333" t="s">
        <v>1502</v>
      </c>
      <c r="T333" t="s">
        <v>1504</v>
      </c>
      <c r="U333" t="s">
        <v>1505</v>
      </c>
      <c r="V333" t="s">
        <v>1503</v>
      </c>
      <c r="W333" t="s">
        <v>143</v>
      </c>
      <c r="X333" t="s">
        <v>1506</v>
      </c>
      <c r="Y333">
        <v>31</v>
      </c>
      <c r="Z333">
        <v>322.04166666666669</v>
      </c>
    </row>
    <row r="334" spans="1:26">
      <c r="A334" s="1">
        <v>332</v>
      </c>
      <c r="B334" t="str">
        <f>HYPERLINK("https://bugs.eclipse.org/bugs/show_bug.cgi?id=13189", "13189")</f>
        <v>13189</v>
      </c>
      <c r="C334" t="s">
        <v>149</v>
      </c>
      <c r="D334" t="s">
        <v>10</v>
      </c>
      <c r="E334" t="s">
        <v>12</v>
      </c>
      <c r="F334" t="s">
        <v>145</v>
      </c>
      <c r="G334" t="s">
        <v>1507</v>
      </c>
      <c r="L334" t="s">
        <v>1508</v>
      </c>
      <c r="N334" t="s">
        <v>1508</v>
      </c>
      <c r="T334" t="s">
        <v>1509</v>
      </c>
      <c r="U334" t="s">
        <v>1510</v>
      </c>
      <c r="V334" t="s">
        <v>1508</v>
      </c>
      <c r="W334" t="s">
        <v>60</v>
      </c>
      <c r="X334" t="s">
        <v>1511</v>
      </c>
      <c r="Y334">
        <v>0</v>
      </c>
      <c r="Z334">
        <v>1</v>
      </c>
    </row>
    <row r="335" spans="1:26">
      <c r="A335" s="1">
        <v>333</v>
      </c>
      <c r="B335" t="str">
        <f>HYPERLINK("https://bugs.eclipse.org/bugs/show_bug.cgi?id=13192", "13192")</f>
        <v>13192</v>
      </c>
      <c r="C335" t="s">
        <v>88</v>
      </c>
      <c r="D335" t="s">
        <v>10</v>
      </c>
      <c r="E335" t="s">
        <v>13</v>
      </c>
      <c r="F335" t="s">
        <v>26</v>
      </c>
      <c r="L335" t="s">
        <v>1512</v>
      </c>
      <c r="O335" t="s">
        <v>1512</v>
      </c>
      <c r="T335" t="s">
        <v>1513</v>
      </c>
      <c r="U335" t="s">
        <v>1512</v>
      </c>
      <c r="V335" t="s">
        <v>1512</v>
      </c>
      <c r="W335" t="s">
        <v>134</v>
      </c>
      <c r="X335" t="s">
        <v>1514</v>
      </c>
      <c r="Y335">
        <v>0</v>
      </c>
      <c r="Z335">
        <v>0</v>
      </c>
    </row>
    <row r="336" spans="1:26">
      <c r="A336" s="1">
        <v>334</v>
      </c>
      <c r="B336" t="str">
        <f>HYPERLINK("https://bugs.eclipse.org/bugs/show_bug.cgi?id=13205", "13205")</f>
        <v>13205</v>
      </c>
      <c r="C336" t="s">
        <v>149</v>
      </c>
      <c r="D336" t="s">
        <v>10</v>
      </c>
      <c r="E336" t="s">
        <v>12</v>
      </c>
      <c r="F336" t="s">
        <v>26</v>
      </c>
      <c r="L336" t="s">
        <v>1515</v>
      </c>
      <c r="N336" t="s">
        <v>1515</v>
      </c>
      <c r="T336" t="s">
        <v>1516</v>
      </c>
      <c r="U336" t="s">
        <v>1517</v>
      </c>
      <c r="V336" t="s">
        <v>1515</v>
      </c>
      <c r="W336" t="s">
        <v>60</v>
      </c>
      <c r="X336" t="s">
        <v>1518</v>
      </c>
      <c r="Y336">
        <v>0</v>
      </c>
      <c r="Z336">
        <v>22</v>
      </c>
    </row>
    <row r="337" spans="1:26">
      <c r="A337" s="1">
        <v>335</v>
      </c>
      <c r="B337" t="str">
        <f>HYPERLINK("https://bugs.eclipse.org/bugs/show_bug.cgi?id=13208", "13208")</f>
        <v>13208</v>
      </c>
      <c r="C337" t="s">
        <v>56</v>
      </c>
      <c r="D337" t="s">
        <v>10</v>
      </c>
      <c r="E337" t="s">
        <v>14</v>
      </c>
      <c r="F337" t="s">
        <v>26</v>
      </c>
      <c r="L337" t="s">
        <v>1519</v>
      </c>
      <c r="P337" t="s">
        <v>1519</v>
      </c>
      <c r="T337" t="s">
        <v>1520</v>
      </c>
      <c r="U337" t="s">
        <v>1521</v>
      </c>
      <c r="V337" t="s">
        <v>1519</v>
      </c>
      <c r="W337" t="s">
        <v>60</v>
      </c>
      <c r="X337" t="s">
        <v>1522</v>
      </c>
      <c r="Y337">
        <v>0</v>
      </c>
      <c r="Z337">
        <v>22</v>
      </c>
    </row>
    <row r="338" spans="1:26">
      <c r="A338" s="1">
        <v>336</v>
      </c>
      <c r="B338" t="str">
        <f>HYPERLINK("https://bugs.eclipse.org/bugs/show_bug.cgi?id=13213", "13213")</f>
        <v>13213</v>
      </c>
      <c r="C338" t="s">
        <v>1523</v>
      </c>
      <c r="D338" t="s">
        <v>10</v>
      </c>
      <c r="E338" t="s">
        <v>15</v>
      </c>
      <c r="F338" t="s">
        <v>26</v>
      </c>
      <c r="L338" t="s">
        <v>1524</v>
      </c>
      <c r="Q338" t="s">
        <v>1524</v>
      </c>
      <c r="T338" t="s">
        <v>1525</v>
      </c>
      <c r="U338" t="s">
        <v>1526</v>
      </c>
      <c r="V338" t="s">
        <v>1524</v>
      </c>
      <c r="W338" t="s">
        <v>60</v>
      </c>
      <c r="X338" t="s">
        <v>1527</v>
      </c>
      <c r="Y338">
        <v>20</v>
      </c>
      <c r="Z338">
        <v>22</v>
      </c>
    </row>
    <row r="339" spans="1:26">
      <c r="A339" s="1">
        <v>337</v>
      </c>
      <c r="B339" t="str">
        <f>HYPERLINK("https://bugs.eclipse.org/bugs/show_bug.cgi?id=13260", "13260")</f>
        <v>13260</v>
      </c>
      <c r="C339" t="s">
        <v>140</v>
      </c>
      <c r="D339" t="s">
        <v>10</v>
      </c>
      <c r="E339" t="s">
        <v>16</v>
      </c>
      <c r="F339" t="s">
        <v>26</v>
      </c>
      <c r="L339" t="s">
        <v>1528</v>
      </c>
      <c r="R339" t="s">
        <v>1528</v>
      </c>
      <c r="T339" t="s">
        <v>1529</v>
      </c>
      <c r="U339" t="s">
        <v>1528</v>
      </c>
      <c r="V339" t="s">
        <v>1528</v>
      </c>
      <c r="W339" t="s">
        <v>86</v>
      </c>
      <c r="X339" t="s">
        <v>1530</v>
      </c>
      <c r="Y339">
        <v>0</v>
      </c>
      <c r="Z339">
        <v>0</v>
      </c>
    </row>
    <row r="340" spans="1:26">
      <c r="A340" s="1">
        <v>338</v>
      </c>
      <c r="B340" t="str">
        <f>HYPERLINK("https://bugs.eclipse.org/bugs/show_bug.cgi?id=13268", "13268")</f>
        <v>13268</v>
      </c>
      <c r="C340" t="s">
        <v>149</v>
      </c>
      <c r="D340" t="s">
        <v>10</v>
      </c>
      <c r="E340" t="s">
        <v>12</v>
      </c>
      <c r="F340" t="s">
        <v>150</v>
      </c>
      <c r="G340" t="s">
        <v>1531</v>
      </c>
      <c r="L340" t="s">
        <v>1532</v>
      </c>
      <c r="N340" t="s">
        <v>1532</v>
      </c>
      <c r="T340" t="s">
        <v>1533</v>
      </c>
      <c r="U340" t="s">
        <v>1534</v>
      </c>
      <c r="V340" t="s">
        <v>1532</v>
      </c>
      <c r="W340" t="s">
        <v>283</v>
      </c>
      <c r="X340" t="s">
        <v>1535</v>
      </c>
      <c r="Y340">
        <v>0</v>
      </c>
      <c r="Z340">
        <v>36</v>
      </c>
    </row>
    <row r="341" spans="1:26">
      <c r="A341" s="1">
        <v>339</v>
      </c>
      <c r="B341" t="str">
        <f>HYPERLINK("https://bugs.eclipse.org/bugs/show_bug.cgi?id=13325", "13325")</f>
        <v>13325</v>
      </c>
      <c r="C341" t="s">
        <v>149</v>
      </c>
      <c r="D341" t="s">
        <v>10</v>
      </c>
      <c r="E341" t="s">
        <v>12</v>
      </c>
      <c r="F341" t="s">
        <v>145</v>
      </c>
      <c r="L341" t="s">
        <v>1536</v>
      </c>
      <c r="N341" t="s">
        <v>1536</v>
      </c>
      <c r="T341" t="s">
        <v>1537</v>
      </c>
      <c r="U341" t="s">
        <v>1538</v>
      </c>
      <c r="V341" t="s">
        <v>1536</v>
      </c>
      <c r="W341" t="s">
        <v>143</v>
      </c>
      <c r="X341" t="s">
        <v>1539</v>
      </c>
      <c r="Y341">
        <v>0</v>
      </c>
      <c r="Z341">
        <v>1</v>
      </c>
    </row>
    <row r="342" spans="1:26">
      <c r="A342" s="1">
        <v>340</v>
      </c>
      <c r="B342" t="str">
        <f>HYPERLINK("https://bugs.eclipse.org/bugs/show_bug.cgi?id=13499", "13499")</f>
        <v>13499</v>
      </c>
      <c r="C342" t="s">
        <v>149</v>
      </c>
      <c r="D342" t="s">
        <v>10</v>
      </c>
      <c r="E342" t="s">
        <v>12</v>
      </c>
      <c r="F342" t="s">
        <v>150</v>
      </c>
      <c r="L342" t="s">
        <v>1540</v>
      </c>
      <c r="N342" t="s">
        <v>1540</v>
      </c>
      <c r="T342" t="s">
        <v>1541</v>
      </c>
      <c r="U342" t="s">
        <v>1542</v>
      </c>
      <c r="V342" t="s">
        <v>1540</v>
      </c>
      <c r="W342" t="s">
        <v>86</v>
      </c>
      <c r="X342" t="s">
        <v>1543</v>
      </c>
      <c r="Y342">
        <v>1</v>
      </c>
      <c r="Z342">
        <v>15</v>
      </c>
    </row>
    <row r="343" spans="1:26">
      <c r="A343" s="1">
        <v>341</v>
      </c>
      <c r="B343" t="str">
        <f>HYPERLINK("https://bugs.eclipse.org/bugs/show_bug.cgi?id=13512", "13512")</f>
        <v>13512</v>
      </c>
      <c r="C343" t="s">
        <v>149</v>
      </c>
      <c r="D343" t="s">
        <v>10</v>
      </c>
      <c r="E343" t="s">
        <v>12</v>
      </c>
      <c r="F343" t="s">
        <v>26</v>
      </c>
      <c r="G343" t="s">
        <v>1544</v>
      </c>
      <c r="L343" t="s">
        <v>1545</v>
      </c>
      <c r="N343" t="s">
        <v>1545</v>
      </c>
      <c r="T343" t="s">
        <v>1546</v>
      </c>
      <c r="U343" t="s">
        <v>1547</v>
      </c>
      <c r="V343" t="s">
        <v>1545</v>
      </c>
      <c r="W343" t="s">
        <v>60</v>
      </c>
      <c r="X343" t="s">
        <v>1548</v>
      </c>
      <c r="Y343">
        <v>0</v>
      </c>
      <c r="Z343">
        <v>5</v>
      </c>
    </row>
    <row r="344" spans="1:26">
      <c r="A344" s="1">
        <v>342</v>
      </c>
      <c r="B344" t="str">
        <f>HYPERLINK("https://bugs.eclipse.org/bugs/show_bug.cgi?id=13529", "13529")</f>
        <v>13529</v>
      </c>
      <c r="C344" t="s">
        <v>149</v>
      </c>
      <c r="D344" t="s">
        <v>10</v>
      </c>
      <c r="E344" t="s">
        <v>12</v>
      </c>
      <c r="F344" t="s">
        <v>26</v>
      </c>
      <c r="L344" t="s">
        <v>1549</v>
      </c>
      <c r="N344" t="s">
        <v>1549</v>
      </c>
      <c r="T344" t="s">
        <v>1550</v>
      </c>
      <c r="U344" t="s">
        <v>1551</v>
      </c>
      <c r="V344" t="s">
        <v>1549</v>
      </c>
      <c r="W344" t="s">
        <v>86</v>
      </c>
      <c r="X344" t="s">
        <v>1552</v>
      </c>
      <c r="Y344">
        <v>2</v>
      </c>
      <c r="Z344">
        <v>4</v>
      </c>
    </row>
    <row r="345" spans="1:26">
      <c r="A345" s="1">
        <v>343</v>
      </c>
      <c r="B345" t="str">
        <f>HYPERLINK("https://bugs.eclipse.org/bugs/show_bug.cgi?id=13533", "13533")</f>
        <v>13533</v>
      </c>
      <c r="C345" t="s">
        <v>1553</v>
      </c>
      <c r="D345" t="s">
        <v>10</v>
      </c>
      <c r="E345" t="s">
        <v>15</v>
      </c>
      <c r="F345" t="s">
        <v>26</v>
      </c>
      <c r="L345" t="s">
        <v>1554</v>
      </c>
      <c r="Q345" t="s">
        <v>1554</v>
      </c>
      <c r="T345" t="s">
        <v>1555</v>
      </c>
      <c r="U345" t="s">
        <v>1554</v>
      </c>
      <c r="V345" t="s">
        <v>1554</v>
      </c>
      <c r="W345" t="s">
        <v>60</v>
      </c>
      <c r="X345" t="s">
        <v>1556</v>
      </c>
      <c r="Y345">
        <v>0</v>
      </c>
      <c r="Z345">
        <v>0</v>
      </c>
    </row>
    <row r="346" spans="1:26">
      <c r="A346" s="1">
        <v>344</v>
      </c>
      <c r="B346" t="str">
        <f>HYPERLINK("https://bugs.eclipse.org/bugs/show_bug.cgi?id=13558", "13558")</f>
        <v>13558</v>
      </c>
      <c r="C346" t="s">
        <v>149</v>
      </c>
      <c r="D346" t="s">
        <v>10</v>
      </c>
      <c r="E346" t="s">
        <v>12</v>
      </c>
      <c r="F346" t="s">
        <v>145</v>
      </c>
      <c r="L346" t="s">
        <v>1557</v>
      </c>
      <c r="N346" t="s">
        <v>1557</v>
      </c>
      <c r="T346" t="s">
        <v>1558</v>
      </c>
      <c r="U346" t="s">
        <v>1559</v>
      </c>
      <c r="V346" t="s">
        <v>1557</v>
      </c>
      <c r="W346" t="s">
        <v>60</v>
      </c>
      <c r="X346" t="s">
        <v>1560</v>
      </c>
      <c r="Y346">
        <v>0</v>
      </c>
      <c r="Z346">
        <v>18</v>
      </c>
    </row>
    <row r="347" spans="1:26">
      <c r="A347" s="1">
        <v>345</v>
      </c>
      <c r="B347" t="str">
        <f>HYPERLINK("https://bugs.eclipse.org/bugs/show_bug.cgi?id=13594", "13594")</f>
        <v>13594</v>
      </c>
      <c r="C347" t="s">
        <v>88</v>
      </c>
      <c r="D347" t="s">
        <v>10</v>
      </c>
      <c r="E347" t="s">
        <v>13</v>
      </c>
      <c r="F347" t="s">
        <v>26</v>
      </c>
      <c r="L347" t="s">
        <v>1561</v>
      </c>
      <c r="O347" t="s">
        <v>1561</v>
      </c>
      <c r="T347" t="s">
        <v>1562</v>
      </c>
      <c r="U347" t="s">
        <v>1563</v>
      </c>
      <c r="V347" t="s">
        <v>1561</v>
      </c>
      <c r="W347" t="s">
        <v>134</v>
      </c>
      <c r="X347" t="s">
        <v>1564</v>
      </c>
      <c r="Y347">
        <v>0</v>
      </c>
      <c r="Z347">
        <v>0</v>
      </c>
    </row>
    <row r="348" spans="1:26">
      <c r="A348" s="1">
        <v>346</v>
      </c>
      <c r="B348" t="str">
        <f>HYPERLINK("https://bugs.eclipse.org/bugs/show_bug.cgi?id=13599", "13599")</f>
        <v>13599</v>
      </c>
      <c r="C348" t="s">
        <v>149</v>
      </c>
      <c r="D348" t="s">
        <v>10</v>
      </c>
      <c r="E348" t="s">
        <v>12</v>
      </c>
      <c r="F348" t="s">
        <v>26</v>
      </c>
      <c r="L348" t="s">
        <v>1565</v>
      </c>
      <c r="N348" t="s">
        <v>1565</v>
      </c>
      <c r="T348" t="s">
        <v>1566</v>
      </c>
      <c r="U348" t="s">
        <v>1567</v>
      </c>
      <c r="V348" t="s">
        <v>1565</v>
      </c>
      <c r="W348" t="s">
        <v>60</v>
      </c>
      <c r="X348" t="s">
        <v>1568</v>
      </c>
      <c r="Y348">
        <v>0</v>
      </c>
      <c r="Z348">
        <v>4</v>
      </c>
    </row>
    <row r="349" spans="1:26">
      <c r="A349" s="1">
        <v>347</v>
      </c>
      <c r="B349" t="str">
        <f>HYPERLINK("https://bugs.eclipse.org/bugs/show_bug.cgi?id=13618", "13618")</f>
        <v>13618</v>
      </c>
      <c r="C349" t="s">
        <v>56</v>
      </c>
      <c r="D349" t="s">
        <v>10</v>
      </c>
      <c r="E349" t="s">
        <v>14</v>
      </c>
      <c r="F349" t="s">
        <v>51</v>
      </c>
      <c r="L349" t="s">
        <v>1569</v>
      </c>
      <c r="P349" t="s">
        <v>1569</v>
      </c>
      <c r="S349" t="s">
        <v>1570</v>
      </c>
      <c r="T349" t="s">
        <v>1571</v>
      </c>
      <c r="U349" t="s">
        <v>1572</v>
      </c>
      <c r="V349" t="s">
        <v>1569</v>
      </c>
      <c r="W349" t="s">
        <v>86</v>
      </c>
      <c r="X349" t="s">
        <v>1573</v>
      </c>
      <c r="Y349">
        <v>4</v>
      </c>
      <c r="Z349">
        <v>854</v>
      </c>
    </row>
    <row r="350" spans="1:26">
      <c r="A350" s="1">
        <v>348</v>
      </c>
      <c r="B350" t="str">
        <f>HYPERLINK("https://bugs.eclipse.org/bugs/show_bug.cgi?id=13687", "13687")</f>
        <v>13687</v>
      </c>
      <c r="C350" t="s">
        <v>140</v>
      </c>
      <c r="D350" t="s">
        <v>10</v>
      </c>
      <c r="E350" t="s">
        <v>16</v>
      </c>
      <c r="F350" t="s">
        <v>150</v>
      </c>
      <c r="L350" t="s">
        <v>1574</v>
      </c>
      <c r="R350" t="s">
        <v>1574</v>
      </c>
      <c r="T350" t="s">
        <v>1575</v>
      </c>
      <c r="U350" t="s">
        <v>1576</v>
      </c>
      <c r="V350" t="s">
        <v>1574</v>
      </c>
      <c r="W350" t="s">
        <v>60</v>
      </c>
      <c r="X350" t="s">
        <v>1577</v>
      </c>
      <c r="Y350">
        <v>1</v>
      </c>
      <c r="Z350">
        <v>12</v>
      </c>
    </row>
    <row r="351" spans="1:26">
      <c r="A351" s="1">
        <v>349</v>
      </c>
      <c r="B351" t="str">
        <f>HYPERLINK("https://bugs.eclipse.org/bugs/show_bug.cgi?id=13692", "13692")</f>
        <v>13692</v>
      </c>
      <c r="C351" t="s">
        <v>56</v>
      </c>
      <c r="D351" t="s">
        <v>10</v>
      </c>
      <c r="E351" t="s">
        <v>14</v>
      </c>
      <c r="F351" t="s">
        <v>26</v>
      </c>
      <c r="L351" t="s">
        <v>1578</v>
      </c>
      <c r="P351" t="s">
        <v>1579</v>
      </c>
      <c r="T351" t="s">
        <v>1580</v>
      </c>
      <c r="U351" t="s">
        <v>1581</v>
      </c>
      <c r="V351" t="s">
        <v>1579</v>
      </c>
      <c r="W351" t="s">
        <v>80</v>
      </c>
      <c r="X351" t="s">
        <v>1582</v>
      </c>
      <c r="Y351">
        <v>0</v>
      </c>
      <c r="Z351">
        <v>2697</v>
      </c>
    </row>
    <row r="352" spans="1:26">
      <c r="A352" s="1">
        <v>350</v>
      </c>
      <c r="B352" t="str">
        <f>HYPERLINK("https://bugs.eclipse.org/bugs/show_bug.cgi?id=13741", "13741")</f>
        <v>13741</v>
      </c>
      <c r="C352" t="s">
        <v>149</v>
      </c>
      <c r="D352" t="s">
        <v>10</v>
      </c>
      <c r="E352" t="s">
        <v>12</v>
      </c>
      <c r="F352" t="s">
        <v>26</v>
      </c>
      <c r="G352" t="s">
        <v>1583</v>
      </c>
      <c r="L352" t="s">
        <v>1584</v>
      </c>
      <c r="N352" t="s">
        <v>1584</v>
      </c>
      <c r="T352" t="s">
        <v>1585</v>
      </c>
      <c r="U352" t="s">
        <v>1586</v>
      </c>
      <c r="V352" t="s">
        <v>1584</v>
      </c>
      <c r="W352" t="s">
        <v>60</v>
      </c>
      <c r="X352" t="s">
        <v>1587</v>
      </c>
      <c r="Y352">
        <v>3</v>
      </c>
      <c r="Z352">
        <v>17</v>
      </c>
    </row>
    <row r="353" spans="1:26">
      <c r="A353" s="1">
        <v>351</v>
      </c>
      <c r="B353" t="str">
        <f>HYPERLINK("https://bugs.eclipse.org/bugs/show_bug.cgi?id=13856", "13856")</f>
        <v>13856</v>
      </c>
      <c r="C353" t="s">
        <v>140</v>
      </c>
      <c r="D353" t="s">
        <v>10</v>
      </c>
      <c r="E353" t="s">
        <v>16</v>
      </c>
      <c r="F353" t="s">
        <v>26</v>
      </c>
      <c r="G353" t="s">
        <v>1588</v>
      </c>
      <c r="L353" t="s">
        <v>1589</v>
      </c>
      <c r="R353" t="s">
        <v>1589</v>
      </c>
      <c r="T353" t="s">
        <v>1590</v>
      </c>
      <c r="U353" t="s">
        <v>1591</v>
      </c>
      <c r="V353" t="s">
        <v>1589</v>
      </c>
      <c r="W353" t="s">
        <v>60</v>
      </c>
      <c r="X353" t="s">
        <v>1592</v>
      </c>
      <c r="Y353">
        <v>0</v>
      </c>
      <c r="Z353">
        <v>14</v>
      </c>
    </row>
    <row r="354" spans="1:26">
      <c r="A354" s="1">
        <v>352</v>
      </c>
      <c r="B354" t="str">
        <f>HYPERLINK("https://bugs.eclipse.org/bugs/show_bug.cgi?id=13884", "13884")</f>
        <v>13884</v>
      </c>
      <c r="C354" t="s">
        <v>149</v>
      </c>
      <c r="D354" t="s">
        <v>10</v>
      </c>
      <c r="E354" t="s">
        <v>12</v>
      </c>
      <c r="F354" t="s">
        <v>150</v>
      </c>
      <c r="L354" t="s">
        <v>1593</v>
      </c>
      <c r="N354" t="s">
        <v>1593</v>
      </c>
      <c r="S354" t="s">
        <v>1594</v>
      </c>
      <c r="T354" t="s">
        <v>1595</v>
      </c>
      <c r="U354" t="s">
        <v>1596</v>
      </c>
      <c r="V354" t="s">
        <v>1593</v>
      </c>
      <c r="W354" t="s">
        <v>60</v>
      </c>
      <c r="X354" t="s">
        <v>1597</v>
      </c>
      <c r="Y354">
        <v>0</v>
      </c>
      <c r="Z354">
        <v>384</v>
      </c>
    </row>
    <row r="355" spans="1:26">
      <c r="A355" s="1">
        <v>353</v>
      </c>
      <c r="B355" t="str">
        <f>HYPERLINK("https://bugs.eclipse.org/bugs/show_bug.cgi?id=14093", "14093")</f>
        <v>14093</v>
      </c>
      <c r="C355" t="s">
        <v>149</v>
      </c>
      <c r="D355" t="s">
        <v>10</v>
      </c>
      <c r="E355" t="s">
        <v>12</v>
      </c>
      <c r="F355" t="s">
        <v>150</v>
      </c>
      <c r="L355" t="s">
        <v>1598</v>
      </c>
      <c r="N355" t="s">
        <v>1598</v>
      </c>
      <c r="T355" t="s">
        <v>1599</v>
      </c>
      <c r="U355" t="s">
        <v>1600</v>
      </c>
      <c r="V355" t="s">
        <v>1598</v>
      </c>
      <c r="W355" t="s">
        <v>143</v>
      </c>
      <c r="X355" t="s">
        <v>1601</v>
      </c>
      <c r="Y355">
        <v>0</v>
      </c>
      <c r="Z355">
        <v>1</v>
      </c>
    </row>
    <row r="356" spans="1:26">
      <c r="A356" s="1">
        <v>354</v>
      </c>
      <c r="B356" t="str">
        <f>HYPERLINK("https://bugs.eclipse.org/bugs/show_bug.cgi?id=14105", "14105")</f>
        <v>14105</v>
      </c>
      <c r="C356" t="s">
        <v>1023</v>
      </c>
      <c r="D356" t="s">
        <v>10</v>
      </c>
      <c r="E356" t="s">
        <v>15</v>
      </c>
      <c r="F356" t="s">
        <v>26</v>
      </c>
      <c r="L356" t="s">
        <v>1602</v>
      </c>
      <c r="Q356" t="s">
        <v>1602</v>
      </c>
      <c r="T356" t="s">
        <v>1603</v>
      </c>
      <c r="U356" t="s">
        <v>1602</v>
      </c>
      <c r="V356" t="s">
        <v>1602</v>
      </c>
      <c r="W356" t="s">
        <v>60</v>
      </c>
      <c r="X356" t="s">
        <v>1604</v>
      </c>
      <c r="Y356">
        <v>0</v>
      </c>
      <c r="Z356">
        <v>0</v>
      </c>
    </row>
    <row r="357" spans="1:26">
      <c r="A357" s="1">
        <v>355</v>
      </c>
      <c r="B357" t="str">
        <f>HYPERLINK("https://bugs.eclipse.org/bugs/show_bug.cgi?id=14135", "14135")</f>
        <v>14135</v>
      </c>
      <c r="C357" t="s">
        <v>149</v>
      </c>
      <c r="D357" t="s">
        <v>10</v>
      </c>
      <c r="E357" t="s">
        <v>12</v>
      </c>
      <c r="F357" t="s">
        <v>150</v>
      </c>
      <c r="G357" t="s">
        <v>1605</v>
      </c>
      <c r="L357" t="s">
        <v>1606</v>
      </c>
      <c r="N357" t="s">
        <v>1606</v>
      </c>
      <c r="T357" t="s">
        <v>1607</v>
      </c>
      <c r="U357" t="s">
        <v>1608</v>
      </c>
      <c r="V357" t="s">
        <v>1609</v>
      </c>
      <c r="W357" t="s">
        <v>60</v>
      </c>
      <c r="X357" t="s">
        <v>1610</v>
      </c>
      <c r="Y357">
        <v>5</v>
      </c>
      <c r="Z357">
        <v>7</v>
      </c>
    </row>
    <row r="358" spans="1:26">
      <c r="A358" s="1">
        <v>356</v>
      </c>
      <c r="B358" t="str">
        <f>HYPERLINK("https://bugs.eclipse.org/bugs/show_bug.cgi?id=14138", "14138")</f>
        <v>14138</v>
      </c>
      <c r="C358" t="s">
        <v>1611</v>
      </c>
      <c r="D358" t="s">
        <v>10</v>
      </c>
      <c r="E358" t="s">
        <v>15</v>
      </c>
      <c r="F358" t="s">
        <v>26</v>
      </c>
      <c r="L358" t="s">
        <v>1612</v>
      </c>
      <c r="Q358" t="s">
        <v>1612</v>
      </c>
      <c r="T358" t="s">
        <v>1613</v>
      </c>
      <c r="U358" t="s">
        <v>1614</v>
      </c>
      <c r="V358" t="s">
        <v>1612</v>
      </c>
      <c r="W358" t="s">
        <v>60</v>
      </c>
      <c r="X358" t="s">
        <v>1615</v>
      </c>
      <c r="Y358">
        <v>0</v>
      </c>
      <c r="Z358">
        <v>8</v>
      </c>
    </row>
    <row r="359" spans="1:26">
      <c r="A359" s="1">
        <v>357</v>
      </c>
      <c r="B359" t="str">
        <f>HYPERLINK("https://bugs.eclipse.org/bugs/show_bug.cgi?id=14230", "14230")</f>
        <v>14230</v>
      </c>
      <c r="C359" t="s">
        <v>56</v>
      </c>
      <c r="D359" t="s">
        <v>10</v>
      </c>
      <c r="E359" t="s">
        <v>14</v>
      </c>
      <c r="F359" t="s">
        <v>26</v>
      </c>
      <c r="G359" t="s">
        <v>1616</v>
      </c>
      <c r="L359" t="s">
        <v>1617</v>
      </c>
      <c r="P359" t="s">
        <v>1618</v>
      </c>
      <c r="S359" t="s">
        <v>1619</v>
      </c>
      <c r="T359" t="s">
        <v>1620</v>
      </c>
      <c r="U359" t="s">
        <v>1621</v>
      </c>
      <c r="V359" t="s">
        <v>1618</v>
      </c>
      <c r="W359" t="s">
        <v>75</v>
      </c>
      <c r="X359" t="s">
        <v>1622</v>
      </c>
      <c r="Y359">
        <v>4</v>
      </c>
      <c r="Z359">
        <v>2690</v>
      </c>
    </row>
    <row r="360" spans="1:26">
      <c r="A360" s="1">
        <v>358</v>
      </c>
      <c r="B360" t="str">
        <f>HYPERLINK("https://bugs.eclipse.org/bugs/show_bug.cgi?id=14293", "14293")</f>
        <v>14293</v>
      </c>
      <c r="C360" t="s">
        <v>1098</v>
      </c>
      <c r="D360" t="s">
        <v>10</v>
      </c>
      <c r="E360" t="s">
        <v>15</v>
      </c>
      <c r="F360" t="s">
        <v>26</v>
      </c>
      <c r="L360" t="s">
        <v>1623</v>
      </c>
      <c r="Q360" t="s">
        <v>1623</v>
      </c>
      <c r="T360" t="s">
        <v>1624</v>
      </c>
      <c r="U360" t="s">
        <v>1625</v>
      </c>
      <c r="V360" t="s">
        <v>1623</v>
      </c>
      <c r="W360" t="s">
        <v>60</v>
      </c>
      <c r="X360" t="s">
        <v>1626</v>
      </c>
      <c r="Y360">
        <v>0</v>
      </c>
      <c r="Z360">
        <v>1</v>
      </c>
    </row>
    <row r="361" spans="1:26">
      <c r="A361" s="1">
        <v>359</v>
      </c>
      <c r="B361" t="str">
        <f>HYPERLINK("https://bugs.eclipse.org/bugs/show_bug.cgi?id=14294", "14294")</f>
        <v>14294</v>
      </c>
      <c r="C361" t="s">
        <v>149</v>
      </c>
      <c r="D361" t="s">
        <v>10</v>
      </c>
      <c r="E361" t="s">
        <v>12</v>
      </c>
      <c r="F361" t="s">
        <v>26</v>
      </c>
      <c r="L361" t="s">
        <v>1627</v>
      </c>
      <c r="N361" t="s">
        <v>1627</v>
      </c>
      <c r="T361" t="s">
        <v>1628</v>
      </c>
      <c r="U361" t="s">
        <v>1629</v>
      </c>
      <c r="V361" t="s">
        <v>1627</v>
      </c>
      <c r="W361" t="s">
        <v>49</v>
      </c>
      <c r="X361" t="s">
        <v>1630</v>
      </c>
      <c r="Y361">
        <v>0</v>
      </c>
      <c r="Z361">
        <v>345.04166666666669</v>
      </c>
    </row>
    <row r="362" spans="1:26">
      <c r="A362" s="1">
        <v>360</v>
      </c>
      <c r="B362" t="str">
        <f>HYPERLINK("https://bugs.eclipse.org/bugs/show_bug.cgi?id=14305", "14305")</f>
        <v>14305</v>
      </c>
      <c r="C362" t="s">
        <v>149</v>
      </c>
      <c r="D362" t="s">
        <v>10</v>
      </c>
      <c r="E362" t="s">
        <v>12</v>
      </c>
      <c r="F362" t="s">
        <v>26</v>
      </c>
      <c r="L362" t="s">
        <v>1631</v>
      </c>
      <c r="N362" t="s">
        <v>1631</v>
      </c>
      <c r="O362" t="s">
        <v>1632</v>
      </c>
      <c r="S362" t="s">
        <v>1633</v>
      </c>
      <c r="T362" t="s">
        <v>1634</v>
      </c>
      <c r="U362" t="s">
        <v>1635</v>
      </c>
      <c r="V362" t="s">
        <v>1631</v>
      </c>
      <c r="W362" t="s">
        <v>134</v>
      </c>
      <c r="X362" t="s">
        <v>1636</v>
      </c>
      <c r="Y362">
        <v>1</v>
      </c>
      <c r="Z362">
        <v>304.04166666666669</v>
      </c>
    </row>
    <row r="363" spans="1:26">
      <c r="A363" s="1">
        <v>361</v>
      </c>
      <c r="B363" t="str">
        <f>HYPERLINK("https://bugs.eclipse.org/bugs/show_bug.cgi?id=14381", "14381")</f>
        <v>14381</v>
      </c>
      <c r="C363" t="s">
        <v>140</v>
      </c>
      <c r="D363" t="s">
        <v>10</v>
      </c>
      <c r="E363" t="s">
        <v>16</v>
      </c>
      <c r="F363" t="s">
        <v>150</v>
      </c>
      <c r="L363" t="s">
        <v>1637</v>
      </c>
      <c r="R363" t="s">
        <v>1637</v>
      </c>
      <c r="T363" t="s">
        <v>1638</v>
      </c>
      <c r="U363" t="s">
        <v>1637</v>
      </c>
      <c r="V363" t="s">
        <v>1637</v>
      </c>
      <c r="W363" t="s">
        <v>143</v>
      </c>
      <c r="X363" t="s">
        <v>1639</v>
      </c>
      <c r="Y363">
        <v>0</v>
      </c>
      <c r="Z363">
        <v>0</v>
      </c>
    </row>
    <row r="364" spans="1:26">
      <c r="A364" s="1">
        <v>362</v>
      </c>
      <c r="B364" t="str">
        <f>HYPERLINK("https://bugs.eclipse.org/bugs/show_bug.cgi?id=14385", "14385")</f>
        <v>14385</v>
      </c>
      <c r="C364" t="s">
        <v>140</v>
      </c>
      <c r="D364" t="s">
        <v>10</v>
      </c>
      <c r="E364" t="s">
        <v>16</v>
      </c>
      <c r="F364" t="s">
        <v>26</v>
      </c>
      <c r="L364" t="s">
        <v>1640</v>
      </c>
      <c r="R364" t="s">
        <v>1640</v>
      </c>
      <c r="T364" t="s">
        <v>1641</v>
      </c>
      <c r="U364" t="s">
        <v>1642</v>
      </c>
      <c r="V364" t="s">
        <v>1640</v>
      </c>
      <c r="W364" t="s">
        <v>86</v>
      </c>
      <c r="X364" t="s">
        <v>1643</v>
      </c>
      <c r="Y364">
        <v>3</v>
      </c>
      <c r="Z364">
        <v>3</v>
      </c>
    </row>
    <row r="365" spans="1:26">
      <c r="A365" s="1">
        <v>363</v>
      </c>
      <c r="B365" t="str">
        <f>HYPERLINK("https://bugs.eclipse.org/bugs/show_bug.cgi?id=14409", "14409")</f>
        <v>14409</v>
      </c>
      <c r="C365" t="s">
        <v>149</v>
      </c>
      <c r="D365" t="s">
        <v>10</v>
      </c>
      <c r="E365" t="s">
        <v>12</v>
      </c>
      <c r="F365" t="s">
        <v>26</v>
      </c>
      <c r="L365" t="s">
        <v>1644</v>
      </c>
      <c r="N365" t="s">
        <v>1644</v>
      </c>
      <c r="T365" t="s">
        <v>1645</v>
      </c>
      <c r="U365" t="s">
        <v>1646</v>
      </c>
      <c r="V365" t="s">
        <v>1644</v>
      </c>
      <c r="W365" t="s">
        <v>86</v>
      </c>
      <c r="X365" t="s">
        <v>1647</v>
      </c>
      <c r="Y365">
        <v>3</v>
      </c>
      <c r="Z365">
        <v>9</v>
      </c>
    </row>
    <row r="366" spans="1:26">
      <c r="A366" s="1">
        <v>364</v>
      </c>
      <c r="B366" t="str">
        <f>HYPERLINK("https://bugs.eclipse.org/bugs/show_bug.cgi?id=14433", "14433")</f>
        <v>14433</v>
      </c>
      <c r="C366" t="s">
        <v>140</v>
      </c>
      <c r="D366" t="s">
        <v>10</v>
      </c>
      <c r="E366" t="s">
        <v>16</v>
      </c>
      <c r="F366" t="s">
        <v>26</v>
      </c>
      <c r="L366" t="s">
        <v>1648</v>
      </c>
      <c r="R366" t="s">
        <v>1648</v>
      </c>
      <c r="T366" t="s">
        <v>1649</v>
      </c>
      <c r="U366" t="s">
        <v>1650</v>
      </c>
      <c r="V366" t="s">
        <v>1648</v>
      </c>
      <c r="W366" t="s">
        <v>60</v>
      </c>
      <c r="X366" t="s">
        <v>1651</v>
      </c>
      <c r="Y366">
        <v>3</v>
      </c>
      <c r="Z366">
        <v>36</v>
      </c>
    </row>
    <row r="367" spans="1:26">
      <c r="A367" s="1">
        <v>365</v>
      </c>
      <c r="B367" t="str">
        <f>HYPERLINK("https://bugs.eclipse.org/bugs/show_bug.cgi?id=14465", "14465")</f>
        <v>14465</v>
      </c>
      <c r="C367" t="s">
        <v>149</v>
      </c>
      <c r="D367" t="s">
        <v>10</v>
      </c>
      <c r="E367" t="s">
        <v>12</v>
      </c>
      <c r="F367" t="s">
        <v>145</v>
      </c>
      <c r="G367" t="s">
        <v>1652</v>
      </c>
      <c r="L367" t="s">
        <v>1653</v>
      </c>
      <c r="N367" t="s">
        <v>1653</v>
      </c>
      <c r="T367" t="s">
        <v>1654</v>
      </c>
      <c r="U367" t="s">
        <v>1655</v>
      </c>
      <c r="V367" t="s">
        <v>1656</v>
      </c>
      <c r="W367" t="s">
        <v>60</v>
      </c>
      <c r="X367" t="s">
        <v>1657</v>
      </c>
      <c r="Y367">
        <v>1</v>
      </c>
      <c r="Z367">
        <v>2</v>
      </c>
    </row>
    <row r="368" spans="1:26">
      <c r="A368" s="1">
        <v>366</v>
      </c>
      <c r="B368" t="str">
        <f>HYPERLINK("https://bugs.eclipse.org/bugs/show_bug.cgi?id=14470", "14470")</f>
        <v>14470</v>
      </c>
      <c r="C368" t="s">
        <v>1658</v>
      </c>
      <c r="D368" t="s">
        <v>10</v>
      </c>
      <c r="E368" t="s">
        <v>15</v>
      </c>
      <c r="F368" t="s">
        <v>26</v>
      </c>
      <c r="L368" t="s">
        <v>1659</v>
      </c>
      <c r="Q368" t="s">
        <v>1659</v>
      </c>
      <c r="T368" t="s">
        <v>1660</v>
      </c>
      <c r="U368" t="s">
        <v>1659</v>
      </c>
      <c r="V368" t="s">
        <v>1659</v>
      </c>
      <c r="W368" t="s">
        <v>60</v>
      </c>
      <c r="X368" t="s">
        <v>1661</v>
      </c>
      <c r="Y368">
        <v>1</v>
      </c>
      <c r="Z368">
        <v>1</v>
      </c>
    </row>
    <row r="369" spans="1:26">
      <c r="A369" s="1">
        <v>367</v>
      </c>
      <c r="B369" t="str">
        <f>HYPERLINK("https://bugs.eclipse.org/bugs/show_bug.cgi?id=14505", "14505")</f>
        <v>14505</v>
      </c>
      <c r="C369" t="s">
        <v>1658</v>
      </c>
      <c r="D369" t="s">
        <v>10</v>
      </c>
      <c r="E369" t="s">
        <v>15</v>
      </c>
      <c r="F369" t="s">
        <v>26</v>
      </c>
      <c r="L369" t="s">
        <v>1662</v>
      </c>
      <c r="Q369" t="s">
        <v>1662</v>
      </c>
      <c r="T369" t="s">
        <v>1663</v>
      </c>
      <c r="U369" t="s">
        <v>1662</v>
      </c>
      <c r="V369" t="s">
        <v>1662</v>
      </c>
      <c r="W369" t="s">
        <v>60</v>
      </c>
      <c r="X369" t="s">
        <v>1664</v>
      </c>
      <c r="Y369">
        <v>0</v>
      </c>
      <c r="Z369">
        <v>0</v>
      </c>
    </row>
    <row r="370" spans="1:26">
      <c r="A370" s="1">
        <v>368</v>
      </c>
      <c r="B370" t="str">
        <f>HYPERLINK("https://bugs.eclipse.org/bugs/show_bug.cgi?id=14537", "14537")</f>
        <v>14537</v>
      </c>
      <c r="C370" t="s">
        <v>149</v>
      </c>
      <c r="D370" t="s">
        <v>10</v>
      </c>
      <c r="E370" t="s">
        <v>12</v>
      </c>
      <c r="F370" t="s">
        <v>150</v>
      </c>
      <c r="L370" t="s">
        <v>1665</v>
      </c>
      <c r="N370" t="s">
        <v>1665</v>
      </c>
      <c r="T370" t="s">
        <v>1666</v>
      </c>
      <c r="U370" t="s">
        <v>1667</v>
      </c>
      <c r="V370" t="s">
        <v>1665</v>
      </c>
      <c r="W370" t="s">
        <v>60</v>
      </c>
      <c r="X370" t="s">
        <v>1668</v>
      </c>
      <c r="Y370">
        <v>0</v>
      </c>
      <c r="Z370">
        <v>0</v>
      </c>
    </row>
    <row r="371" spans="1:26">
      <c r="A371" s="1">
        <v>369</v>
      </c>
      <c r="B371" t="str">
        <f>HYPERLINK("https://bugs.eclipse.org/bugs/show_bug.cgi?id=14579", "14579")</f>
        <v>14579</v>
      </c>
      <c r="C371" t="s">
        <v>140</v>
      </c>
      <c r="D371" t="s">
        <v>10</v>
      </c>
      <c r="E371" t="s">
        <v>16</v>
      </c>
      <c r="F371" t="s">
        <v>145</v>
      </c>
      <c r="L371" t="s">
        <v>1669</v>
      </c>
      <c r="R371" t="s">
        <v>1669</v>
      </c>
      <c r="T371" t="s">
        <v>1670</v>
      </c>
      <c r="U371" t="s">
        <v>1671</v>
      </c>
      <c r="V371" t="s">
        <v>1669</v>
      </c>
      <c r="W371" t="s">
        <v>60</v>
      </c>
      <c r="X371" t="s">
        <v>1672</v>
      </c>
      <c r="Y371">
        <v>1</v>
      </c>
      <c r="Z371">
        <v>4</v>
      </c>
    </row>
    <row r="372" spans="1:26">
      <c r="A372" s="1">
        <v>370</v>
      </c>
      <c r="B372" t="str">
        <f>HYPERLINK("https://bugs.eclipse.org/bugs/show_bug.cgi?id=14586", "14586")</f>
        <v>14586</v>
      </c>
      <c r="C372" t="s">
        <v>149</v>
      </c>
      <c r="D372" t="s">
        <v>10</v>
      </c>
      <c r="E372" t="s">
        <v>12</v>
      </c>
      <c r="F372" t="s">
        <v>26</v>
      </c>
      <c r="L372" t="s">
        <v>1673</v>
      </c>
      <c r="N372" t="s">
        <v>1673</v>
      </c>
      <c r="T372" t="s">
        <v>1674</v>
      </c>
      <c r="U372" t="s">
        <v>1675</v>
      </c>
      <c r="V372" t="s">
        <v>1673</v>
      </c>
      <c r="W372" t="s">
        <v>60</v>
      </c>
      <c r="X372" t="s">
        <v>1676</v>
      </c>
      <c r="Y372">
        <v>7</v>
      </c>
      <c r="Z372">
        <v>34</v>
      </c>
    </row>
    <row r="373" spans="1:26">
      <c r="A373" s="1">
        <v>371</v>
      </c>
      <c r="B373" t="str">
        <f>HYPERLINK("https://bugs.eclipse.org/bugs/show_bug.cgi?id=14629", "14629")</f>
        <v>14629</v>
      </c>
      <c r="C373" t="s">
        <v>1677</v>
      </c>
      <c r="D373" t="s">
        <v>10</v>
      </c>
      <c r="E373" t="s">
        <v>15</v>
      </c>
      <c r="F373" t="s">
        <v>26</v>
      </c>
      <c r="L373" t="s">
        <v>1609</v>
      </c>
      <c r="Q373" t="s">
        <v>1609</v>
      </c>
      <c r="T373" t="s">
        <v>1678</v>
      </c>
      <c r="U373" t="s">
        <v>1609</v>
      </c>
      <c r="V373" t="s">
        <v>1609</v>
      </c>
      <c r="W373" t="s">
        <v>60</v>
      </c>
      <c r="X373" t="s">
        <v>1679</v>
      </c>
      <c r="Y373">
        <v>0</v>
      </c>
      <c r="Z373">
        <v>0</v>
      </c>
    </row>
    <row r="374" spans="1:26">
      <c r="A374" s="1">
        <v>372</v>
      </c>
      <c r="B374" t="str">
        <f>HYPERLINK("https://bugs.eclipse.org/bugs/show_bug.cgi?id=14631", "14631")</f>
        <v>14631</v>
      </c>
      <c r="C374" t="s">
        <v>1658</v>
      </c>
      <c r="D374" t="s">
        <v>10</v>
      </c>
      <c r="E374" t="s">
        <v>15</v>
      </c>
      <c r="F374" t="s">
        <v>26</v>
      </c>
      <c r="L374" t="s">
        <v>1656</v>
      </c>
      <c r="Q374" t="s">
        <v>1656</v>
      </c>
      <c r="T374" t="s">
        <v>1680</v>
      </c>
      <c r="U374" t="s">
        <v>1656</v>
      </c>
      <c r="V374" t="s">
        <v>1656</v>
      </c>
      <c r="W374" t="s">
        <v>60</v>
      </c>
      <c r="X374" t="s">
        <v>1681</v>
      </c>
      <c r="Y374">
        <v>0</v>
      </c>
      <c r="Z374">
        <v>0</v>
      </c>
    </row>
    <row r="375" spans="1:26">
      <c r="A375" s="1">
        <v>373</v>
      </c>
      <c r="B375" t="str">
        <f>HYPERLINK("https://bugs.eclipse.org/bugs/show_bug.cgi?id=14645", "14645")</f>
        <v>14645</v>
      </c>
      <c r="C375" t="s">
        <v>140</v>
      </c>
      <c r="D375" t="s">
        <v>10</v>
      </c>
      <c r="E375" t="s">
        <v>16</v>
      </c>
      <c r="F375" t="s">
        <v>26</v>
      </c>
      <c r="L375" t="s">
        <v>1682</v>
      </c>
      <c r="R375" t="s">
        <v>1682</v>
      </c>
      <c r="T375" t="s">
        <v>1683</v>
      </c>
      <c r="U375" t="s">
        <v>1684</v>
      </c>
      <c r="V375" t="s">
        <v>1682</v>
      </c>
      <c r="W375" t="s">
        <v>60</v>
      </c>
      <c r="X375" t="s">
        <v>1685</v>
      </c>
      <c r="Y375">
        <v>7</v>
      </c>
      <c r="Z375">
        <v>133</v>
      </c>
    </row>
    <row r="376" spans="1:26">
      <c r="A376" s="1">
        <v>374</v>
      </c>
      <c r="B376" t="str">
        <f>HYPERLINK("https://bugs.eclipse.org/bugs/show_bug.cgi?id=14777", "14777")</f>
        <v>14777</v>
      </c>
      <c r="C376" t="s">
        <v>149</v>
      </c>
      <c r="D376" t="s">
        <v>10</v>
      </c>
      <c r="E376" t="s">
        <v>12</v>
      </c>
      <c r="F376" t="s">
        <v>26</v>
      </c>
      <c r="L376" t="s">
        <v>1686</v>
      </c>
      <c r="N376" t="s">
        <v>1686</v>
      </c>
      <c r="T376" t="s">
        <v>1687</v>
      </c>
      <c r="U376" t="s">
        <v>1688</v>
      </c>
      <c r="V376" t="s">
        <v>1686</v>
      </c>
      <c r="W376" t="s">
        <v>86</v>
      </c>
      <c r="X376" t="s">
        <v>1689</v>
      </c>
      <c r="Y376">
        <v>3</v>
      </c>
      <c r="Z376">
        <v>7</v>
      </c>
    </row>
    <row r="377" spans="1:26">
      <c r="A377" s="1">
        <v>375</v>
      </c>
      <c r="B377" t="str">
        <f>HYPERLINK("https://bugs.eclipse.org/bugs/show_bug.cgi?id=14822", "14822")</f>
        <v>14822</v>
      </c>
      <c r="C377" t="s">
        <v>149</v>
      </c>
      <c r="D377" t="s">
        <v>10</v>
      </c>
      <c r="E377" t="s">
        <v>12</v>
      </c>
      <c r="F377" t="s">
        <v>26</v>
      </c>
      <c r="L377" t="s">
        <v>1690</v>
      </c>
      <c r="N377" t="s">
        <v>1690</v>
      </c>
      <c r="T377" t="s">
        <v>1691</v>
      </c>
      <c r="U377" t="s">
        <v>1692</v>
      </c>
      <c r="V377" t="s">
        <v>1690</v>
      </c>
      <c r="W377" t="s">
        <v>147</v>
      </c>
      <c r="X377" t="s">
        <v>1693</v>
      </c>
      <c r="Y377">
        <v>1</v>
      </c>
      <c r="Z377">
        <v>36</v>
      </c>
    </row>
    <row r="378" spans="1:26">
      <c r="A378" s="1">
        <v>376</v>
      </c>
      <c r="B378" t="str">
        <f>HYPERLINK("https://bugs.eclipse.org/bugs/show_bug.cgi?id=14827", "14827")</f>
        <v>14827</v>
      </c>
      <c r="C378" t="s">
        <v>35</v>
      </c>
      <c r="D378" t="s">
        <v>11</v>
      </c>
      <c r="E378" t="s">
        <v>12</v>
      </c>
      <c r="F378" t="s">
        <v>26</v>
      </c>
      <c r="G378" t="s">
        <v>1694</v>
      </c>
      <c r="L378" t="s">
        <v>1695</v>
      </c>
      <c r="M378" t="s">
        <v>1696</v>
      </c>
      <c r="N378" t="s">
        <v>1695</v>
      </c>
      <c r="S378" t="s">
        <v>1697</v>
      </c>
      <c r="T378" t="s">
        <v>1698</v>
      </c>
      <c r="U378" t="s">
        <v>1699</v>
      </c>
      <c r="V378" t="s">
        <v>1696</v>
      </c>
      <c r="W378" t="s">
        <v>86</v>
      </c>
      <c r="X378" t="s">
        <v>1700</v>
      </c>
      <c r="Y378">
        <v>0</v>
      </c>
      <c r="Z378">
        <v>199.04166666666671</v>
      </c>
    </row>
    <row r="379" spans="1:26">
      <c r="A379" s="1">
        <v>377</v>
      </c>
      <c r="B379" t="str">
        <f>HYPERLINK("https://bugs.eclipse.org/bugs/show_bug.cgi?id=14854", "14854")</f>
        <v>14854</v>
      </c>
      <c r="C379" t="s">
        <v>149</v>
      </c>
      <c r="D379" t="s">
        <v>10</v>
      </c>
      <c r="E379" t="s">
        <v>12</v>
      </c>
      <c r="F379" t="s">
        <v>26</v>
      </c>
      <c r="L379" t="s">
        <v>1701</v>
      </c>
      <c r="N379" t="s">
        <v>1701</v>
      </c>
      <c r="T379" t="s">
        <v>1702</v>
      </c>
      <c r="U379" t="s">
        <v>1703</v>
      </c>
      <c r="V379" t="s">
        <v>1701</v>
      </c>
      <c r="W379" t="s">
        <v>86</v>
      </c>
      <c r="X379" t="s">
        <v>1704</v>
      </c>
      <c r="Y379">
        <v>0</v>
      </c>
      <c r="Z379">
        <v>4</v>
      </c>
    </row>
    <row r="380" spans="1:26">
      <c r="A380" s="1">
        <v>378</v>
      </c>
      <c r="B380" t="str">
        <f>HYPERLINK("https://bugs.eclipse.org/bugs/show_bug.cgi?id=14858", "14858")</f>
        <v>14858</v>
      </c>
      <c r="C380" t="s">
        <v>149</v>
      </c>
      <c r="D380" t="s">
        <v>10</v>
      </c>
      <c r="E380" t="s">
        <v>12</v>
      </c>
      <c r="F380" t="s">
        <v>26</v>
      </c>
      <c r="G380" t="s">
        <v>1705</v>
      </c>
      <c r="H380" t="s">
        <v>1706</v>
      </c>
      <c r="L380" t="s">
        <v>1707</v>
      </c>
      <c r="N380" t="s">
        <v>1707</v>
      </c>
      <c r="T380" t="s">
        <v>1708</v>
      </c>
      <c r="U380" t="s">
        <v>1709</v>
      </c>
      <c r="V380" t="s">
        <v>1707</v>
      </c>
      <c r="W380" t="s">
        <v>86</v>
      </c>
      <c r="X380" t="s">
        <v>1710</v>
      </c>
      <c r="Y380">
        <v>0</v>
      </c>
      <c r="Z380">
        <v>590.04166666666663</v>
      </c>
    </row>
    <row r="381" spans="1:26">
      <c r="A381" s="1">
        <v>379</v>
      </c>
      <c r="B381" t="str">
        <f>HYPERLINK("https://bugs.eclipse.org/bugs/show_bug.cgi?id=14887", "14887")</f>
        <v>14887</v>
      </c>
      <c r="C381" t="s">
        <v>56</v>
      </c>
      <c r="D381" t="s">
        <v>10</v>
      </c>
      <c r="E381" t="s">
        <v>14</v>
      </c>
      <c r="F381" t="s">
        <v>26</v>
      </c>
      <c r="G381" t="s">
        <v>1711</v>
      </c>
      <c r="L381" t="s">
        <v>1712</v>
      </c>
      <c r="P381" t="s">
        <v>1713</v>
      </c>
      <c r="T381" t="s">
        <v>1714</v>
      </c>
      <c r="U381" t="s">
        <v>1715</v>
      </c>
      <c r="V381" t="s">
        <v>1713</v>
      </c>
      <c r="W381" t="s">
        <v>80</v>
      </c>
      <c r="X381" t="s">
        <v>1716</v>
      </c>
      <c r="Z381">
        <v>2680</v>
      </c>
    </row>
    <row r="382" spans="1:26">
      <c r="A382" s="1">
        <v>380</v>
      </c>
      <c r="B382" t="str">
        <f>HYPERLINK("https://bugs.eclipse.org/bugs/show_bug.cgi?id=14946", "14946")</f>
        <v>14946</v>
      </c>
      <c r="C382" t="s">
        <v>149</v>
      </c>
      <c r="D382" t="s">
        <v>10</v>
      </c>
      <c r="E382" t="s">
        <v>12</v>
      </c>
      <c r="F382" t="s">
        <v>26</v>
      </c>
      <c r="G382" t="s">
        <v>1717</v>
      </c>
      <c r="L382" t="s">
        <v>1718</v>
      </c>
      <c r="N382" t="s">
        <v>1718</v>
      </c>
      <c r="S382" t="s">
        <v>1719</v>
      </c>
      <c r="T382" t="s">
        <v>1720</v>
      </c>
      <c r="U382" t="s">
        <v>1721</v>
      </c>
      <c r="V382" t="s">
        <v>1718</v>
      </c>
      <c r="W382" t="s">
        <v>60</v>
      </c>
      <c r="X382" t="s">
        <v>1722</v>
      </c>
      <c r="Y382">
        <v>1</v>
      </c>
      <c r="Z382">
        <v>478</v>
      </c>
    </row>
    <row r="383" spans="1:26">
      <c r="A383" s="1">
        <v>381</v>
      </c>
      <c r="B383" t="str">
        <f>HYPERLINK("https://bugs.eclipse.org/bugs/show_bug.cgi?id=14952", "14952")</f>
        <v>14952</v>
      </c>
      <c r="C383" t="s">
        <v>35</v>
      </c>
      <c r="D383" t="s">
        <v>11</v>
      </c>
      <c r="E383" t="s">
        <v>12</v>
      </c>
      <c r="F383" t="s">
        <v>26</v>
      </c>
      <c r="L383" t="s">
        <v>1723</v>
      </c>
      <c r="M383" t="s">
        <v>1724</v>
      </c>
      <c r="N383" t="s">
        <v>1723</v>
      </c>
      <c r="S383" t="s">
        <v>1725</v>
      </c>
      <c r="T383" t="s">
        <v>1726</v>
      </c>
      <c r="U383" t="s">
        <v>1727</v>
      </c>
      <c r="V383" t="s">
        <v>1724</v>
      </c>
      <c r="W383" t="s">
        <v>143</v>
      </c>
      <c r="X383" t="s">
        <v>1728</v>
      </c>
      <c r="Y383">
        <v>1</v>
      </c>
      <c r="Z383">
        <v>44</v>
      </c>
    </row>
    <row r="384" spans="1:26">
      <c r="A384" s="1">
        <v>382</v>
      </c>
      <c r="B384" t="str">
        <f>HYPERLINK("https://bugs.eclipse.org/bugs/show_bug.cgi?id=15083", "15083")</f>
        <v>15083</v>
      </c>
      <c r="C384" t="s">
        <v>140</v>
      </c>
      <c r="D384" t="s">
        <v>10</v>
      </c>
      <c r="E384" t="s">
        <v>16</v>
      </c>
      <c r="F384" t="s">
        <v>145</v>
      </c>
      <c r="L384" t="s">
        <v>1729</v>
      </c>
      <c r="R384" t="s">
        <v>1729</v>
      </c>
      <c r="T384" t="s">
        <v>1730</v>
      </c>
      <c r="U384" t="s">
        <v>1729</v>
      </c>
      <c r="V384" t="s">
        <v>1729</v>
      </c>
      <c r="W384" t="s">
        <v>60</v>
      </c>
      <c r="X384" t="s">
        <v>1731</v>
      </c>
      <c r="Y384">
        <v>0</v>
      </c>
      <c r="Z384">
        <v>0</v>
      </c>
    </row>
    <row r="385" spans="1:26">
      <c r="A385" s="1">
        <v>383</v>
      </c>
      <c r="B385" t="str">
        <f>HYPERLINK("https://bugs.eclipse.org/bugs/show_bug.cgi?id=15188", "15188")</f>
        <v>15188</v>
      </c>
      <c r="C385" t="s">
        <v>149</v>
      </c>
      <c r="D385" t="s">
        <v>10</v>
      </c>
      <c r="E385" t="s">
        <v>12</v>
      </c>
      <c r="F385" t="s">
        <v>150</v>
      </c>
      <c r="L385" t="s">
        <v>1732</v>
      </c>
      <c r="N385" t="s">
        <v>1732</v>
      </c>
      <c r="T385" t="s">
        <v>1733</v>
      </c>
      <c r="U385" t="s">
        <v>1734</v>
      </c>
      <c r="V385" t="s">
        <v>1732</v>
      </c>
      <c r="W385" t="s">
        <v>60</v>
      </c>
      <c r="X385" t="s">
        <v>1735</v>
      </c>
      <c r="Y385">
        <v>1</v>
      </c>
      <c r="Z385">
        <v>3</v>
      </c>
    </row>
    <row r="386" spans="1:26">
      <c r="A386" s="1">
        <v>384</v>
      </c>
      <c r="B386" t="str">
        <f>HYPERLINK("https://bugs.eclipse.org/bugs/show_bug.cgi?id=15266", "15266")</f>
        <v>15266</v>
      </c>
      <c r="C386" t="s">
        <v>1736</v>
      </c>
      <c r="D386" t="s">
        <v>10</v>
      </c>
      <c r="E386" t="s">
        <v>15</v>
      </c>
      <c r="F386" t="s">
        <v>26</v>
      </c>
      <c r="L386" t="s">
        <v>1737</v>
      </c>
      <c r="Q386" t="s">
        <v>1737</v>
      </c>
      <c r="T386" t="s">
        <v>1738</v>
      </c>
      <c r="U386" t="s">
        <v>1739</v>
      </c>
      <c r="V386" t="s">
        <v>1737</v>
      </c>
      <c r="W386" t="s">
        <v>134</v>
      </c>
      <c r="X386" t="s">
        <v>1740</v>
      </c>
      <c r="Y386">
        <v>2</v>
      </c>
      <c r="Z386">
        <v>21</v>
      </c>
    </row>
    <row r="387" spans="1:26">
      <c r="A387" s="1">
        <v>385</v>
      </c>
      <c r="B387" t="str">
        <f>HYPERLINK("https://bugs.eclipse.org/bugs/show_bug.cgi?id=15270", "15270")</f>
        <v>15270</v>
      </c>
      <c r="C387" t="s">
        <v>88</v>
      </c>
      <c r="D387" t="s">
        <v>10</v>
      </c>
      <c r="E387" t="s">
        <v>13</v>
      </c>
      <c r="F387" t="s">
        <v>150</v>
      </c>
      <c r="L387" t="s">
        <v>1741</v>
      </c>
      <c r="O387" t="s">
        <v>1741</v>
      </c>
      <c r="T387" t="s">
        <v>1742</v>
      </c>
      <c r="U387" t="s">
        <v>1741</v>
      </c>
      <c r="V387" t="s">
        <v>1741</v>
      </c>
      <c r="W387" t="s">
        <v>134</v>
      </c>
      <c r="X387" t="s">
        <v>1743</v>
      </c>
      <c r="Y387">
        <v>0</v>
      </c>
      <c r="Z387">
        <v>0</v>
      </c>
    </row>
    <row r="388" spans="1:26">
      <c r="A388" s="1">
        <v>386</v>
      </c>
      <c r="B388" t="str">
        <f>HYPERLINK("https://bugs.eclipse.org/bugs/show_bug.cgi?id=15308", "15308")</f>
        <v>15308</v>
      </c>
      <c r="C388" t="s">
        <v>149</v>
      </c>
      <c r="D388" t="s">
        <v>10</v>
      </c>
      <c r="E388" t="s">
        <v>12</v>
      </c>
      <c r="F388" t="s">
        <v>150</v>
      </c>
      <c r="L388" t="s">
        <v>1744</v>
      </c>
      <c r="N388" t="s">
        <v>1744</v>
      </c>
      <c r="T388" t="s">
        <v>1745</v>
      </c>
      <c r="U388" t="s">
        <v>1744</v>
      </c>
      <c r="V388" t="s">
        <v>1744</v>
      </c>
      <c r="W388" t="s">
        <v>86</v>
      </c>
      <c r="X388" t="s">
        <v>1746</v>
      </c>
      <c r="Y388">
        <v>1</v>
      </c>
      <c r="Z388">
        <v>1</v>
      </c>
    </row>
    <row r="389" spans="1:26">
      <c r="A389" s="1">
        <v>387</v>
      </c>
      <c r="B389" t="str">
        <f>HYPERLINK("https://bugs.eclipse.org/bugs/show_bug.cgi?id=15374", "15374")</f>
        <v>15374</v>
      </c>
      <c r="C389" t="s">
        <v>149</v>
      </c>
      <c r="D389" t="s">
        <v>10</v>
      </c>
      <c r="E389" t="s">
        <v>12</v>
      </c>
      <c r="F389" t="s">
        <v>26</v>
      </c>
      <c r="G389" t="s">
        <v>1747</v>
      </c>
      <c r="L389" t="s">
        <v>1748</v>
      </c>
      <c r="N389" t="s">
        <v>1748</v>
      </c>
      <c r="T389" t="s">
        <v>1749</v>
      </c>
      <c r="U389" t="s">
        <v>1750</v>
      </c>
      <c r="V389" t="s">
        <v>1751</v>
      </c>
      <c r="W389" t="s">
        <v>86</v>
      </c>
      <c r="X389" t="s">
        <v>1752</v>
      </c>
      <c r="Y389">
        <v>1</v>
      </c>
      <c r="Z389">
        <v>755</v>
      </c>
    </row>
    <row r="390" spans="1:26">
      <c r="A390" s="1">
        <v>388</v>
      </c>
      <c r="B390" t="str">
        <f>HYPERLINK("https://bugs.eclipse.org/bugs/show_bug.cgi?id=15425", "15425")</f>
        <v>15425</v>
      </c>
      <c r="C390" t="s">
        <v>140</v>
      </c>
      <c r="D390" t="s">
        <v>10</v>
      </c>
      <c r="E390" t="s">
        <v>16</v>
      </c>
      <c r="F390" t="s">
        <v>26</v>
      </c>
      <c r="L390" t="s">
        <v>1753</v>
      </c>
      <c r="R390" t="s">
        <v>1753</v>
      </c>
      <c r="T390" t="s">
        <v>1754</v>
      </c>
      <c r="U390" t="s">
        <v>1753</v>
      </c>
      <c r="V390" t="s">
        <v>1753</v>
      </c>
      <c r="W390" t="s">
        <v>134</v>
      </c>
      <c r="X390" t="s">
        <v>1755</v>
      </c>
      <c r="Y390">
        <v>4</v>
      </c>
      <c r="Z390">
        <v>4</v>
      </c>
    </row>
    <row r="391" spans="1:26">
      <c r="A391" s="1">
        <v>389</v>
      </c>
      <c r="B391" t="str">
        <f>HYPERLINK("https://bugs.eclipse.org/bugs/show_bug.cgi?id=15432", "15432")</f>
        <v>15432</v>
      </c>
      <c r="C391" t="s">
        <v>140</v>
      </c>
      <c r="D391" t="s">
        <v>10</v>
      </c>
      <c r="E391" t="s">
        <v>16</v>
      </c>
      <c r="F391" t="s">
        <v>145</v>
      </c>
      <c r="L391" t="s">
        <v>1756</v>
      </c>
      <c r="R391" t="s">
        <v>1756</v>
      </c>
      <c r="T391" t="s">
        <v>1757</v>
      </c>
      <c r="U391" t="s">
        <v>1758</v>
      </c>
      <c r="V391" t="s">
        <v>1756</v>
      </c>
      <c r="W391" t="s">
        <v>60</v>
      </c>
      <c r="X391" t="s">
        <v>1759</v>
      </c>
      <c r="Y391">
        <v>0</v>
      </c>
      <c r="Z391">
        <v>9</v>
      </c>
    </row>
    <row r="392" spans="1:26">
      <c r="A392" s="1">
        <v>390</v>
      </c>
      <c r="B392" t="str">
        <f>HYPERLINK("https://bugs.eclipse.org/bugs/show_bug.cgi?id=15440", "15440")</f>
        <v>15440</v>
      </c>
      <c r="C392" t="s">
        <v>149</v>
      </c>
      <c r="D392" t="s">
        <v>10</v>
      </c>
      <c r="E392" t="s">
        <v>12</v>
      </c>
      <c r="F392" t="s">
        <v>145</v>
      </c>
      <c r="L392" t="s">
        <v>1760</v>
      </c>
      <c r="N392" t="s">
        <v>1760</v>
      </c>
      <c r="T392" t="s">
        <v>1761</v>
      </c>
      <c r="U392" t="s">
        <v>1762</v>
      </c>
      <c r="V392" t="s">
        <v>1760</v>
      </c>
      <c r="W392" t="s">
        <v>147</v>
      </c>
      <c r="X392" t="s">
        <v>1763</v>
      </c>
      <c r="Y392">
        <v>0</v>
      </c>
      <c r="Z392">
        <v>1</v>
      </c>
    </row>
    <row r="393" spans="1:26">
      <c r="A393" s="1">
        <v>391</v>
      </c>
      <c r="B393" t="str">
        <f>HYPERLINK("https://bugs.eclipse.org/bugs/show_bug.cgi?id=15442", "15442")</f>
        <v>15442</v>
      </c>
      <c r="C393" t="s">
        <v>88</v>
      </c>
      <c r="D393" t="s">
        <v>10</v>
      </c>
      <c r="E393" t="s">
        <v>13</v>
      </c>
      <c r="F393" t="s">
        <v>26</v>
      </c>
      <c r="L393" t="s">
        <v>1764</v>
      </c>
      <c r="O393" t="s">
        <v>1764</v>
      </c>
      <c r="T393" t="s">
        <v>1765</v>
      </c>
      <c r="U393" t="s">
        <v>1766</v>
      </c>
      <c r="V393" t="s">
        <v>1764</v>
      </c>
      <c r="W393" t="s">
        <v>86</v>
      </c>
      <c r="X393" t="s">
        <v>1767</v>
      </c>
      <c r="Y393">
        <v>0</v>
      </c>
      <c r="Z393">
        <v>275.04166666666669</v>
      </c>
    </row>
    <row r="394" spans="1:26">
      <c r="A394" s="1">
        <v>392</v>
      </c>
      <c r="B394" t="str">
        <f>HYPERLINK("https://bugs.eclipse.org/bugs/show_bug.cgi?id=15698", "15698")</f>
        <v>15698</v>
      </c>
      <c r="C394" t="s">
        <v>149</v>
      </c>
      <c r="D394" t="s">
        <v>10</v>
      </c>
      <c r="E394" t="s">
        <v>12</v>
      </c>
      <c r="F394" t="s">
        <v>145</v>
      </c>
      <c r="L394" t="s">
        <v>1768</v>
      </c>
      <c r="N394" t="s">
        <v>1768</v>
      </c>
      <c r="T394" t="s">
        <v>1769</v>
      </c>
      <c r="U394" t="s">
        <v>1770</v>
      </c>
      <c r="V394" t="s">
        <v>1768</v>
      </c>
      <c r="W394" t="s">
        <v>1771</v>
      </c>
      <c r="X394" t="s">
        <v>1772</v>
      </c>
      <c r="Y394">
        <v>1</v>
      </c>
      <c r="Z394">
        <v>8</v>
      </c>
    </row>
    <row r="395" spans="1:26">
      <c r="A395" s="1">
        <v>393</v>
      </c>
      <c r="B395" t="str">
        <f>HYPERLINK("https://bugs.eclipse.org/bugs/show_bug.cgi?id=15747", "15747")</f>
        <v>15747</v>
      </c>
      <c r="C395" t="s">
        <v>149</v>
      </c>
      <c r="D395" t="s">
        <v>10</v>
      </c>
      <c r="E395" t="s">
        <v>12</v>
      </c>
      <c r="F395" t="s">
        <v>26</v>
      </c>
      <c r="L395" t="s">
        <v>1773</v>
      </c>
      <c r="N395" t="s">
        <v>1773</v>
      </c>
      <c r="T395" t="s">
        <v>1774</v>
      </c>
      <c r="U395" t="s">
        <v>1773</v>
      </c>
      <c r="V395" t="s">
        <v>1773</v>
      </c>
      <c r="W395" t="s">
        <v>86</v>
      </c>
      <c r="X395" t="s">
        <v>1775</v>
      </c>
      <c r="Y395">
        <v>0</v>
      </c>
      <c r="Z395">
        <v>0</v>
      </c>
    </row>
    <row r="396" spans="1:26">
      <c r="A396" s="1">
        <v>394</v>
      </c>
      <c r="B396" t="str">
        <f>HYPERLINK("https://bugs.eclipse.org/bugs/show_bug.cgi?id=15763", "15763")</f>
        <v>15763</v>
      </c>
      <c r="C396" t="s">
        <v>35</v>
      </c>
      <c r="D396" t="s">
        <v>11</v>
      </c>
      <c r="E396" t="s">
        <v>12</v>
      </c>
      <c r="F396" t="s">
        <v>145</v>
      </c>
      <c r="L396" t="s">
        <v>1776</v>
      </c>
      <c r="M396" t="s">
        <v>1777</v>
      </c>
      <c r="N396" t="s">
        <v>1776</v>
      </c>
      <c r="T396" t="s">
        <v>1778</v>
      </c>
      <c r="U396" t="s">
        <v>1779</v>
      </c>
      <c r="V396" t="s">
        <v>1777</v>
      </c>
      <c r="W396" t="s">
        <v>40</v>
      </c>
      <c r="X396" t="s">
        <v>1780</v>
      </c>
      <c r="Y396">
        <v>1</v>
      </c>
      <c r="Z396">
        <v>24</v>
      </c>
    </row>
    <row r="397" spans="1:26">
      <c r="A397" s="1">
        <v>395</v>
      </c>
      <c r="B397" t="str">
        <f>HYPERLINK("https://bugs.eclipse.org/bugs/show_bug.cgi?id=15786", "15786")</f>
        <v>15786</v>
      </c>
      <c r="C397" t="s">
        <v>56</v>
      </c>
      <c r="D397" t="s">
        <v>10</v>
      </c>
      <c r="E397" t="s">
        <v>14</v>
      </c>
      <c r="F397" t="s">
        <v>26</v>
      </c>
      <c r="L397" t="s">
        <v>1781</v>
      </c>
      <c r="P397" t="s">
        <v>1782</v>
      </c>
      <c r="T397" t="s">
        <v>1783</v>
      </c>
      <c r="U397" t="s">
        <v>1784</v>
      </c>
      <c r="V397" t="s">
        <v>1782</v>
      </c>
      <c r="W397" t="s">
        <v>75</v>
      </c>
      <c r="X397" t="s">
        <v>1785</v>
      </c>
      <c r="Y397">
        <v>1</v>
      </c>
      <c r="Z397">
        <v>2669</v>
      </c>
    </row>
    <row r="398" spans="1:26">
      <c r="A398" s="1">
        <v>396</v>
      </c>
      <c r="B398" t="str">
        <f>HYPERLINK("https://bugs.eclipse.org/bugs/show_bug.cgi?id=15805", "15805")</f>
        <v>15805</v>
      </c>
      <c r="C398" t="s">
        <v>149</v>
      </c>
      <c r="D398" t="s">
        <v>10</v>
      </c>
      <c r="E398" t="s">
        <v>12</v>
      </c>
      <c r="F398" t="s">
        <v>26</v>
      </c>
      <c r="L398" t="s">
        <v>1786</v>
      </c>
      <c r="N398" t="s">
        <v>1786</v>
      </c>
      <c r="T398" t="s">
        <v>1787</v>
      </c>
      <c r="U398" t="s">
        <v>1788</v>
      </c>
      <c r="V398" t="s">
        <v>1786</v>
      </c>
      <c r="W398" t="s">
        <v>60</v>
      </c>
      <c r="X398" t="s">
        <v>1789</v>
      </c>
      <c r="Y398">
        <v>0</v>
      </c>
      <c r="Z398">
        <v>3</v>
      </c>
    </row>
    <row r="399" spans="1:26">
      <c r="A399" s="1">
        <v>397</v>
      </c>
      <c r="B399" t="str">
        <f>HYPERLINK("https://bugs.eclipse.org/bugs/show_bug.cgi?id=15929", "15929")</f>
        <v>15929</v>
      </c>
      <c r="C399" t="s">
        <v>149</v>
      </c>
      <c r="D399" t="s">
        <v>10</v>
      </c>
      <c r="E399" t="s">
        <v>12</v>
      </c>
      <c r="F399" t="s">
        <v>26</v>
      </c>
      <c r="L399" t="s">
        <v>1790</v>
      </c>
      <c r="N399" t="s">
        <v>1790</v>
      </c>
      <c r="T399" t="s">
        <v>1791</v>
      </c>
      <c r="U399" t="s">
        <v>1792</v>
      </c>
      <c r="V399" t="s">
        <v>1790</v>
      </c>
      <c r="W399" t="s">
        <v>49</v>
      </c>
      <c r="X399" t="s">
        <v>1793</v>
      </c>
      <c r="Y399">
        <v>0</v>
      </c>
      <c r="Z399">
        <v>322.04166666666669</v>
      </c>
    </row>
    <row r="400" spans="1:26">
      <c r="A400" s="1">
        <v>398</v>
      </c>
      <c r="B400" t="str">
        <f>HYPERLINK("https://bugs.eclipse.org/bugs/show_bug.cgi?id=16043", "16043")</f>
        <v>16043</v>
      </c>
      <c r="C400" t="s">
        <v>149</v>
      </c>
      <c r="D400" t="s">
        <v>10</v>
      </c>
      <c r="E400" t="s">
        <v>12</v>
      </c>
      <c r="F400" t="s">
        <v>26</v>
      </c>
      <c r="L400" t="s">
        <v>1794</v>
      </c>
      <c r="N400" t="s">
        <v>1794</v>
      </c>
      <c r="T400" t="s">
        <v>1795</v>
      </c>
      <c r="U400" t="s">
        <v>1796</v>
      </c>
      <c r="V400" t="s">
        <v>1794</v>
      </c>
      <c r="W400" t="s">
        <v>134</v>
      </c>
      <c r="X400" t="s">
        <v>1797</v>
      </c>
      <c r="Y400">
        <v>0</v>
      </c>
      <c r="Z400">
        <v>266.04166666666669</v>
      </c>
    </row>
    <row r="401" spans="1:26">
      <c r="A401" s="1">
        <v>399</v>
      </c>
      <c r="B401" t="str">
        <f>HYPERLINK("https://bugs.eclipse.org/bugs/show_bug.cgi?id=16147", "16147")</f>
        <v>16147</v>
      </c>
      <c r="C401" t="s">
        <v>1798</v>
      </c>
      <c r="D401" t="s">
        <v>10</v>
      </c>
      <c r="E401" t="s">
        <v>15</v>
      </c>
      <c r="F401" t="s">
        <v>26</v>
      </c>
      <c r="L401" t="s">
        <v>1799</v>
      </c>
      <c r="Q401" t="s">
        <v>1799</v>
      </c>
      <c r="T401" t="s">
        <v>1800</v>
      </c>
      <c r="U401" t="s">
        <v>1799</v>
      </c>
      <c r="V401" t="s">
        <v>1799</v>
      </c>
      <c r="W401" t="s">
        <v>60</v>
      </c>
      <c r="X401" t="s">
        <v>1801</v>
      </c>
      <c r="Y401">
        <v>0</v>
      </c>
      <c r="Z401">
        <v>0</v>
      </c>
    </row>
    <row r="402" spans="1:26">
      <c r="A402" s="1">
        <v>400</v>
      </c>
      <c r="B402" t="str">
        <f>HYPERLINK("https://bugs.eclipse.org/bugs/show_bug.cgi?id=16155", "16155")</f>
        <v>16155</v>
      </c>
      <c r="C402" t="s">
        <v>149</v>
      </c>
      <c r="D402" t="s">
        <v>10</v>
      </c>
      <c r="E402" t="s">
        <v>12</v>
      </c>
      <c r="F402" t="s">
        <v>26</v>
      </c>
      <c r="L402" t="s">
        <v>1802</v>
      </c>
      <c r="N402" t="s">
        <v>1802</v>
      </c>
      <c r="T402" t="s">
        <v>1803</v>
      </c>
      <c r="U402" t="s">
        <v>1804</v>
      </c>
      <c r="V402" t="s">
        <v>1802</v>
      </c>
      <c r="W402" t="s">
        <v>134</v>
      </c>
      <c r="X402" t="s">
        <v>1805</v>
      </c>
      <c r="Y402">
        <v>0</v>
      </c>
      <c r="Z402">
        <v>14</v>
      </c>
    </row>
    <row r="403" spans="1:26">
      <c r="A403" s="1">
        <v>401</v>
      </c>
      <c r="B403" t="str">
        <f>HYPERLINK("https://bugs.eclipse.org/bugs/show_bug.cgi?id=16226", "16226")</f>
        <v>16226</v>
      </c>
      <c r="C403" t="s">
        <v>88</v>
      </c>
      <c r="D403" t="s">
        <v>10</v>
      </c>
      <c r="E403" t="s">
        <v>13</v>
      </c>
      <c r="F403" t="s">
        <v>26</v>
      </c>
      <c r="L403" t="s">
        <v>1806</v>
      </c>
      <c r="O403" t="s">
        <v>1806</v>
      </c>
      <c r="T403" t="s">
        <v>1807</v>
      </c>
      <c r="U403" t="s">
        <v>1808</v>
      </c>
      <c r="V403" t="s">
        <v>1806</v>
      </c>
      <c r="W403" t="s">
        <v>86</v>
      </c>
      <c r="X403" t="s">
        <v>1809</v>
      </c>
      <c r="Y403">
        <v>0</v>
      </c>
      <c r="Z403">
        <v>732</v>
      </c>
    </row>
    <row r="404" spans="1:26">
      <c r="A404" s="1">
        <v>402</v>
      </c>
      <c r="B404" t="str">
        <f>HYPERLINK("https://bugs.eclipse.org/bugs/show_bug.cgi?id=16265", "16265")</f>
        <v>16265</v>
      </c>
      <c r="C404" t="s">
        <v>35</v>
      </c>
      <c r="D404" t="s">
        <v>11</v>
      </c>
      <c r="E404" t="s">
        <v>12</v>
      </c>
      <c r="F404" t="s">
        <v>26</v>
      </c>
      <c r="L404" t="s">
        <v>1810</v>
      </c>
      <c r="M404" t="s">
        <v>1811</v>
      </c>
      <c r="N404" t="s">
        <v>1812</v>
      </c>
      <c r="T404" t="s">
        <v>1813</v>
      </c>
      <c r="U404" t="s">
        <v>1814</v>
      </c>
      <c r="V404" t="s">
        <v>1811</v>
      </c>
      <c r="W404" t="s">
        <v>1815</v>
      </c>
      <c r="X404" t="s">
        <v>1816</v>
      </c>
      <c r="Y404">
        <v>8</v>
      </c>
      <c r="Z404">
        <v>20</v>
      </c>
    </row>
    <row r="405" spans="1:26">
      <c r="A405" s="1">
        <v>403</v>
      </c>
      <c r="B405" t="str">
        <f>HYPERLINK("https://bugs.eclipse.org/bugs/show_bug.cgi?id=16274", "16274")</f>
        <v>16274</v>
      </c>
      <c r="C405" t="s">
        <v>149</v>
      </c>
      <c r="D405" t="s">
        <v>10</v>
      </c>
      <c r="E405" t="s">
        <v>12</v>
      </c>
      <c r="F405" t="s">
        <v>26</v>
      </c>
      <c r="L405" t="s">
        <v>1817</v>
      </c>
      <c r="N405" t="s">
        <v>1817</v>
      </c>
      <c r="T405" t="s">
        <v>1818</v>
      </c>
      <c r="U405" t="s">
        <v>1817</v>
      </c>
      <c r="V405" t="s">
        <v>1817</v>
      </c>
      <c r="W405" t="s">
        <v>134</v>
      </c>
      <c r="X405" t="s">
        <v>1819</v>
      </c>
      <c r="Y405">
        <v>13</v>
      </c>
      <c r="Z405">
        <v>13</v>
      </c>
    </row>
    <row r="406" spans="1:26">
      <c r="A406" s="1">
        <v>404</v>
      </c>
      <c r="B406" t="str">
        <f>HYPERLINK("https://bugs.eclipse.org/bugs/show_bug.cgi?id=16452", "16452")</f>
        <v>16452</v>
      </c>
      <c r="C406" t="s">
        <v>149</v>
      </c>
      <c r="D406" t="s">
        <v>10</v>
      </c>
      <c r="E406" t="s">
        <v>12</v>
      </c>
      <c r="F406" t="s">
        <v>145</v>
      </c>
      <c r="L406" t="s">
        <v>1820</v>
      </c>
      <c r="N406" t="s">
        <v>1820</v>
      </c>
      <c r="T406" t="s">
        <v>1821</v>
      </c>
      <c r="U406" t="s">
        <v>1820</v>
      </c>
      <c r="V406" t="s">
        <v>1820</v>
      </c>
      <c r="W406" t="s">
        <v>134</v>
      </c>
      <c r="X406" t="s">
        <v>1822</v>
      </c>
      <c r="Y406">
        <v>0</v>
      </c>
      <c r="Z406">
        <v>0</v>
      </c>
    </row>
    <row r="407" spans="1:26">
      <c r="A407" s="1">
        <v>405</v>
      </c>
      <c r="B407" t="str">
        <f>HYPERLINK("https://bugs.eclipse.org/bugs/show_bug.cgi?id=16540", "16540")</f>
        <v>16540</v>
      </c>
      <c r="C407" t="s">
        <v>140</v>
      </c>
      <c r="D407" t="s">
        <v>10</v>
      </c>
      <c r="E407" t="s">
        <v>16</v>
      </c>
      <c r="F407" t="s">
        <v>26</v>
      </c>
      <c r="L407" t="s">
        <v>1823</v>
      </c>
      <c r="R407" t="s">
        <v>1823</v>
      </c>
      <c r="T407" t="s">
        <v>1824</v>
      </c>
      <c r="U407" t="s">
        <v>1825</v>
      </c>
      <c r="V407" t="s">
        <v>1826</v>
      </c>
      <c r="W407" t="s">
        <v>134</v>
      </c>
      <c r="X407" t="s">
        <v>1827</v>
      </c>
      <c r="Y407">
        <v>0</v>
      </c>
      <c r="Z407">
        <v>12</v>
      </c>
    </row>
    <row r="408" spans="1:26">
      <c r="A408" s="1">
        <v>406</v>
      </c>
      <c r="B408" t="str">
        <f>HYPERLINK("https://bugs.eclipse.org/bugs/show_bug.cgi?id=16568", "16568")</f>
        <v>16568</v>
      </c>
      <c r="C408" t="s">
        <v>140</v>
      </c>
      <c r="D408" t="s">
        <v>10</v>
      </c>
      <c r="E408" t="s">
        <v>16</v>
      </c>
      <c r="F408" t="s">
        <v>26</v>
      </c>
      <c r="L408" t="s">
        <v>1828</v>
      </c>
      <c r="R408" t="s">
        <v>1828</v>
      </c>
      <c r="T408" t="s">
        <v>1829</v>
      </c>
      <c r="U408" t="s">
        <v>1830</v>
      </c>
      <c r="V408" t="s">
        <v>1828</v>
      </c>
      <c r="W408" t="s">
        <v>60</v>
      </c>
      <c r="X408" t="s">
        <v>1831</v>
      </c>
      <c r="Y408">
        <v>0</v>
      </c>
      <c r="Z408">
        <v>7</v>
      </c>
    </row>
    <row r="409" spans="1:26">
      <c r="A409" s="1">
        <v>407</v>
      </c>
      <c r="B409" t="str">
        <f>HYPERLINK("https://bugs.eclipse.org/bugs/show_bug.cgi?id=16694", "16694")</f>
        <v>16694</v>
      </c>
      <c r="C409" t="s">
        <v>35</v>
      </c>
      <c r="D409" t="s">
        <v>11</v>
      </c>
      <c r="E409" t="s">
        <v>12</v>
      </c>
      <c r="F409" t="s">
        <v>150</v>
      </c>
      <c r="L409" t="s">
        <v>1832</v>
      </c>
      <c r="M409" t="s">
        <v>1833</v>
      </c>
      <c r="N409" t="s">
        <v>1832</v>
      </c>
      <c r="T409" t="s">
        <v>1834</v>
      </c>
      <c r="U409" t="s">
        <v>1835</v>
      </c>
      <c r="V409" t="s">
        <v>1833</v>
      </c>
      <c r="W409" t="s">
        <v>40</v>
      </c>
      <c r="X409" t="s">
        <v>1836</v>
      </c>
      <c r="Y409">
        <v>4</v>
      </c>
      <c r="Z409">
        <v>13</v>
      </c>
    </row>
    <row r="410" spans="1:26">
      <c r="A410" s="1">
        <v>408</v>
      </c>
      <c r="B410" t="str">
        <f>HYPERLINK("https://bugs.eclipse.org/bugs/show_bug.cgi?id=16697", "16697")</f>
        <v>16697</v>
      </c>
      <c r="C410" t="s">
        <v>56</v>
      </c>
      <c r="D410" t="s">
        <v>10</v>
      </c>
      <c r="E410" t="s">
        <v>14</v>
      </c>
      <c r="F410" t="s">
        <v>26</v>
      </c>
      <c r="L410" t="s">
        <v>1837</v>
      </c>
      <c r="P410" t="s">
        <v>1838</v>
      </c>
      <c r="T410" t="s">
        <v>1839</v>
      </c>
      <c r="U410" t="s">
        <v>1840</v>
      </c>
      <c r="V410" t="s">
        <v>1838</v>
      </c>
      <c r="W410" t="s">
        <v>80</v>
      </c>
      <c r="X410" t="s">
        <v>1841</v>
      </c>
      <c r="Y410">
        <v>4</v>
      </c>
      <c r="Z410">
        <v>2658</v>
      </c>
    </row>
    <row r="411" spans="1:26">
      <c r="A411" s="1">
        <v>409</v>
      </c>
      <c r="B411" t="str">
        <f>HYPERLINK("https://bugs.eclipse.org/bugs/show_bug.cgi?id=16727", "16727")</f>
        <v>16727</v>
      </c>
      <c r="C411" t="s">
        <v>1842</v>
      </c>
      <c r="D411" t="s">
        <v>10</v>
      </c>
      <c r="E411" t="s">
        <v>15</v>
      </c>
      <c r="F411" t="s">
        <v>26</v>
      </c>
      <c r="L411" t="s">
        <v>1843</v>
      </c>
      <c r="Q411" t="s">
        <v>1843</v>
      </c>
      <c r="T411" t="s">
        <v>1844</v>
      </c>
      <c r="U411" t="s">
        <v>1843</v>
      </c>
      <c r="V411" t="s">
        <v>1843</v>
      </c>
      <c r="W411" t="s">
        <v>86</v>
      </c>
      <c r="X411" t="s">
        <v>1845</v>
      </c>
      <c r="Y411">
        <v>1</v>
      </c>
      <c r="Z411">
        <v>1</v>
      </c>
    </row>
    <row r="412" spans="1:26">
      <c r="A412" s="1">
        <v>410</v>
      </c>
      <c r="B412" t="str">
        <f>HYPERLINK("https://bugs.eclipse.org/bugs/show_bug.cgi?id=16737", "16737")</f>
        <v>16737</v>
      </c>
      <c r="C412" t="s">
        <v>35</v>
      </c>
      <c r="D412" t="s">
        <v>11</v>
      </c>
      <c r="E412" t="s">
        <v>12</v>
      </c>
      <c r="F412" t="s">
        <v>150</v>
      </c>
      <c r="L412" t="s">
        <v>1846</v>
      </c>
      <c r="M412" t="s">
        <v>1847</v>
      </c>
      <c r="N412" t="s">
        <v>1846</v>
      </c>
      <c r="T412" t="s">
        <v>1848</v>
      </c>
      <c r="U412" t="s">
        <v>1849</v>
      </c>
      <c r="V412" t="s">
        <v>1847</v>
      </c>
      <c r="W412" t="s">
        <v>40</v>
      </c>
      <c r="X412" t="s">
        <v>1850</v>
      </c>
      <c r="Y412">
        <v>0</v>
      </c>
      <c r="Z412">
        <v>13</v>
      </c>
    </row>
    <row r="413" spans="1:26">
      <c r="A413" s="1">
        <v>411</v>
      </c>
      <c r="B413" t="str">
        <f>HYPERLINK("https://bugs.eclipse.org/bugs/show_bug.cgi?id=16741", "16741")</f>
        <v>16741</v>
      </c>
      <c r="C413" t="s">
        <v>1851</v>
      </c>
      <c r="D413" t="s">
        <v>10</v>
      </c>
      <c r="E413" t="s">
        <v>15</v>
      </c>
      <c r="F413" t="s">
        <v>51</v>
      </c>
      <c r="L413" t="s">
        <v>1852</v>
      </c>
      <c r="P413" t="s">
        <v>1853</v>
      </c>
      <c r="Q413" t="s">
        <v>1852</v>
      </c>
      <c r="S413" t="s">
        <v>1854</v>
      </c>
      <c r="T413" t="s">
        <v>1855</v>
      </c>
      <c r="U413" t="s">
        <v>1856</v>
      </c>
      <c r="V413" t="s">
        <v>1852</v>
      </c>
      <c r="W413" t="s">
        <v>49</v>
      </c>
      <c r="X413" t="s">
        <v>1857</v>
      </c>
      <c r="Y413">
        <v>3</v>
      </c>
      <c r="Z413">
        <v>1636.041666666667</v>
      </c>
    </row>
    <row r="414" spans="1:26">
      <c r="A414" s="1">
        <v>412</v>
      </c>
      <c r="B414" t="str">
        <f>HYPERLINK("https://bugs.eclipse.org/bugs/show_bug.cgi?id=16870", "16870")</f>
        <v>16870</v>
      </c>
      <c r="C414" t="s">
        <v>140</v>
      </c>
      <c r="D414" t="s">
        <v>10</v>
      </c>
      <c r="E414" t="s">
        <v>16</v>
      </c>
      <c r="F414" t="s">
        <v>150</v>
      </c>
      <c r="L414" t="s">
        <v>1858</v>
      </c>
      <c r="R414" t="s">
        <v>1858</v>
      </c>
      <c r="T414" t="s">
        <v>1859</v>
      </c>
      <c r="U414" t="s">
        <v>1860</v>
      </c>
      <c r="V414" t="s">
        <v>1861</v>
      </c>
      <c r="W414" t="s">
        <v>134</v>
      </c>
      <c r="X414" t="s">
        <v>1862</v>
      </c>
      <c r="Y414">
        <v>0</v>
      </c>
      <c r="Z414">
        <v>11</v>
      </c>
    </row>
    <row r="415" spans="1:26">
      <c r="A415" s="1">
        <v>413</v>
      </c>
      <c r="B415" t="str">
        <f>HYPERLINK("https://bugs.eclipse.org/bugs/show_bug.cgi?id=16898", "16898")</f>
        <v>16898</v>
      </c>
      <c r="C415" t="s">
        <v>1863</v>
      </c>
      <c r="D415" t="s">
        <v>10</v>
      </c>
      <c r="E415" t="s">
        <v>15</v>
      </c>
      <c r="F415" t="s">
        <v>145</v>
      </c>
      <c r="L415" t="s">
        <v>1864</v>
      </c>
      <c r="Q415" t="s">
        <v>1864</v>
      </c>
      <c r="T415" t="s">
        <v>1865</v>
      </c>
      <c r="U415" t="s">
        <v>1866</v>
      </c>
      <c r="V415" t="s">
        <v>1864</v>
      </c>
      <c r="W415" t="s">
        <v>283</v>
      </c>
      <c r="X415" t="s">
        <v>1867</v>
      </c>
      <c r="Y415">
        <v>4</v>
      </c>
      <c r="Z415">
        <v>5</v>
      </c>
    </row>
    <row r="416" spans="1:26">
      <c r="A416" s="1">
        <v>414</v>
      </c>
      <c r="B416" t="str">
        <f>HYPERLINK("https://bugs.eclipse.org/bugs/show_bug.cgi?id=17020", "17020")</f>
        <v>17020</v>
      </c>
      <c r="C416" t="s">
        <v>35</v>
      </c>
      <c r="D416" t="s">
        <v>11</v>
      </c>
      <c r="E416" t="s">
        <v>12</v>
      </c>
      <c r="F416" t="s">
        <v>145</v>
      </c>
      <c r="L416" t="s">
        <v>1868</v>
      </c>
      <c r="M416" t="s">
        <v>1869</v>
      </c>
      <c r="N416" t="s">
        <v>1870</v>
      </c>
      <c r="T416" t="s">
        <v>1871</v>
      </c>
      <c r="U416" t="s">
        <v>1872</v>
      </c>
      <c r="V416" t="s">
        <v>1869</v>
      </c>
      <c r="W416" t="s">
        <v>1815</v>
      </c>
      <c r="X416" t="s">
        <v>1873</v>
      </c>
      <c r="Y416">
        <v>2</v>
      </c>
      <c r="Z416">
        <v>12</v>
      </c>
    </row>
    <row r="417" spans="1:26">
      <c r="A417" s="1">
        <v>415</v>
      </c>
      <c r="B417" t="str">
        <f>HYPERLINK("https://bugs.eclipse.org/bugs/show_bug.cgi?id=17054", "17054")</f>
        <v>17054</v>
      </c>
      <c r="C417" t="s">
        <v>1842</v>
      </c>
      <c r="D417" t="s">
        <v>10</v>
      </c>
      <c r="E417" t="s">
        <v>15</v>
      </c>
      <c r="F417" t="s">
        <v>26</v>
      </c>
      <c r="L417" t="s">
        <v>1874</v>
      </c>
      <c r="Q417" t="s">
        <v>1874</v>
      </c>
      <c r="S417" t="s">
        <v>1875</v>
      </c>
      <c r="T417" t="s">
        <v>1876</v>
      </c>
      <c r="U417" t="s">
        <v>1877</v>
      </c>
      <c r="V417" t="s">
        <v>1874</v>
      </c>
      <c r="W417" t="s">
        <v>86</v>
      </c>
      <c r="X417" t="s">
        <v>1878</v>
      </c>
      <c r="Y417">
        <v>0</v>
      </c>
      <c r="Z417">
        <v>1</v>
      </c>
    </row>
    <row r="418" spans="1:26">
      <c r="A418" s="1">
        <v>416</v>
      </c>
      <c r="B418" t="str">
        <f>HYPERLINK("https://bugs.eclipse.org/bugs/show_bug.cgi?id=17170", "17170")</f>
        <v>17170</v>
      </c>
      <c r="C418" t="s">
        <v>149</v>
      </c>
      <c r="D418" t="s">
        <v>10</v>
      </c>
      <c r="E418" t="s">
        <v>12</v>
      </c>
      <c r="F418" t="s">
        <v>26</v>
      </c>
      <c r="L418" t="s">
        <v>1879</v>
      </c>
      <c r="N418" t="s">
        <v>1879</v>
      </c>
      <c r="T418" t="s">
        <v>1880</v>
      </c>
      <c r="U418" t="s">
        <v>1881</v>
      </c>
      <c r="V418" t="s">
        <v>1879</v>
      </c>
      <c r="W418" t="s">
        <v>134</v>
      </c>
      <c r="X418" t="s">
        <v>1882</v>
      </c>
      <c r="Y418">
        <v>8</v>
      </c>
      <c r="Z418">
        <v>16</v>
      </c>
    </row>
    <row r="419" spans="1:26">
      <c r="A419" s="1">
        <v>417</v>
      </c>
      <c r="B419" t="str">
        <f>HYPERLINK("https://bugs.eclipse.org/bugs/show_bug.cgi?id=17180", "17180")</f>
        <v>17180</v>
      </c>
      <c r="C419" t="s">
        <v>149</v>
      </c>
      <c r="D419" t="s">
        <v>10</v>
      </c>
      <c r="E419" t="s">
        <v>12</v>
      </c>
      <c r="F419" t="s">
        <v>150</v>
      </c>
      <c r="L419" t="s">
        <v>1883</v>
      </c>
      <c r="N419" t="s">
        <v>1883</v>
      </c>
      <c r="T419" t="s">
        <v>1884</v>
      </c>
      <c r="U419" t="s">
        <v>1885</v>
      </c>
      <c r="V419" t="s">
        <v>1883</v>
      </c>
      <c r="W419" t="s">
        <v>49</v>
      </c>
      <c r="X419" t="s">
        <v>1886</v>
      </c>
      <c r="Y419">
        <v>2</v>
      </c>
      <c r="Z419">
        <v>6</v>
      </c>
    </row>
    <row r="420" spans="1:26">
      <c r="A420" s="1">
        <v>418</v>
      </c>
      <c r="B420" t="str">
        <f>HYPERLINK("https://bugs.eclipse.org/bugs/show_bug.cgi?id=17188", "17188")</f>
        <v>17188</v>
      </c>
      <c r="C420" t="s">
        <v>140</v>
      </c>
      <c r="D420" t="s">
        <v>10</v>
      </c>
      <c r="E420" t="s">
        <v>16</v>
      </c>
      <c r="F420" t="s">
        <v>150</v>
      </c>
      <c r="L420" t="s">
        <v>1887</v>
      </c>
      <c r="R420" t="s">
        <v>1887</v>
      </c>
      <c r="T420" t="s">
        <v>1888</v>
      </c>
      <c r="U420" t="s">
        <v>1889</v>
      </c>
      <c r="V420" t="s">
        <v>1887</v>
      </c>
      <c r="W420" t="s">
        <v>60</v>
      </c>
      <c r="X420" t="s">
        <v>1890</v>
      </c>
      <c r="Y420">
        <v>3</v>
      </c>
      <c r="Z420">
        <v>179.04166666666671</v>
      </c>
    </row>
    <row r="421" spans="1:26">
      <c r="A421" s="1">
        <v>419</v>
      </c>
      <c r="B421" t="str">
        <f>HYPERLINK("https://bugs.eclipse.org/bugs/show_bug.cgi?id=17195", "17195")</f>
        <v>17195</v>
      </c>
      <c r="C421" t="s">
        <v>35</v>
      </c>
      <c r="D421" t="s">
        <v>11</v>
      </c>
      <c r="E421" t="s">
        <v>12</v>
      </c>
      <c r="F421" t="s">
        <v>150</v>
      </c>
      <c r="L421" t="s">
        <v>1891</v>
      </c>
      <c r="M421" t="s">
        <v>1892</v>
      </c>
      <c r="N421" t="s">
        <v>1893</v>
      </c>
      <c r="T421" t="s">
        <v>1894</v>
      </c>
      <c r="U421" t="s">
        <v>1895</v>
      </c>
      <c r="V421" t="s">
        <v>1892</v>
      </c>
      <c r="W421" t="s">
        <v>1815</v>
      </c>
      <c r="X421" t="s">
        <v>1896</v>
      </c>
      <c r="Y421">
        <v>2</v>
      </c>
      <c r="Z421">
        <v>11</v>
      </c>
    </row>
    <row r="422" spans="1:26">
      <c r="A422" s="1">
        <v>420</v>
      </c>
      <c r="B422" t="str">
        <f>HYPERLINK("https://bugs.eclipse.org/bugs/show_bug.cgi?id=17205", "17205")</f>
        <v>17205</v>
      </c>
      <c r="C422" t="s">
        <v>140</v>
      </c>
      <c r="D422" t="s">
        <v>10</v>
      </c>
      <c r="E422" t="s">
        <v>16</v>
      </c>
      <c r="F422" t="s">
        <v>150</v>
      </c>
      <c r="L422" t="s">
        <v>1897</v>
      </c>
      <c r="R422" t="s">
        <v>1897</v>
      </c>
      <c r="T422" t="s">
        <v>1898</v>
      </c>
      <c r="U422" t="s">
        <v>1899</v>
      </c>
      <c r="V422" t="s">
        <v>1900</v>
      </c>
      <c r="W422" t="s">
        <v>134</v>
      </c>
      <c r="X422" t="s">
        <v>1901</v>
      </c>
      <c r="Y422">
        <v>2</v>
      </c>
      <c r="Z422">
        <v>10</v>
      </c>
    </row>
    <row r="423" spans="1:26">
      <c r="A423" s="1">
        <v>421</v>
      </c>
      <c r="B423" t="str">
        <f>HYPERLINK("https://bugs.eclipse.org/bugs/show_bug.cgi?id=17239", "17239")</f>
        <v>17239</v>
      </c>
      <c r="C423" t="s">
        <v>56</v>
      </c>
      <c r="D423" t="s">
        <v>10</v>
      </c>
      <c r="E423" t="s">
        <v>14</v>
      </c>
      <c r="F423" t="s">
        <v>26</v>
      </c>
      <c r="L423" t="s">
        <v>1902</v>
      </c>
      <c r="N423" t="s">
        <v>1903</v>
      </c>
      <c r="P423" t="s">
        <v>1904</v>
      </c>
      <c r="S423" t="s">
        <v>1905</v>
      </c>
      <c r="T423" t="s">
        <v>1906</v>
      </c>
      <c r="U423" t="s">
        <v>1907</v>
      </c>
      <c r="V423" t="s">
        <v>1904</v>
      </c>
      <c r="W423" t="s">
        <v>80</v>
      </c>
      <c r="X423" t="s">
        <v>1908</v>
      </c>
      <c r="Y423">
        <v>1</v>
      </c>
      <c r="Z423">
        <v>2656</v>
      </c>
    </row>
    <row r="424" spans="1:26">
      <c r="A424" s="1">
        <v>422</v>
      </c>
      <c r="B424" t="str">
        <f>HYPERLINK("https://bugs.eclipse.org/bugs/show_bug.cgi?id=17241", "17241")</f>
        <v>17241</v>
      </c>
      <c r="C424" t="s">
        <v>35</v>
      </c>
      <c r="D424" t="s">
        <v>11</v>
      </c>
      <c r="E424" t="s">
        <v>12</v>
      </c>
      <c r="F424" t="s">
        <v>150</v>
      </c>
      <c r="G424" t="s">
        <v>1909</v>
      </c>
      <c r="L424" t="s">
        <v>1910</v>
      </c>
      <c r="M424" t="s">
        <v>1911</v>
      </c>
      <c r="N424" t="s">
        <v>1910</v>
      </c>
      <c r="T424" t="s">
        <v>1912</v>
      </c>
      <c r="U424" t="s">
        <v>1913</v>
      </c>
      <c r="V424" t="s">
        <v>1911</v>
      </c>
      <c r="W424" t="s">
        <v>143</v>
      </c>
      <c r="X424" t="s">
        <v>1914</v>
      </c>
      <c r="Y424">
        <v>0</v>
      </c>
      <c r="Z424">
        <v>11</v>
      </c>
    </row>
    <row r="425" spans="1:26">
      <c r="A425" s="1">
        <v>423</v>
      </c>
      <c r="B425" t="str">
        <f>HYPERLINK("https://bugs.eclipse.org/bugs/show_bug.cgi?id=17292", "17292")</f>
        <v>17292</v>
      </c>
      <c r="C425" t="s">
        <v>56</v>
      </c>
      <c r="D425" t="s">
        <v>10</v>
      </c>
      <c r="E425" t="s">
        <v>14</v>
      </c>
      <c r="F425" t="s">
        <v>26</v>
      </c>
      <c r="L425" t="s">
        <v>1915</v>
      </c>
      <c r="P425" t="s">
        <v>1916</v>
      </c>
      <c r="T425" t="s">
        <v>1917</v>
      </c>
      <c r="U425" t="s">
        <v>1918</v>
      </c>
      <c r="V425" t="s">
        <v>1916</v>
      </c>
      <c r="W425" t="s">
        <v>80</v>
      </c>
      <c r="X425" t="s">
        <v>1919</v>
      </c>
      <c r="Y425">
        <v>2</v>
      </c>
      <c r="Z425">
        <v>2656</v>
      </c>
    </row>
    <row r="426" spans="1:26">
      <c r="A426" s="1">
        <v>424</v>
      </c>
      <c r="B426" t="str">
        <f>HYPERLINK("https://bugs.eclipse.org/bugs/show_bug.cgi?id=17297", "17297")</f>
        <v>17297</v>
      </c>
      <c r="C426" t="s">
        <v>140</v>
      </c>
      <c r="D426" t="s">
        <v>10</v>
      </c>
      <c r="E426" t="s">
        <v>16</v>
      </c>
      <c r="F426" t="s">
        <v>150</v>
      </c>
      <c r="L426" t="s">
        <v>1920</v>
      </c>
      <c r="R426" t="s">
        <v>1920</v>
      </c>
      <c r="T426" t="s">
        <v>1921</v>
      </c>
      <c r="U426" t="s">
        <v>1922</v>
      </c>
      <c r="V426" t="s">
        <v>1920</v>
      </c>
      <c r="W426" t="s">
        <v>86</v>
      </c>
      <c r="X426" t="s">
        <v>1923</v>
      </c>
      <c r="Y426">
        <v>1</v>
      </c>
      <c r="Z426">
        <v>242.04166666666671</v>
      </c>
    </row>
    <row r="427" spans="1:26">
      <c r="A427" s="1">
        <v>425</v>
      </c>
      <c r="B427" t="str">
        <f>HYPERLINK("https://bugs.eclipse.org/bugs/show_bug.cgi?id=17316", "17316")</f>
        <v>17316</v>
      </c>
      <c r="C427" t="s">
        <v>35</v>
      </c>
      <c r="D427" t="s">
        <v>11</v>
      </c>
      <c r="E427" t="s">
        <v>12</v>
      </c>
      <c r="F427" t="s">
        <v>150</v>
      </c>
      <c r="L427" t="s">
        <v>1924</v>
      </c>
      <c r="M427" t="s">
        <v>1925</v>
      </c>
      <c r="N427" t="s">
        <v>1924</v>
      </c>
      <c r="T427" t="s">
        <v>1926</v>
      </c>
      <c r="U427" t="s">
        <v>1927</v>
      </c>
      <c r="V427" t="s">
        <v>1925</v>
      </c>
      <c r="W427" t="s">
        <v>143</v>
      </c>
      <c r="X427" t="s">
        <v>1928</v>
      </c>
      <c r="Y427">
        <v>2</v>
      </c>
      <c r="Z427">
        <v>11</v>
      </c>
    </row>
    <row r="428" spans="1:26">
      <c r="A428" s="1">
        <v>426</v>
      </c>
      <c r="B428" t="str">
        <f>HYPERLINK("https://bugs.eclipse.org/bugs/show_bug.cgi?id=17473", "17473")</f>
        <v>17473</v>
      </c>
      <c r="C428" t="s">
        <v>35</v>
      </c>
      <c r="D428" t="s">
        <v>11</v>
      </c>
      <c r="E428" t="s">
        <v>12</v>
      </c>
      <c r="F428" t="s">
        <v>150</v>
      </c>
      <c r="L428" t="s">
        <v>1929</v>
      </c>
      <c r="M428" t="s">
        <v>1930</v>
      </c>
      <c r="N428" t="s">
        <v>1929</v>
      </c>
      <c r="T428" t="s">
        <v>1931</v>
      </c>
      <c r="U428" t="s">
        <v>1932</v>
      </c>
      <c r="V428" t="s">
        <v>1930</v>
      </c>
      <c r="W428" t="s">
        <v>143</v>
      </c>
      <c r="X428" t="s">
        <v>1933</v>
      </c>
      <c r="Y428">
        <v>3</v>
      </c>
      <c r="Z428">
        <v>11</v>
      </c>
    </row>
    <row r="429" spans="1:26">
      <c r="A429" s="1">
        <v>427</v>
      </c>
      <c r="B429" t="str">
        <f>HYPERLINK("https://bugs.eclipse.org/bugs/show_bug.cgi?id=17556", "17556")</f>
        <v>17556</v>
      </c>
      <c r="C429" t="s">
        <v>56</v>
      </c>
      <c r="D429" t="s">
        <v>10</v>
      </c>
      <c r="E429" t="s">
        <v>14</v>
      </c>
      <c r="F429" t="s">
        <v>51</v>
      </c>
      <c r="L429" t="s">
        <v>1934</v>
      </c>
      <c r="P429" t="s">
        <v>1935</v>
      </c>
      <c r="T429" t="s">
        <v>1936</v>
      </c>
      <c r="U429" t="s">
        <v>1937</v>
      </c>
      <c r="V429" t="s">
        <v>1935</v>
      </c>
      <c r="W429" t="s">
        <v>75</v>
      </c>
      <c r="X429" t="s">
        <v>1938</v>
      </c>
      <c r="Y429">
        <v>0</v>
      </c>
      <c r="Z429">
        <v>2656</v>
      </c>
    </row>
    <row r="430" spans="1:26">
      <c r="A430" s="1">
        <v>428</v>
      </c>
      <c r="B430" t="str">
        <f>HYPERLINK("https://bugs.eclipse.org/bugs/show_bug.cgi?id=17558", "17558")</f>
        <v>17558</v>
      </c>
      <c r="C430" t="s">
        <v>149</v>
      </c>
      <c r="D430" t="s">
        <v>10</v>
      </c>
      <c r="E430" t="s">
        <v>12</v>
      </c>
      <c r="F430" t="s">
        <v>51</v>
      </c>
      <c r="L430" t="s">
        <v>1939</v>
      </c>
      <c r="N430" t="s">
        <v>1939</v>
      </c>
      <c r="S430" t="s">
        <v>1940</v>
      </c>
      <c r="T430" t="s">
        <v>1941</v>
      </c>
      <c r="U430" t="s">
        <v>1942</v>
      </c>
      <c r="V430" t="s">
        <v>1943</v>
      </c>
      <c r="W430" t="s">
        <v>143</v>
      </c>
      <c r="X430" t="s">
        <v>1944</v>
      </c>
      <c r="Y430">
        <v>3</v>
      </c>
      <c r="Z430">
        <v>2538</v>
      </c>
    </row>
    <row r="431" spans="1:26">
      <c r="A431" s="1">
        <v>429</v>
      </c>
      <c r="B431" t="str">
        <f>HYPERLINK("https://bugs.eclipse.org/bugs/show_bug.cgi?id=17600", "17600")</f>
        <v>17600</v>
      </c>
      <c r="C431" t="s">
        <v>149</v>
      </c>
      <c r="D431" t="s">
        <v>10</v>
      </c>
      <c r="E431" t="s">
        <v>12</v>
      </c>
      <c r="F431" t="s">
        <v>26</v>
      </c>
      <c r="L431" t="s">
        <v>1945</v>
      </c>
      <c r="N431" t="s">
        <v>1945</v>
      </c>
      <c r="T431" t="s">
        <v>1946</v>
      </c>
      <c r="U431" t="s">
        <v>1947</v>
      </c>
      <c r="V431" t="s">
        <v>1948</v>
      </c>
      <c r="W431" t="s">
        <v>143</v>
      </c>
      <c r="X431" t="s">
        <v>1949</v>
      </c>
      <c r="Y431">
        <v>0</v>
      </c>
      <c r="Z431">
        <v>2537</v>
      </c>
    </row>
    <row r="432" spans="1:26">
      <c r="A432" s="1">
        <v>430</v>
      </c>
      <c r="B432" t="str">
        <f>HYPERLINK("https://bugs.eclipse.org/bugs/show_bug.cgi?id=17641", "17641")</f>
        <v>17641</v>
      </c>
      <c r="C432" t="s">
        <v>140</v>
      </c>
      <c r="D432" t="s">
        <v>10</v>
      </c>
      <c r="E432" t="s">
        <v>16</v>
      </c>
      <c r="F432" t="s">
        <v>26</v>
      </c>
      <c r="L432" t="s">
        <v>1950</v>
      </c>
      <c r="R432" t="s">
        <v>1950</v>
      </c>
      <c r="S432" t="s">
        <v>1951</v>
      </c>
      <c r="T432" t="s">
        <v>1952</v>
      </c>
      <c r="U432" t="s">
        <v>1953</v>
      </c>
      <c r="V432" t="s">
        <v>1950</v>
      </c>
      <c r="W432" t="s">
        <v>1954</v>
      </c>
      <c r="X432" t="s">
        <v>1955</v>
      </c>
      <c r="Y432">
        <v>0</v>
      </c>
      <c r="Z432">
        <v>1882</v>
      </c>
    </row>
    <row r="433" spans="1:26">
      <c r="A433" s="1">
        <v>431</v>
      </c>
      <c r="B433" t="str">
        <f>HYPERLINK("https://bugs.eclipse.org/bugs/show_bug.cgi?id=17645", "17645")</f>
        <v>17645</v>
      </c>
      <c r="C433" t="s">
        <v>35</v>
      </c>
      <c r="D433" t="s">
        <v>11</v>
      </c>
      <c r="E433" t="s">
        <v>12</v>
      </c>
      <c r="F433" t="s">
        <v>26</v>
      </c>
      <c r="L433" t="s">
        <v>1956</v>
      </c>
      <c r="M433" t="s">
        <v>1957</v>
      </c>
      <c r="N433" t="s">
        <v>1956</v>
      </c>
      <c r="T433" t="s">
        <v>1958</v>
      </c>
      <c r="U433" t="s">
        <v>1959</v>
      </c>
      <c r="V433" t="s">
        <v>1957</v>
      </c>
      <c r="W433" t="s">
        <v>134</v>
      </c>
      <c r="X433" t="s">
        <v>1960</v>
      </c>
      <c r="Y433">
        <v>0</v>
      </c>
      <c r="Z433">
        <v>11</v>
      </c>
    </row>
    <row r="434" spans="1:26">
      <c r="A434" s="1">
        <v>432</v>
      </c>
      <c r="B434" t="str">
        <f>HYPERLINK("https://bugs.eclipse.org/bugs/show_bug.cgi?id=17685", "17685")</f>
        <v>17685</v>
      </c>
      <c r="C434" t="s">
        <v>149</v>
      </c>
      <c r="D434" t="s">
        <v>10</v>
      </c>
      <c r="E434" t="s">
        <v>12</v>
      </c>
      <c r="F434" t="s">
        <v>145</v>
      </c>
      <c r="L434" t="s">
        <v>1961</v>
      </c>
      <c r="N434" t="s">
        <v>1961</v>
      </c>
      <c r="T434" t="s">
        <v>1962</v>
      </c>
      <c r="U434" t="s">
        <v>1963</v>
      </c>
      <c r="V434" t="s">
        <v>1961</v>
      </c>
      <c r="W434" t="s">
        <v>134</v>
      </c>
      <c r="X434" t="s">
        <v>1964</v>
      </c>
      <c r="Y434">
        <v>0</v>
      </c>
      <c r="Z434">
        <v>11</v>
      </c>
    </row>
    <row r="435" spans="1:26">
      <c r="A435" s="1">
        <v>433</v>
      </c>
      <c r="B435" t="str">
        <f>HYPERLINK("https://bugs.eclipse.org/bugs/show_bug.cgi?id=17694", "17694")</f>
        <v>17694</v>
      </c>
      <c r="C435" t="s">
        <v>35</v>
      </c>
      <c r="D435" t="s">
        <v>11</v>
      </c>
      <c r="E435" t="s">
        <v>12</v>
      </c>
      <c r="F435" t="s">
        <v>145</v>
      </c>
      <c r="L435" t="s">
        <v>1965</v>
      </c>
      <c r="M435" t="s">
        <v>1966</v>
      </c>
      <c r="N435" t="s">
        <v>1965</v>
      </c>
      <c r="T435" t="s">
        <v>1967</v>
      </c>
      <c r="U435" t="s">
        <v>1968</v>
      </c>
      <c r="V435" t="s">
        <v>1966</v>
      </c>
      <c r="W435" t="s">
        <v>134</v>
      </c>
      <c r="X435" t="s">
        <v>1969</v>
      </c>
      <c r="Y435">
        <v>0</v>
      </c>
      <c r="Z435">
        <v>11</v>
      </c>
    </row>
    <row r="436" spans="1:26">
      <c r="A436" s="1">
        <v>434</v>
      </c>
      <c r="B436" t="str">
        <f>HYPERLINK("https://bugs.eclipse.org/bugs/show_bug.cgi?id=17732", "17732")</f>
        <v>17732</v>
      </c>
      <c r="C436" t="s">
        <v>1970</v>
      </c>
      <c r="D436" t="s">
        <v>10</v>
      </c>
      <c r="E436" t="s">
        <v>15</v>
      </c>
      <c r="F436" t="s">
        <v>150</v>
      </c>
      <c r="L436" t="s">
        <v>1971</v>
      </c>
      <c r="N436" t="s">
        <v>1972</v>
      </c>
      <c r="Q436" t="s">
        <v>1971</v>
      </c>
      <c r="T436" t="s">
        <v>1973</v>
      </c>
      <c r="U436" t="s">
        <v>1974</v>
      </c>
      <c r="V436" t="s">
        <v>1971</v>
      </c>
      <c r="W436" t="s">
        <v>134</v>
      </c>
      <c r="X436" t="s">
        <v>1975</v>
      </c>
      <c r="Y436">
        <v>0</v>
      </c>
      <c r="Z436">
        <v>15</v>
      </c>
    </row>
    <row r="437" spans="1:26">
      <c r="A437" s="1">
        <v>435</v>
      </c>
      <c r="B437" t="str">
        <f>HYPERLINK("https://bugs.eclipse.org/bugs/show_bug.cgi?id=17746", "17746")</f>
        <v>17746</v>
      </c>
      <c r="C437" t="s">
        <v>35</v>
      </c>
      <c r="D437" t="s">
        <v>11</v>
      </c>
      <c r="E437" t="s">
        <v>12</v>
      </c>
      <c r="F437" t="s">
        <v>145</v>
      </c>
      <c r="L437" t="s">
        <v>1976</v>
      </c>
      <c r="M437" t="s">
        <v>1977</v>
      </c>
      <c r="N437" t="s">
        <v>1976</v>
      </c>
      <c r="T437" t="s">
        <v>1978</v>
      </c>
      <c r="U437" t="s">
        <v>1979</v>
      </c>
      <c r="V437" t="s">
        <v>1977</v>
      </c>
      <c r="W437" t="s">
        <v>86</v>
      </c>
      <c r="X437" t="s">
        <v>1980</v>
      </c>
      <c r="Y437">
        <v>0</v>
      </c>
      <c r="Z437">
        <v>10</v>
      </c>
    </row>
    <row r="438" spans="1:26">
      <c r="A438" s="1">
        <v>436</v>
      </c>
      <c r="B438" t="str">
        <f>HYPERLINK("https://bugs.eclipse.org/bugs/show_bug.cgi?id=17862", "17862")</f>
        <v>17862</v>
      </c>
      <c r="C438" t="s">
        <v>140</v>
      </c>
      <c r="D438" t="s">
        <v>10</v>
      </c>
      <c r="E438" t="s">
        <v>16</v>
      </c>
      <c r="F438" t="s">
        <v>145</v>
      </c>
      <c r="L438" t="s">
        <v>1981</v>
      </c>
      <c r="R438" t="s">
        <v>1981</v>
      </c>
      <c r="T438" t="s">
        <v>1982</v>
      </c>
      <c r="U438" t="s">
        <v>1983</v>
      </c>
      <c r="V438" t="s">
        <v>1984</v>
      </c>
      <c r="W438" t="s">
        <v>134</v>
      </c>
      <c r="X438" t="s">
        <v>1985</v>
      </c>
      <c r="Y438">
        <v>0</v>
      </c>
      <c r="Z438">
        <v>8</v>
      </c>
    </row>
    <row r="439" spans="1:26">
      <c r="A439" s="1">
        <v>437</v>
      </c>
      <c r="B439" t="str">
        <f>HYPERLINK("https://bugs.eclipse.org/bugs/show_bug.cgi?id=17910", "17910")</f>
        <v>17910</v>
      </c>
      <c r="C439" t="s">
        <v>35</v>
      </c>
      <c r="D439" t="s">
        <v>11</v>
      </c>
      <c r="E439" t="s">
        <v>12</v>
      </c>
      <c r="F439" t="s">
        <v>150</v>
      </c>
      <c r="L439" t="s">
        <v>1986</v>
      </c>
      <c r="M439" t="s">
        <v>1987</v>
      </c>
      <c r="N439" t="s">
        <v>1988</v>
      </c>
      <c r="T439" t="s">
        <v>1989</v>
      </c>
      <c r="U439" t="s">
        <v>1990</v>
      </c>
      <c r="V439" t="s">
        <v>1987</v>
      </c>
      <c r="W439" t="s">
        <v>86</v>
      </c>
      <c r="X439" t="s">
        <v>1991</v>
      </c>
      <c r="Y439">
        <v>0</v>
      </c>
      <c r="Z439">
        <v>7</v>
      </c>
    </row>
    <row r="440" spans="1:26">
      <c r="A440" s="1">
        <v>438</v>
      </c>
      <c r="B440" t="str">
        <f>HYPERLINK("https://bugs.eclipse.org/bugs/show_bug.cgi?id=17978", "17978")</f>
        <v>17978</v>
      </c>
      <c r="C440" t="s">
        <v>56</v>
      </c>
      <c r="D440" t="s">
        <v>10</v>
      </c>
      <c r="E440" t="s">
        <v>14</v>
      </c>
      <c r="F440" t="s">
        <v>26</v>
      </c>
      <c r="L440" t="s">
        <v>1992</v>
      </c>
      <c r="P440" t="s">
        <v>1992</v>
      </c>
      <c r="T440" t="s">
        <v>1993</v>
      </c>
      <c r="U440" t="s">
        <v>1994</v>
      </c>
      <c r="V440" t="s">
        <v>1992</v>
      </c>
      <c r="W440" t="s">
        <v>60</v>
      </c>
      <c r="X440" t="s">
        <v>1995</v>
      </c>
      <c r="Y440">
        <v>0</v>
      </c>
      <c r="Z440">
        <v>3</v>
      </c>
    </row>
    <row r="441" spans="1:26">
      <c r="A441" s="1">
        <v>439</v>
      </c>
      <c r="B441" t="str">
        <f>HYPERLINK("https://bugs.eclipse.org/bugs/show_bug.cgi?id=17984", "17984")</f>
        <v>17984</v>
      </c>
      <c r="C441" t="s">
        <v>56</v>
      </c>
      <c r="D441" t="s">
        <v>10</v>
      </c>
      <c r="E441" t="s">
        <v>14</v>
      </c>
      <c r="F441" t="s">
        <v>26</v>
      </c>
      <c r="L441" t="s">
        <v>1996</v>
      </c>
      <c r="P441" t="s">
        <v>1997</v>
      </c>
      <c r="T441" t="s">
        <v>1998</v>
      </c>
      <c r="U441" t="s">
        <v>1999</v>
      </c>
      <c r="V441" t="s">
        <v>1997</v>
      </c>
      <c r="W441" t="s">
        <v>80</v>
      </c>
      <c r="X441" t="s">
        <v>2000</v>
      </c>
      <c r="Y441">
        <v>1</v>
      </c>
      <c r="Z441">
        <v>2652</v>
      </c>
    </row>
    <row r="442" spans="1:26">
      <c r="A442" s="1">
        <v>440</v>
      </c>
      <c r="B442" t="str">
        <f>HYPERLINK("https://bugs.eclipse.org/bugs/show_bug.cgi?id=18077", "18077")</f>
        <v>18077</v>
      </c>
      <c r="C442" t="s">
        <v>35</v>
      </c>
      <c r="D442" t="s">
        <v>11</v>
      </c>
      <c r="E442" t="s">
        <v>12</v>
      </c>
      <c r="F442" t="s">
        <v>26</v>
      </c>
      <c r="L442" t="s">
        <v>2001</v>
      </c>
      <c r="M442" t="s">
        <v>2002</v>
      </c>
      <c r="N442" t="s">
        <v>2001</v>
      </c>
      <c r="T442" t="s">
        <v>2003</v>
      </c>
      <c r="U442" t="s">
        <v>2004</v>
      </c>
      <c r="V442" t="s">
        <v>2002</v>
      </c>
      <c r="W442" t="s">
        <v>86</v>
      </c>
      <c r="X442" t="s">
        <v>2005</v>
      </c>
      <c r="Y442">
        <v>0</v>
      </c>
      <c r="Z442">
        <v>16</v>
      </c>
    </row>
    <row r="443" spans="1:26">
      <c r="A443" s="1">
        <v>441</v>
      </c>
      <c r="B443" t="str">
        <f>HYPERLINK("https://bugs.eclipse.org/bugs/show_bug.cgi?id=18080", "18080")</f>
        <v>18080</v>
      </c>
      <c r="C443" t="s">
        <v>149</v>
      </c>
      <c r="D443" t="s">
        <v>10</v>
      </c>
      <c r="E443" t="s">
        <v>12</v>
      </c>
      <c r="F443" t="s">
        <v>26</v>
      </c>
      <c r="G443" t="s">
        <v>2006</v>
      </c>
      <c r="L443" t="s">
        <v>2007</v>
      </c>
      <c r="N443" t="s">
        <v>2007</v>
      </c>
      <c r="S443" t="s">
        <v>2008</v>
      </c>
      <c r="T443" t="s">
        <v>2009</v>
      </c>
      <c r="U443" t="s">
        <v>2010</v>
      </c>
      <c r="V443" t="s">
        <v>2007</v>
      </c>
      <c r="W443" t="s">
        <v>86</v>
      </c>
      <c r="X443" t="s">
        <v>2011</v>
      </c>
      <c r="Y443">
        <v>1</v>
      </c>
      <c r="Z443">
        <v>808</v>
      </c>
    </row>
    <row r="444" spans="1:26">
      <c r="A444" s="1">
        <v>442</v>
      </c>
      <c r="B444" t="str">
        <f>HYPERLINK("https://bugs.eclipse.org/bugs/show_bug.cgi?id=18136", "18136")</f>
        <v>18136</v>
      </c>
      <c r="C444" t="s">
        <v>140</v>
      </c>
      <c r="D444" t="s">
        <v>10</v>
      </c>
      <c r="E444" t="s">
        <v>16</v>
      </c>
      <c r="F444" t="s">
        <v>150</v>
      </c>
      <c r="L444" t="s">
        <v>2012</v>
      </c>
      <c r="R444" t="s">
        <v>2012</v>
      </c>
      <c r="T444" t="s">
        <v>2013</v>
      </c>
      <c r="U444" t="s">
        <v>2014</v>
      </c>
      <c r="V444" t="s">
        <v>2012</v>
      </c>
      <c r="W444" t="s">
        <v>86</v>
      </c>
      <c r="X444" t="s">
        <v>2015</v>
      </c>
      <c r="Y444">
        <v>0</v>
      </c>
      <c r="Z444">
        <v>1</v>
      </c>
    </row>
    <row r="445" spans="1:26">
      <c r="A445" s="1">
        <v>443</v>
      </c>
      <c r="B445" t="str">
        <f>HYPERLINK("https://bugs.eclipse.org/bugs/show_bug.cgi?id=18292", "18292")</f>
        <v>18292</v>
      </c>
      <c r="C445" t="s">
        <v>149</v>
      </c>
      <c r="D445" t="s">
        <v>10</v>
      </c>
      <c r="E445" t="s">
        <v>12</v>
      </c>
      <c r="F445" t="s">
        <v>26</v>
      </c>
      <c r="L445" t="s">
        <v>2016</v>
      </c>
      <c r="N445" t="s">
        <v>2016</v>
      </c>
      <c r="T445" t="s">
        <v>2017</v>
      </c>
      <c r="U445" t="s">
        <v>2018</v>
      </c>
      <c r="V445" t="s">
        <v>2016</v>
      </c>
      <c r="W445" t="s">
        <v>60</v>
      </c>
      <c r="X445" t="s">
        <v>2019</v>
      </c>
      <c r="Y445">
        <v>0</v>
      </c>
      <c r="Z445">
        <v>0</v>
      </c>
    </row>
    <row r="446" spans="1:26">
      <c r="A446" s="1">
        <v>444</v>
      </c>
      <c r="B446" t="str">
        <f>HYPERLINK("https://bugs.eclipse.org/bugs/show_bug.cgi?id=18297", "18297")</f>
        <v>18297</v>
      </c>
      <c r="C446" t="s">
        <v>35</v>
      </c>
      <c r="D446" t="s">
        <v>11</v>
      </c>
      <c r="E446" t="s">
        <v>12</v>
      </c>
      <c r="F446" t="s">
        <v>26</v>
      </c>
      <c r="L446" t="s">
        <v>2020</v>
      </c>
      <c r="M446" t="s">
        <v>2021</v>
      </c>
      <c r="N446" t="s">
        <v>2022</v>
      </c>
      <c r="T446" t="s">
        <v>2023</v>
      </c>
      <c r="U446" t="s">
        <v>2024</v>
      </c>
      <c r="V446" t="s">
        <v>2021</v>
      </c>
      <c r="W446" t="s">
        <v>60</v>
      </c>
      <c r="X446" t="s">
        <v>2025</v>
      </c>
      <c r="Y446">
        <v>0</v>
      </c>
      <c r="Z446">
        <v>4</v>
      </c>
    </row>
    <row r="447" spans="1:26">
      <c r="A447" s="1">
        <v>445</v>
      </c>
      <c r="B447" t="str">
        <f>HYPERLINK("https://bugs.eclipse.org/bugs/show_bug.cgi?id=18456", "18456")</f>
        <v>18456</v>
      </c>
      <c r="C447" t="s">
        <v>2026</v>
      </c>
      <c r="D447" t="s">
        <v>10</v>
      </c>
      <c r="E447" t="s">
        <v>15</v>
      </c>
      <c r="F447" t="s">
        <v>26</v>
      </c>
      <c r="L447" t="s">
        <v>2027</v>
      </c>
      <c r="Q447" t="s">
        <v>2027</v>
      </c>
      <c r="T447" t="s">
        <v>2028</v>
      </c>
      <c r="U447" t="s">
        <v>2027</v>
      </c>
      <c r="V447" t="s">
        <v>2027</v>
      </c>
      <c r="W447" t="s">
        <v>60</v>
      </c>
      <c r="X447" t="s">
        <v>2029</v>
      </c>
      <c r="Y447">
        <v>0</v>
      </c>
      <c r="Z447">
        <v>0</v>
      </c>
    </row>
    <row r="448" spans="1:26">
      <c r="A448" s="1">
        <v>446</v>
      </c>
      <c r="B448" t="str">
        <f>HYPERLINK("https://bugs.eclipse.org/bugs/show_bug.cgi?id=18489", "18489")</f>
        <v>18489</v>
      </c>
      <c r="C448" t="s">
        <v>149</v>
      </c>
      <c r="D448" t="s">
        <v>10</v>
      </c>
      <c r="E448" t="s">
        <v>12</v>
      </c>
      <c r="F448" t="s">
        <v>150</v>
      </c>
      <c r="G448" t="s">
        <v>2030</v>
      </c>
      <c r="L448" t="s">
        <v>2031</v>
      </c>
      <c r="N448" t="s">
        <v>2031</v>
      </c>
      <c r="T448" t="s">
        <v>2032</v>
      </c>
      <c r="U448" t="s">
        <v>2033</v>
      </c>
      <c r="V448" t="s">
        <v>2031</v>
      </c>
      <c r="W448" t="s">
        <v>49</v>
      </c>
      <c r="X448" t="s">
        <v>2034</v>
      </c>
      <c r="Y448">
        <v>0</v>
      </c>
      <c r="Z448">
        <v>104</v>
      </c>
    </row>
    <row r="449" spans="1:26">
      <c r="A449" s="1">
        <v>447</v>
      </c>
      <c r="B449" t="str">
        <f>HYPERLINK("https://bugs.eclipse.org/bugs/show_bug.cgi?id=18553", "18553")</f>
        <v>18553</v>
      </c>
      <c r="C449" t="s">
        <v>56</v>
      </c>
      <c r="D449" t="s">
        <v>10</v>
      </c>
      <c r="E449" t="s">
        <v>14</v>
      </c>
      <c r="F449" t="s">
        <v>26</v>
      </c>
      <c r="G449" t="s">
        <v>2035</v>
      </c>
      <c r="L449" t="s">
        <v>2036</v>
      </c>
      <c r="P449" t="s">
        <v>2037</v>
      </c>
      <c r="T449" t="s">
        <v>2038</v>
      </c>
      <c r="U449" t="s">
        <v>2039</v>
      </c>
      <c r="V449" t="s">
        <v>2037</v>
      </c>
      <c r="W449" t="s">
        <v>75</v>
      </c>
      <c r="X449" t="s">
        <v>2040</v>
      </c>
      <c r="Y449">
        <v>0</v>
      </c>
      <c r="Z449">
        <v>2648</v>
      </c>
    </row>
    <row r="450" spans="1:26">
      <c r="A450" s="1">
        <v>448</v>
      </c>
      <c r="B450" t="str">
        <f>HYPERLINK("https://bugs.eclipse.org/bugs/show_bug.cgi?id=18573", "18573")</f>
        <v>18573</v>
      </c>
      <c r="C450" t="s">
        <v>140</v>
      </c>
      <c r="D450" t="s">
        <v>10</v>
      </c>
      <c r="E450" t="s">
        <v>16</v>
      </c>
      <c r="F450" t="s">
        <v>26</v>
      </c>
      <c r="L450" t="s">
        <v>2041</v>
      </c>
      <c r="R450" t="s">
        <v>2041</v>
      </c>
      <c r="T450" t="s">
        <v>2042</v>
      </c>
      <c r="U450" t="s">
        <v>2043</v>
      </c>
      <c r="V450" t="s">
        <v>2041</v>
      </c>
      <c r="W450" t="s">
        <v>86</v>
      </c>
      <c r="X450" t="s">
        <v>2044</v>
      </c>
      <c r="Y450">
        <v>3</v>
      </c>
      <c r="Z450">
        <v>327</v>
      </c>
    </row>
    <row r="451" spans="1:26">
      <c r="A451" s="1">
        <v>449</v>
      </c>
      <c r="B451" t="str">
        <f>HYPERLINK("https://bugs.eclipse.org/bugs/show_bug.cgi?id=18575", "18575")</f>
        <v>18575</v>
      </c>
      <c r="C451" t="s">
        <v>56</v>
      </c>
      <c r="D451" t="s">
        <v>10</v>
      </c>
      <c r="E451" t="s">
        <v>14</v>
      </c>
      <c r="F451" t="s">
        <v>26</v>
      </c>
      <c r="L451" t="s">
        <v>2045</v>
      </c>
      <c r="P451" t="s">
        <v>2046</v>
      </c>
      <c r="T451" t="s">
        <v>2047</v>
      </c>
      <c r="U451" t="s">
        <v>2048</v>
      </c>
      <c r="V451" t="s">
        <v>2046</v>
      </c>
      <c r="W451" t="s">
        <v>75</v>
      </c>
      <c r="X451" t="s">
        <v>2049</v>
      </c>
      <c r="Y451">
        <v>3</v>
      </c>
      <c r="Z451">
        <v>2647</v>
      </c>
    </row>
    <row r="452" spans="1:26">
      <c r="A452" s="1">
        <v>450</v>
      </c>
      <c r="B452" t="str">
        <f>HYPERLINK("https://bugs.eclipse.org/bugs/show_bug.cgi?id=18700", "18700")</f>
        <v>18700</v>
      </c>
      <c r="C452" t="s">
        <v>56</v>
      </c>
      <c r="D452" t="s">
        <v>10</v>
      </c>
      <c r="E452" t="s">
        <v>14</v>
      </c>
      <c r="F452" t="s">
        <v>26</v>
      </c>
      <c r="L452" t="s">
        <v>2050</v>
      </c>
      <c r="P452" t="s">
        <v>2050</v>
      </c>
      <c r="T452" t="s">
        <v>2051</v>
      </c>
      <c r="U452" t="s">
        <v>2050</v>
      </c>
      <c r="V452" t="s">
        <v>2050</v>
      </c>
      <c r="W452" t="s">
        <v>86</v>
      </c>
      <c r="X452" t="s">
        <v>2052</v>
      </c>
      <c r="Y452">
        <v>65</v>
      </c>
      <c r="Z452">
        <v>65</v>
      </c>
    </row>
    <row r="453" spans="1:26">
      <c r="A453" s="1">
        <v>451</v>
      </c>
      <c r="B453" t="str">
        <f>HYPERLINK("https://bugs.eclipse.org/bugs/show_bug.cgi?id=18720", "18720")</f>
        <v>18720</v>
      </c>
      <c r="C453" t="s">
        <v>1970</v>
      </c>
      <c r="D453" t="s">
        <v>10</v>
      </c>
      <c r="E453" t="s">
        <v>15</v>
      </c>
      <c r="F453" t="s">
        <v>26</v>
      </c>
      <c r="L453" t="s">
        <v>2053</v>
      </c>
      <c r="Q453" t="s">
        <v>2053</v>
      </c>
      <c r="T453" t="s">
        <v>2054</v>
      </c>
      <c r="U453" t="s">
        <v>2053</v>
      </c>
      <c r="V453" t="s">
        <v>2053</v>
      </c>
      <c r="W453" t="s">
        <v>134</v>
      </c>
      <c r="X453" t="s">
        <v>2055</v>
      </c>
      <c r="Y453">
        <v>6</v>
      </c>
      <c r="Z453">
        <v>6</v>
      </c>
    </row>
    <row r="454" spans="1:26">
      <c r="A454" s="1">
        <v>452</v>
      </c>
      <c r="B454" t="str">
        <f>HYPERLINK("https://bugs.eclipse.org/bugs/show_bug.cgi?id=18944", "18944")</f>
        <v>18944</v>
      </c>
      <c r="C454" t="s">
        <v>149</v>
      </c>
      <c r="D454" t="s">
        <v>10</v>
      </c>
      <c r="E454" t="s">
        <v>12</v>
      </c>
      <c r="F454" t="s">
        <v>26</v>
      </c>
      <c r="G454" t="s">
        <v>2056</v>
      </c>
      <c r="L454" t="s">
        <v>2057</v>
      </c>
      <c r="N454" t="s">
        <v>2057</v>
      </c>
      <c r="R454" t="s">
        <v>2058</v>
      </c>
      <c r="S454" t="s">
        <v>2059</v>
      </c>
      <c r="T454" t="s">
        <v>2060</v>
      </c>
      <c r="U454" t="s">
        <v>2058</v>
      </c>
      <c r="V454" t="s">
        <v>2057</v>
      </c>
      <c r="W454" t="s">
        <v>86</v>
      </c>
      <c r="X454" t="s">
        <v>2061</v>
      </c>
      <c r="Y454">
        <v>65</v>
      </c>
      <c r="Z454">
        <v>259.04166666666669</v>
      </c>
    </row>
    <row r="455" spans="1:26">
      <c r="A455" s="1">
        <v>453</v>
      </c>
      <c r="B455" t="str">
        <f>HYPERLINK("https://bugs.eclipse.org/bugs/show_bug.cgi?id=19007", "19007")</f>
        <v>19007</v>
      </c>
      <c r="C455" t="s">
        <v>35</v>
      </c>
      <c r="D455" t="s">
        <v>11</v>
      </c>
      <c r="E455" t="s">
        <v>12</v>
      </c>
      <c r="F455" t="s">
        <v>145</v>
      </c>
      <c r="L455" t="s">
        <v>2062</v>
      </c>
      <c r="M455" t="s">
        <v>2063</v>
      </c>
      <c r="N455" t="s">
        <v>2062</v>
      </c>
      <c r="T455" t="s">
        <v>2064</v>
      </c>
      <c r="U455" t="s">
        <v>2065</v>
      </c>
      <c r="V455" t="s">
        <v>2063</v>
      </c>
      <c r="W455" t="s">
        <v>86</v>
      </c>
      <c r="X455" t="s">
        <v>2066</v>
      </c>
      <c r="Y455">
        <v>0</v>
      </c>
      <c r="Z455">
        <v>9</v>
      </c>
    </row>
    <row r="456" spans="1:26">
      <c r="A456" s="1">
        <v>454</v>
      </c>
      <c r="B456" t="str">
        <f>HYPERLINK("https://bugs.eclipse.org/bugs/show_bug.cgi?id=19061", "19061")</f>
        <v>19061</v>
      </c>
      <c r="C456" t="s">
        <v>2067</v>
      </c>
      <c r="D456" t="s">
        <v>10</v>
      </c>
      <c r="E456" t="s">
        <v>15</v>
      </c>
      <c r="F456" t="s">
        <v>26</v>
      </c>
      <c r="L456" t="s">
        <v>2068</v>
      </c>
      <c r="Q456" t="s">
        <v>2068</v>
      </c>
      <c r="T456" t="s">
        <v>2069</v>
      </c>
      <c r="U456" t="s">
        <v>2068</v>
      </c>
      <c r="V456" t="s">
        <v>2068</v>
      </c>
      <c r="W456" t="s">
        <v>134</v>
      </c>
      <c r="X456" t="s">
        <v>2070</v>
      </c>
      <c r="Y456">
        <v>0</v>
      </c>
      <c r="Z456">
        <v>0</v>
      </c>
    </row>
    <row r="457" spans="1:26">
      <c r="A457" s="1">
        <v>455</v>
      </c>
      <c r="B457" t="str">
        <f>HYPERLINK("https://bugs.eclipse.org/bugs/show_bug.cgi?id=19062", "19062")</f>
        <v>19062</v>
      </c>
      <c r="C457" t="s">
        <v>2067</v>
      </c>
      <c r="D457" t="s">
        <v>10</v>
      </c>
      <c r="E457" t="s">
        <v>15</v>
      </c>
      <c r="F457" t="s">
        <v>26</v>
      </c>
      <c r="L457" t="s">
        <v>2071</v>
      </c>
      <c r="Q457" t="s">
        <v>2071</v>
      </c>
      <c r="T457" t="s">
        <v>2072</v>
      </c>
      <c r="U457" t="s">
        <v>2071</v>
      </c>
      <c r="V457" t="s">
        <v>2071</v>
      </c>
      <c r="W457" t="s">
        <v>134</v>
      </c>
      <c r="X457" t="s">
        <v>2073</v>
      </c>
      <c r="Y457">
        <v>0</v>
      </c>
      <c r="Z457">
        <v>0</v>
      </c>
    </row>
    <row r="458" spans="1:26">
      <c r="A458" s="1">
        <v>456</v>
      </c>
      <c r="B458" t="str">
        <f>HYPERLINK("https://bugs.eclipse.org/bugs/show_bug.cgi?id=19066", "19066")</f>
        <v>19066</v>
      </c>
      <c r="C458" t="s">
        <v>35</v>
      </c>
      <c r="D458" t="s">
        <v>11</v>
      </c>
      <c r="E458" t="s">
        <v>12</v>
      </c>
      <c r="F458" t="s">
        <v>150</v>
      </c>
      <c r="L458" t="s">
        <v>2074</v>
      </c>
      <c r="M458" t="s">
        <v>2075</v>
      </c>
      <c r="N458" t="s">
        <v>2074</v>
      </c>
      <c r="T458" t="s">
        <v>2076</v>
      </c>
      <c r="U458" t="s">
        <v>2077</v>
      </c>
      <c r="V458" t="s">
        <v>2075</v>
      </c>
      <c r="W458" t="s">
        <v>86</v>
      </c>
      <c r="X458" t="s">
        <v>2078</v>
      </c>
      <c r="Y458">
        <v>0</v>
      </c>
      <c r="Z458">
        <v>9</v>
      </c>
    </row>
    <row r="459" spans="1:26">
      <c r="A459" s="1">
        <v>457</v>
      </c>
      <c r="B459" t="str">
        <f>HYPERLINK("https://bugs.eclipse.org/bugs/show_bug.cgi?id=19067", "19067")</f>
        <v>19067</v>
      </c>
      <c r="C459" t="s">
        <v>149</v>
      </c>
      <c r="D459" t="s">
        <v>10</v>
      </c>
      <c r="E459" t="s">
        <v>12</v>
      </c>
      <c r="F459" t="s">
        <v>26</v>
      </c>
      <c r="L459" t="s">
        <v>2079</v>
      </c>
      <c r="N459" t="s">
        <v>2079</v>
      </c>
      <c r="S459" t="s">
        <v>2080</v>
      </c>
      <c r="T459" t="s">
        <v>2076</v>
      </c>
      <c r="U459" t="s">
        <v>2081</v>
      </c>
      <c r="V459" t="s">
        <v>2079</v>
      </c>
      <c r="W459" t="s">
        <v>60</v>
      </c>
      <c r="X459" t="s">
        <v>2082</v>
      </c>
      <c r="Y459">
        <v>4</v>
      </c>
      <c r="Z459">
        <v>78</v>
      </c>
    </row>
    <row r="460" spans="1:26">
      <c r="A460" s="1">
        <v>458</v>
      </c>
      <c r="B460" t="str">
        <f>HYPERLINK("https://bugs.eclipse.org/bugs/show_bug.cgi?id=19075", "19075")</f>
        <v>19075</v>
      </c>
      <c r="C460" t="s">
        <v>35</v>
      </c>
      <c r="D460" t="s">
        <v>11</v>
      </c>
      <c r="E460" t="s">
        <v>12</v>
      </c>
      <c r="F460" t="s">
        <v>26</v>
      </c>
      <c r="L460" t="s">
        <v>2083</v>
      </c>
      <c r="M460" t="s">
        <v>2084</v>
      </c>
      <c r="N460" t="s">
        <v>2083</v>
      </c>
      <c r="T460" t="s">
        <v>2085</v>
      </c>
      <c r="U460" t="s">
        <v>2086</v>
      </c>
      <c r="V460" t="s">
        <v>2084</v>
      </c>
      <c r="W460" t="s">
        <v>86</v>
      </c>
      <c r="X460" t="s">
        <v>2087</v>
      </c>
      <c r="Y460">
        <v>0</v>
      </c>
      <c r="Z460">
        <v>9</v>
      </c>
    </row>
    <row r="461" spans="1:26">
      <c r="A461" s="1">
        <v>459</v>
      </c>
      <c r="B461" t="str">
        <f>HYPERLINK("https://bugs.eclipse.org/bugs/show_bug.cgi?id=19077", "19077")</f>
        <v>19077</v>
      </c>
      <c r="C461" t="s">
        <v>2088</v>
      </c>
      <c r="D461" t="s">
        <v>10</v>
      </c>
      <c r="E461" t="s">
        <v>15</v>
      </c>
      <c r="F461" t="s">
        <v>26</v>
      </c>
      <c r="L461" t="s">
        <v>2089</v>
      </c>
      <c r="Q461" t="s">
        <v>2089</v>
      </c>
      <c r="T461" t="s">
        <v>2090</v>
      </c>
      <c r="U461" t="s">
        <v>2091</v>
      </c>
      <c r="V461" t="s">
        <v>2089</v>
      </c>
      <c r="W461" t="s">
        <v>134</v>
      </c>
      <c r="X461" t="s">
        <v>2092</v>
      </c>
      <c r="Y461">
        <v>0</v>
      </c>
      <c r="Z461">
        <v>0</v>
      </c>
    </row>
    <row r="462" spans="1:26">
      <c r="A462" s="1">
        <v>460</v>
      </c>
      <c r="B462" t="str">
        <f>HYPERLINK("https://bugs.eclipse.org/bugs/show_bug.cgi?id=19081", "19081")</f>
        <v>19081</v>
      </c>
      <c r="C462" t="s">
        <v>2088</v>
      </c>
      <c r="D462" t="s">
        <v>10</v>
      </c>
      <c r="E462" t="s">
        <v>15</v>
      </c>
      <c r="F462" t="s">
        <v>26</v>
      </c>
      <c r="L462" t="s">
        <v>2093</v>
      </c>
      <c r="Q462" t="s">
        <v>2093</v>
      </c>
      <c r="T462" t="s">
        <v>2094</v>
      </c>
      <c r="U462" t="s">
        <v>2093</v>
      </c>
      <c r="V462" t="s">
        <v>2093</v>
      </c>
      <c r="W462" t="s">
        <v>134</v>
      </c>
      <c r="X462" t="s">
        <v>2095</v>
      </c>
      <c r="Y462">
        <v>0</v>
      </c>
      <c r="Z462">
        <v>0</v>
      </c>
    </row>
    <row r="463" spans="1:26">
      <c r="A463" s="1">
        <v>461</v>
      </c>
      <c r="B463" t="str">
        <f>HYPERLINK("https://bugs.eclipse.org/bugs/show_bug.cgi?id=19104", "19104")</f>
        <v>19104</v>
      </c>
      <c r="C463" t="s">
        <v>35</v>
      </c>
      <c r="D463" t="s">
        <v>11</v>
      </c>
      <c r="E463" t="s">
        <v>12</v>
      </c>
      <c r="F463" t="s">
        <v>150</v>
      </c>
      <c r="G463" t="s">
        <v>2096</v>
      </c>
      <c r="L463" t="s">
        <v>2097</v>
      </c>
      <c r="M463" t="s">
        <v>2098</v>
      </c>
      <c r="N463" t="s">
        <v>2097</v>
      </c>
      <c r="T463" t="s">
        <v>2099</v>
      </c>
      <c r="U463" t="s">
        <v>2100</v>
      </c>
      <c r="V463" t="s">
        <v>2098</v>
      </c>
      <c r="W463" t="s">
        <v>86</v>
      </c>
      <c r="X463" t="s">
        <v>2101</v>
      </c>
      <c r="Y463">
        <v>0</v>
      </c>
      <c r="Z463">
        <v>9</v>
      </c>
    </row>
    <row r="464" spans="1:26">
      <c r="A464" s="1">
        <v>462</v>
      </c>
      <c r="B464" t="str">
        <f>HYPERLINK("https://bugs.eclipse.org/bugs/show_bug.cgi?id=19129", "19129")</f>
        <v>19129</v>
      </c>
      <c r="C464" t="s">
        <v>140</v>
      </c>
      <c r="D464" t="s">
        <v>10</v>
      </c>
      <c r="E464" t="s">
        <v>16</v>
      </c>
      <c r="F464" t="s">
        <v>26</v>
      </c>
      <c r="L464" t="s">
        <v>2102</v>
      </c>
      <c r="R464" t="s">
        <v>2102</v>
      </c>
      <c r="S464" t="s">
        <v>2103</v>
      </c>
      <c r="T464" t="s">
        <v>2104</v>
      </c>
      <c r="U464" t="s">
        <v>2105</v>
      </c>
      <c r="V464" t="s">
        <v>2102</v>
      </c>
      <c r="W464" t="s">
        <v>49</v>
      </c>
      <c r="X464" t="s">
        <v>2106</v>
      </c>
      <c r="Y464">
        <v>5</v>
      </c>
      <c r="Z464">
        <v>148.04166666666671</v>
      </c>
    </row>
    <row r="465" spans="1:26">
      <c r="A465" s="1">
        <v>463</v>
      </c>
      <c r="B465" t="str">
        <f>HYPERLINK("https://bugs.eclipse.org/bugs/show_bug.cgi?id=19140", "19140")</f>
        <v>19140</v>
      </c>
      <c r="C465" t="s">
        <v>35</v>
      </c>
      <c r="D465" t="s">
        <v>11</v>
      </c>
      <c r="E465" t="s">
        <v>12</v>
      </c>
      <c r="F465" t="s">
        <v>26</v>
      </c>
      <c r="G465" t="s">
        <v>2107</v>
      </c>
      <c r="L465" t="s">
        <v>2108</v>
      </c>
      <c r="M465" t="s">
        <v>2109</v>
      </c>
      <c r="N465" t="s">
        <v>2108</v>
      </c>
      <c r="T465" t="s">
        <v>2110</v>
      </c>
      <c r="U465" t="s">
        <v>2089</v>
      </c>
      <c r="V465" t="s">
        <v>2109</v>
      </c>
      <c r="W465" t="s">
        <v>86</v>
      </c>
      <c r="X465" t="s">
        <v>2111</v>
      </c>
      <c r="Y465">
        <v>0</v>
      </c>
      <c r="Z465">
        <v>9</v>
      </c>
    </row>
    <row r="466" spans="1:26">
      <c r="A466" s="1">
        <v>464</v>
      </c>
      <c r="B466" t="str">
        <f>HYPERLINK("https://bugs.eclipse.org/bugs/show_bug.cgi?id=19253", "19253")</f>
        <v>19253</v>
      </c>
      <c r="C466" t="s">
        <v>35</v>
      </c>
      <c r="D466" t="s">
        <v>11</v>
      </c>
      <c r="E466" t="s">
        <v>12</v>
      </c>
      <c r="F466" t="s">
        <v>145</v>
      </c>
      <c r="G466" t="s">
        <v>2112</v>
      </c>
      <c r="L466" t="s">
        <v>2113</v>
      </c>
      <c r="M466" t="s">
        <v>2114</v>
      </c>
      <c r="N466" t="s">
        <v>2113</v>
      </c>
      <c r="T466" t="s">
        <v>2115</v>
      </c>
      <c r="U466" t="s">
        <v>2116</v>
      </c>
      <c r="V466" t="s">
        <v>2114</v>
      </c>
      <c r="W466" t="s">
        <v>86</v>
      </c>
      <c r="X466" t="s">
        <v>2117</v>
      </c>
      <c r="Y466">
        <v>0</v>
      </c>
      <c r="Z466">
        <v>8</v>
      </c>
    </row>
    <row r="467" spans="1:26">
      <c r="A467" s="1">
        <v>465</v>
      </c>
      <c r="B467" t="str">
        <f>HYPERLINK("https://bugs.eclipse.org/bugs/show_bug.cgi?id=19319", "19319")</f>
        <v>19319</v>
      </c>
      <c r="C467" t="s">
        <v>35</v>
      </c>
      <c r="D467" t="s">
        <v>11</v>
      </c>
      <c r="E467" t="s">
        <v>12</v>
      </c>
      <c r="F467" t="s">
        <v>150</v>
      </c>
      <c r="L467" t="s">
        <v>2118</v>
      </c>
      <c r="M467" t="s">
        <v>2119</v>
      </c>
      <c r="N467" t="s">
        <v>2118</v>
      </c>
      <c r="T467" t="s">
        <v>2120</v>
      </c>
      <c r="U467" t="s">
        <v>2121</v>
      </c>
      <c r="V467" t="s">
        <v>2119</v>
      </c>
      <c r="W467" t="s">
        <v>86</v>
      </c>
      <c r="X467" t="s">
        <v>2122</v>
      </c>
      <c r="Y467">
        <v>3</v>
      </c>
      <c r="Z467">
        <v>8</v>
      </c>
    </row>
    <row r="468" spans="1:26">
      <c r="A468" s="1">
        <v>466</v>
      </c>
      <c r="B468" t="str">
        <f>HYPERLINK("https://bugs.eclipse.org/bugs/show_bug.cgi?id=19332", "19332")</f>
        <v>19332</v>
      </c>
      <c r="C468" t="s">
        <v>1062</v>
      </c>
      <c r="D468" t="s">
        <v>10</v>
      </c>
      <c r="E468" t="s">
        <v>15</v>
      </c>
      <c r="F468" t="s">
        <v>26</v>
      </c>
      <c r="L468" t="s">
        <v>2123</v>
      </c>
      <c r="Q468" t="s">
        <v>2123</v>
      </c>
      <c r="T468" t="s">
        <v>2124</v>
      </c>
      <c r="U468" t="s">
        <v>2125</v>
      </c>
      <c r="V468" t="s">
        <v>2123</v>
      </c>
      <c r="W468" t="s">
        <v>60</v>
      </c>
      <c r="X468" t="s">
        <v>2126</v>
      </c>
      <c r="Y468">
        <v>0</v>
      </c>
      <c r="Z468">
        <v>0</v>
      </c>
    </row>
    <row r="469" spans="1:26">
      <c r="A469" s="1">
        <v>467</v>
      </c>
      <c r="B469" t="str">
        <f>HYPERLINK("https://bugs.eclipse.org/bugs/show_bug.cgi?id=19474", "19474")</f>
        <v>19474</v>
      </c>
      <c r="C469" t="s">
        <v>56</v>
      </c>
      <c r="D469" t="s">
        <v>10</v>
      </c>
      <c r="E469" t="s">
        <v>14</v>
      </c>
      <c r="F469" t="s">
        <v>26</v>
      </c>
      <c r="L469" t="s">
        <v>2127</v>
      </c>
      <c r="P469" t="s">
        <v>2128</v>
      </c>
      <c r="T469" t="s">
        <v>2129</v>
      </c>
      <c r="U469" t="s">
        <v>2130</v>
      </c>
      <c r="V469" t="s">
        <v>2128</v>
      </c>
      <c r="W469" t="s">
        <v>80</v>
      </c>
      <c r="X469" t="s">
        <v>2131</v>
      </c>
      <c r="Y469">
        <v>0</v>
      </c>
      <c r="Z469">
        <v>2642</v>
      </c>
    </row>
    <row r="470" spans="1:26">
      <c r="A470" s="1">
        <v>468</v>
      </c>
      <c r="B470" t="str">
        <f>HYPERLINK("https://bugs.eclipse.org/bugs/show_bug.cgi?id=19475", "19475")</f>
        <v>19475</v>
      </c>
      <c r="C470" t="s">
        <v>88</v>
      </c>
      <c r="D470" t="s">
        <v>10</v>
      </c>
      <c r="E470" t="s">
        <v>13</v>
      </c>
      <c r="F470" t="s">
        <v>150</v>
      </c>
      <c r="L470" t="s">
        <v>2132</v>
      </c>
      <c r="O470" t="s">
        <v>2132</v>
      </c>
      <c r="S470" t="s">
        <v>2133</v>
      </c>
      <c r="T470" t="s">
        <v>2134</v>
      </c>
      <c r="U470" t="s">
        <v>2135</v>
      </c>
      <c r="V470" t="s">
        <v>2132</v>
      </c>
      <c r="W470" t="s">
        <v>60</v>
      </c>
      <c r="X470" t="s">
        <v>2136</v>
      </c>
      <c r="Y470">
        <v>0</v>
      </c>
      <c r="Z470">
        <v>236.04166666666671</v>
      </c>
    </row>
    <row r="471" spans="1:26">
      <c r="A471" s="1">
        <v>469</v>
      </c>
      <c r="B471" t="str">
        <f>HYPERLINK("https://bugs.eclipse.org/bugs/show_bug.cgi?id=19513", "19513")</f>
        <v>19513</v>
      </c>
      <c r="C471" t="s">
        <v>191</v>
      </c>
      <c r="D471" t="s">
        <v>192</v>
      </c>
      <c r="E471" t="s">
        <v>14</v>
      </c>
      <c r="F471" t="s">
        <v>26</v>
      </c>
      <c r="L471" t="s">
        <v>2137</v>
      </c>
      <c r="P471" t="s">
        <v>2138</v>
      </c>
      <c r="T471" t="s">
        <v>2139</v>
      </c>
      <c r="U471" t="s">
        <v>2140</v>
      </c>
      <c r="V471" t="s">
        <v>2138</v>
      </c>
      <c r="W471" t="s">
        <v>80</v>
      </c>
      <c r="X471" t="s">
        <v>2141</v>
      </c>
      <c r="Y471">
        <v>1</v>
      </c>
      <c r="Z471">
        <v>2642</v>
      </c>
    </row>
    <row r="472" spans="1:26">
      <c r="A472" s="1">
        <v>470</v>
      </c>
      <c r="B472" t="str">
        <f>HYPERLINK("https://bugs.eclipse.org/bugs/show_bug.cgi?id=19575", "19575")</f>
        <v>19575</v>
      </c>
      <c r="C472" t="s">
        <v>149</v>
      </c>
      <c r="D472" t="s">
        <v>10</v>
      </c>
      <c r="E472" t="s">
        <v>12</v>
      </c>
      <c r="F472" t="s">
        <v>26</v>
      </c>
      <c r="G472" t="s">
        <v>2142</v>
      </c>
      <c r="L472" t="s">
        <v>2143</v>
      </c>
      <c r="N472" t="s">
        <v>2143</v>
      </c>
      <c r="S472" t="s">
        <v>2144</v>
      </c>
      <c r="T472" t="s">
        <v>2145</v>
      </c>
      <c r="U472" t="s">
        <v>2146</v>
      </c>
      <c r="V472" t="s">
        <v>2143</v>
      </c>
      <c r="W472" t="s">
        <v>86</v>
      </c>
      <c r="X472" t="s">
        <v>2147</v>
      </c>
      <c r="Y472">
        <v>0</v>
      </c>
      <c r="Z472">
        <v>798</v>
      </c>
    </row>
    <row r="473" spans="1:26">
      <c r="A473" s="1">
        <v>471</v>
      </c>
      <c r="B473" t="str">
        <f>HYPERLINK("https://bugs.eclipse.org/bugs/show_bug.cgi?id=19609", "19609")</f>
        <v>19609</v>
      </c>
      <c r="C473" t="s">
        <v>149</v>
      </c>
      <c r="D473" t="s">
        <v>10</v>
      </c>
      <c r="E473" t="s">
        <v>12</v>
      </c>
      <c r="F473" t="s">
        <v>460</v>
      </c>
      <c r="L473" t="s">
        <v>2148</v>
      </c>
      <c r="N473" t="s">
        <v>2148</v>
      </c>
      <c r="T473" t="s">
        <v>2149</v>
      </c>
      <c r="U473" t="s">
        <v>2150</v>
      </c>
      <c r="V473" t="s">
        <v>2148</v>
      </c>
      <c r="W473" t="s">
        <v>60</v>
      </c>
      <c r="X473" t="s">
        <v>2151</v>
      </c>
      <c r="Y473">
        <v>0</v>
      </c>
      <c r="Z473">
        <v>103</v>
      </c>
    </row>
    <row r="474" spans="1:26">
      <c r="A474" s="1">
        <v>472</v>
      </c>
      <c r="B474" t="str">
        <f>HYPERLINK("https://bugs.eclipse.org/bugs/show_bug.cgi?id=19634", "19634")</f>
        <v>19634</v>
      </c>
      <c r="C474" t="s">
        <v>88</v>
      </c>
      <c r="D474" t="s">
        <v>10</v>
      </c>
      <c r="E474" t="s">
        <v>13</v>
      </c>
      <c r="F474" t="s">
        <v>26</v>
      </c>
      <c r="L474" t="s">
        <v>2152</v>
      </c>
      <c r="O474" t="s">
        <v>2152</v>
      </c>
      <c r="T474" t="s">
        <v>2153</v>
      </c>
      <c r="U474" t="s">
        <v>2154</v>
      </c>
      <c r="V474" t="s">
        <v>2152</v>
      </c>
      <c r="W474" t="s">
        <v>86</v>
      </c>
      <c r="X474" t="s">
        <v>2155</v>
      </c>
      <c r="Y474">
        <v>0</v>
      </c>
      <c r="Z474">
        <v>61</v>
      </c>
    </row>
    <row r="475" spans="1:26">
      <c r="A475" s="1">
        <v>473</v>
      </c>
      <c r="B475" t="str">
        <f>HYPERLINK("https://bugs.eclipse.org/bugs/show_bug.cgi?id=19730", "19730")</f>
        <v>19730</v>
      </c>
      <c r="C475" t="s">
        <v>140</v>
      </c>
      <c r="D475" t="s">
        <v>10</v>
      </c>
      <c r="E475" t="s">
        <v>16</v>
      </c>
      <c r="F475" t="s">
        <v>26</v>
      </c>
      <c r="L475" t="s">
        <v>2156</v>
      </c>
      <c r="R475" t="s">
        <v>2156</v>
      </c>
      <c r="T475" t="s">
        <v>2157</v>
      </c>
      <c r="U475" t="s">
        <v>2158</v>
      </c>
      <c r="V475" t="s">
        <v>2156</v>
      </c>
      <c r="W475" t="s">
        <v>49</v>
      </c>
      <c r="X475" t="s">
        <v>2159</v>
      </c>
      <c r="Y475">
        <v>0</v>
      </c>
      <c r="Z475">
        <v>296.04166666666669</v>
      </c>
    </row>
    <row r="476" spans="1:26">
      <c r="A476" s="1">
        <v>474</v>
      </c>
      <c r="B476" t="str">
        <f>HYPERLINK("https://bugs.eclipse.org/bugs/show_bug.cgi?id=19757", "19757")</f>
        <v>19757</v>
      </c>
      <c r="C476" t="s">
        <v>2160</v>
      </c>
      <c r="D476" t="s">
        <v>192</v>
      </c>
      <c r="E476" t="s">
        <v>16</v>
      </c>
      <c r="F476" t="s">
        <v>51</v>
      </c>
      <c r="L476" t="s">
        <v>2161</v>
      </c>
      <c r="R476" t="s">
        <v>2161</v>
      </c>
      <c r="T476" t="s">
        <v>2162</v>
      </c>
      <c r="U476" t="s">
        <v>2163</v>
      </c>
      <c r="V476" t="s">
        <v>2164</v>
      </c>
      <c r="W476" t="s">
        <v>2165</v>
      </c>
      <c r="X476" t="s">
        <v>2166</v>
      </c>
      <c r="Y476">
        <v>0</v>
      </c>
      <c r="Z476">
        <v>751</v>
      </c>
    </row>
    <row r="477" spans="1:26">
      <c r="A477" s="1">
        <v>475</v>
      </c>
      <c r="B477" t="str">
        <f>HYPERLINK("https://bugs.eclipse.org/bugs/show_bug.cgi?id=19767", "19767")</f>
        <v>19767</v>
      </c>
      <c r="C477" t="s">
        <v>56</v>
      </c>
      <c r="D477" t="s">
        <v>10</v>
      </c>
      <c r="E477" t="s">
        <v>14</v>
      </c>
      <c r="F477" t="s">
        <v>26</v>
      </c>
      <c r="L477" t="s">
        <v>2167</v>
      </c>
      <c r="P477" t="s">
        <v>2168</v>
      </c>
      <c r="T477" t="s">
        <v>2169</v>
      </c>
      <c r="U477" t="s">
        <v>2170</v>
      </c>
      <c r="V477" t="s">
        <v>2168</v>
      </c>
      <c r="W477" t="s">
        <v>75</v>
      </c>
      <c r="X477" t="s">
        <v>2171</v>
      </c>
      <c r="Y477">
        <v>0</v>
      </c>
      <c r="Z477">
        <v>2638</v>
      </c>
    </row>
    <row r="478" spans="1:26">
      <c r="A478" s="1">
        <v>476</v>
      </c>
      <c r="B478" t="str">
        <f>HYPERLINK("https://bugs.eclipse.org/bugs/show_bug.cgi?id=19814", "19814")</f>
        <v>19814</v>
      </c>
      <c r="C478" t="s">
        <v>2172</v>
      </c>
      <c r="D478" t="s">
        <v>10</v>
      </c>
      <c r="E478" t="s">
        <v>15</v>
      </c>
      <c r="F478" t="s">
        <v>26</v>
      </c>
      <c r="L478" t="s">
        <v>2173</v>
      </c>
      <c r="Q478" t="s">
        <v>2173</v>
      </c>
      <c r="T478" t="s">
        <v>2174</v>
      </c>
      <c r="U478" t="s">
        <v>2175</v>
      </c>
      <c r="V478" t="s">
        <v>2173</v>
      </c>
      <c r="W478" t="s">
        <v>60</v>
      </c>
      <c r="X478" t="s">
        <v>2176</v>
      </c>
      <c r="Y478">
        <v>0</v>
      </c>
      <c r="Z478">
        <v>0</v>
      </c>
    </row>
    <row r="479" spans="1:26">
      <c r="A479" s="1">
        <v>477</v>
      </c>
      <c r="B479" t="str">
        <f>HYPERLINK("https://bugs.eclipse.org/bugs/show_bug.cgi?id=19857", "19857")</f>
        <v>19857</v>
      </c>
      <c r="C479" t="s">
        <v>149</v>
      </c>
      <c r="D479" t="s">
        <v>10</v>
      </c>
      <c r="E479" t="s">
        <v>12</v>
      </c>
      <c r="F479" t="s">
        <v>26</v>
      </c>
      <c r="G479" t="s">
        <v>742</v>
      </c>
      <c r="L479" t="s">
        <v>2177</v>
      </c>
      <c r="N479" t="s">
        <v>2177</v>
      </c>
      <c r="T479" t="s">
        <v>2178</v>
      </c>
      <c r="U479" t="s">
        <v>2179</v>
      </c>
      <c r="V479" t="s">
        <v>2177</v>
      </c>
      <c r="W479" t="s">
        <v>86</v>
      </c>
      <c r="X479" t="s">
        <v>2180</v>
      </c>
      <c r="Y479">
        <v>1</v>
      </c>
      <c r="Z479">
        <v>120</v>
      </c>
    </row>
    <row r="480" spans="1:26">
      <c r="A480" s="1">
        <v>478</v>
      </c>
      <c r="B480" t="str">
        <f>HYPERLINK("https://bugs.eclipse.org/bugs/show_bug.cgi?id=19930", "19930")</f>
        <v>19930</v>
      </c>
      <c r="C480" t="s">
        <v>149</v>
      </c>
      <c r="D480" t="s">
        <v>10</v>
      </c>
      <c r="E480" t="s">
        <v>12</v>
      </c>
      <c r="F480" t="s">
        <v>26</v>
      </c>
      <c r="L480" t="s">
        <v>2181</v>
      </c>
      <c r="N480" t="s">
        <v>2181</v>
      </c>
      <c r="S480" t="s">
        <v>2182</v>
      </c>
      <c r="T480" t="s">
        <v>2183</v>
      </c>
      <c r="U480" t="s">
        <v>2184</v>
      </c>
      <c r="V480" t="s">
        <v>2185</v>
      </c>
      <c r="W480" t="s">
        <v>60</v>
      </c>
      <c r="X480" t="s">
        <v>2186</v>
      </c>
      <c r="Y480">
        <v>0</v>
      </c>
      <c r="Z480">
        <v>45</v>
      </c>
    </row>
    <row r="481" spans="1:26">
      <c r="A481" s="1">
        <v>479</v>
      </c>
      <c r="B481" t="str">
        <f>HYPERLINK("https://bugs.eclipse.org/bugs/show_bug.cgi?id=19996", "19996")</f>
        <v>19996</v>
      </c>
      <c r="C481" t="s">
        <v>149</v>
      </c>
      <c r="D481" t="s">
        <v>10</v>
      </c>
      <c r="E481" t="s">
        <v>12</v>
      </c>
      <c r="F481" t="s">
        <v>150</v>
      </c>
      <c r="L481" t="s">
        <v>2187</v>
      </c>
      <c r="N481" t="s">
        <v>2187</v>
      </c>
      <c r="T481" t="s">
        <v>2188</v>
      </c>
      <c r="U481" t="s">
        <v>2189</v>
      </c>
      <c r="V481" t="s">
        <v>2190</v>
      </c>
      <c r="W481" t="s">
        <v>60</v>
      </c>
      <c r="X481" t="s">
        <v>2191</v>
      </c>
      <c r="Y481">
        <v>36</v>
      </c>
      <c r="Z481">
        <v>127</v>
      </c>
    </row>
    <row r="482" spans="1:26">
      <c r="A482" s="1">
        <v>480</v>
      </c>
      <c r="B482" t="str">
        <f>HYPERLINK("https://bugs.eclipse.org/bugs/show_bug.cgi?id=20005", "20005")</f>
        <v>20005</v>
      </c>
      <c r="C482" t="s">
        <v>56</v>
      </c>
      <c r="D482" t="s">
        <v>10</v>
      </c>
      <c r="E482" t="s">
        <v>14</v>
      </c>
      <c r="F482" t="s">
        <v>26</v>
      </c>
      <c r="L482" t="s">
        <v>2192</v>
      </c>
      <c r="P482" t="s">
        <v>2192</v>
      </c>
      <c r="T482" t="s">
        <v>2193</v>
      </c>
      <c r="U482" t="s">
        <v>2194</v>
      </c>
      <c r="V482" t="s">
        <v>2192</v>
      </c>
      <c r="W482" t="s">
        <v>60</v>
      </c>
      <c r="X482" t="s">
        <v>2195</v>
      </c>
      <c r="Y482">
        <v>48</v>
      </c>
      <c r="Z482">
        <v>167.04166666666671</v>
      </c>
    </row>
    <row r="483" spans="1:26">
      <c r="A483" s="1">
        <v>481</v>
      </c>
      <c r="B483" t="str">
        <f>HYPERLINK("https://bugs.eclipse.org/bugs/show_bug.cgi?id=20017", "20017")</f>
        <v>20017</v>
      </c>
      <c r="C483" t="s">
        <v>149</v>
      </c>
      <c r="D483" t="s">
        <v>10</v>
      </c>
      <c r="E483" t="s">
        <v>12</v>
      </c>
      <c r="F483" t="s">
        <v>51</v>
      </c>
      <c r="G483" t="s">
        <v>2196</v>
      </c>
      <c r="L483" t="s">
        <v>2197</v>
      </c>
      <c r="N483" t="s">
        <v>2197</v>
      </c>
      <c r="S483" t="s">
        <v>2198</v>
      </c>
      <c r="T483" t="s">
        <v>2199</v>
      </c>
      <c r="U483" t="s">
        <v>2200</v>
      </c>
      <c r="V483" t="s">
        <v>2201</v>
      </c>
      <c r="W483" t="s">
        <v>143</v>
      </c>
      <c r="X483" t="s">
        <v>2202</v>
      </c>
      <c r="Y483">
        <v>3</v>
      </c>
      <c r="Z483">
        <v>2518</v>
      </c>
    </row>
    <row r="484" spans="1:26">
      <c r="A484" s="1">
        <v>482</v>
      </c>
      <c r="B484" t="str">
        <f>HYPERLINK("https://bugs.eclipse.org/bugs/show_bug.cgi?id=20051", "20051")</f>
        <v>20051</v>
      </c>
      <c r="C484" t="s">
        <v>35</v>
      </c>
      <c r="D484" t="s">
        <v>11</v>
      </c>
      <c r="E484" t="s">
        <v>12</v>
      </c>
      <c r="F484" t="s">
        <v>26</v>
      </c>
      <c r="L484" t="s">
        <v>2203</v>
      </c>
      <c r="M484" t="s">
        <v>2204</v>
      </c>
      <c r="N484" t="s">
        <v>2203</v>
      </c>
      <c r="T484" t="s">
        <v>2205</v>
      </c>
      <c r="U484" t="s">
        <v>2206</v>
      </c>
      <c r="V484" t="s">
        <v>2204</v>
      </c>
      <c r="W484" t="s">
        <v>86</v>
      </c>
      <c r="X484" t="s">
        <v>2207</v>
      </c>
      <c r="Y484">
        <v>0</v>
      </c>
      <c r="Z484">
        <v>1</v>
      </c>
    </row>
    <row r="485" spans="1:26">
      <c r="A485" s="1">
        <v>483</v>
      </c>
      <c r="B485" t="str">
        <f>HYPERLINK("https://bugs.eclipse.org/bugs/show_bug.cgi?id=20285", "20285")</f>
        <v>20285</v>
      </c>
      <c r="C485" t="s">
        <v>149</v>
      </c>
      <c r="D485" t="s">
        <v>10</v>
      </c>
      <c r="E485" t="s">
        <v>12</v>
      </c>
      <c r="F485" t="s">
        <v>26</v>
      </c>
      <c r="L485" t="s">
        <v>2208</v>
      </c>
      <c r="N485" t="s">
        <v>2208</v>
      </c>
      <c r="T485" t="s">
        <v>2209</v>
      </c>
      <c r="U485" t="s">
        <v>2210</v>
      </c>
      <c r="V485" t="s">
        <v>2211</v>
      </c>
      <c r="W485" t="s">
        <v>143</v>
      </c>
      <c r="X485" t="s">
        <v>2212</v>
      </c>
      <c r="Y485">
        <v>3</v>
      </c>
      <c r="Z485">
        <v>2517</v>
      </c>
    </row>
    <row r="486" spans="1:26">
      <c r="A486" s="1">
        <v>484</v>
      </c>
      <c r="B486" t="str">
        <f>HYPERLINK("https://bugs.eclipse.org/bugs/show_bug.cgi?id=20396", "20396")</f>
        <v>20396</v>
      </c>
      <c r="C486" t="s">
        <v>140</v>
      </c>
      <c r="D486" t="s">
        <v>10</v>
      </c>
      <c r="E486" t="s">
        <v>16</v>
      </c>
      <c r="F486" t="s">
        <v>150</v>
      </c>
      <c r="L486" t="s">
        <v>2213</v>
      </c>
      <c r="R486" t="s">
        <v>2213</v>
      </c>
      <c r="T486" t="s">
        <v>2214</v>
      </c>
      <c r="U486" t="s">
        <v>2215</v>
      </c>
      <c r="V486" t="s">
        <v>2213</v>
      </c>
      <c r="W486" t="s">
        <v>60</v>
      </c>
      <c r="X486" t="s">
        <v>2216</v>
      </c>
      <c r="Y486">
        <v>0</v>
      </c>
      <c r="Z486">
        <v>12</v>
      </c>
    </row>
    <row r="487" spans="1:26">
      <c r="A487" s="1">
        <v>485</v>
      </c>
      <c r="B487" t="str">
        <f>HYPERLINK("https://bugs.eclipse.org/bugs/show_bug.cgi?id=20549", "20549")</f>
        <v>20549</v>
      </c>
      <c r="C487" t="s">
        <v>149</v>
      </c>
      <c r="D487" t="s">
        <v>10</v>
      </c>
      <c r="E487" t="s">
        <v>12</v>
      </c>
      <c r="F487" t="s">
        <v>26</v>
      </c>
      <c r="L487" t="s">
        <v>2217</v>
      </c>
      <c r="N487" t="s">
        <v>2217</v>
      </c>
      <c r="T487" t="s">
        <v>2218</v>
      </c>
      <c r="U487" t="s">
        <v>2219</v>
      </c>
      <c r="V487" t="s">
        <v>2217</v>
      </c>
      <c r="W487" t="s">
        <v>49</v>
      </c>
      <c r="X487" t="s">
        <v>2220</v>
      </c>
      <c r="Y487">
        <v>0</v>
      </c>
      <c r="Z487">
        <v>90</v>
      </c>
    </row>
    <row r="488" spans="1:26">
      <c r="A488" s="1">
        <v>486</v>
      </c>
      <c r="B488" t="str">
        <f>HYPERLINK("https://bugs.eclipse.org/bugs/show_bug.cgi?id=20612", "20612")</f>
        <v>20612</v>
      </c>
      <c r="C488" t="s">
        <v>149</v>
      </c>
      <c r="D488" t="s">
        <v>10</v>
      </c>
      <c r="E488" t="s">
        <v>12</v>
      </c>
      <c r="F488" t="s">
        <v>26</v>
      </c>
      <c r="L488" t="s">
        <v>2221</v>
      </c>
      <c r="N488" t="s">
        <v>2221</v>
      </c>
      <c r="T488" t="s">
        <v>2222</v>
      </c>
      <c r="U488" t="s">
        <v>2223</v>
      </c>
      <c r="V488" t="s">
        <v>2221</v>
      </c>
      <c r="W488" t="s">
        <v>86</v>
      </c>
      <c r="X488" t="s">
        <v>2224</v>
      </c>
      <c r="Y488">
        <v>1</v>
      </c>
      <c r="Z488">
        <v>2</v>
      </c>
    </row>
    <row r="489" spans="1:26">
      <c r="A489" s="1">
        <v>487</v>
      </c>
      <c r="B489" t="str">
        <f>HYPERLINK("https://bugs.eclipse.org/bugs/show_bug.cgi?id=20651", "20651")</f>
        <v>20651</v>
      </c>
      <c r="C489" t="s">
        <v>140</v>
      </c>
      <c r="D489" t="s">
        <v>10</v>
      </c>
      <c r="E489" t="s">
        <v>16</v>
      </c>
      <c r="F489" t="s">
        <v>26</v>
      </c>
      <c r="L489" t="s">
        <v>2225</v>
      </c>
      <c r="R489" t="s">
        <v>2225</v>
      </c>
      <c r="T489" t="s">
        <v>2226</v>
      </c>
      <c r="U489" t="s">
        <v>2225</v>
      </c>
      <c r="V489" t="s">
        <v>2225</v>
      </c>
      <c r="W489" t="s">
        <v>86</v>
      </c>
      <c r="X489" t="s">
        <v>2227</v>
      </c>
      <c r="Y489">
        <v>0</v>
      </c>
      <c r="Z489">
        <v>0</v>
      </c>
    </row>
    <row r="490" spans="1:26">
      <c r="A490" s="1">
        <v>488</v>
      </c>
      <c r="B490" t="str">
        <f>HYPERLINK("https://bugs.eclipse.org/bugs/show_bug.cgi?id=20782", "20782")</f>
        <v>20782</v>
      </c>
      <c r="C490" t="s">
        <v>140</v>
      </c>
      <c r="D490" t="s">
        <v>10</v>
      </c>
      <c r="E490" t="s">
        <v>16</v>
      </c>
      <c r="F490" t="s">
        <v>26</v>
      </c>
      <c r="G490" t="s">
        <v>2228</v>
      </c>
      <c r="L490" t="s">
        <v>2229</v>
      </c>
      <c r="R490" t="s">
        <v>2229</v>
      </c>
      <c r="T490" t="s">
        <v>2230</v>
      </c>
      <c r="U490" t="s">
        <v>2231</v>
      </c>
      <c r="V490" t="s">
        <v>2229</v>
      </c>
      <c r="W490" t="s">
        <v>86</v>
      </c>
      <c r="X490" t="s">
        <v>2232</v>
      </c>
      <c r="Y490">
        <v>0</v>
      </c>
      <c r="Z490">
        <v>39</v>
      </c>
    </row>
    <row r="491" spans="1:26">
      <c r="A491" s="1">
        <v>489</v>
      </c>
      <c r="B491" t="str">
        <f>HYPERLINK("https://bugs.eclipse.org/bugs/show_bug.cgi?id=20783", "20783")</f>
        <v>20783</v>
      </c>
      <c r="C491" t="s">
        <v>2233</v>
      </c>
      <c r="D491" t="s">
        <v>10</v>
      </c>
      <c r="E491" t="s">
        <v>15</v>
      </c>
      <c r="F491" t="s">
        <v>26</v>
      </c>
      <c r="L491" t="s">
        <v>2234</v>
      </c>
      <c r="Q491" t="s">
        <v>2234</v>
      </c>
      <c r="T491" t="s">
        <v>2235</v>
      </c>
      <c r="U491" t="s">
        <v>2236</v>
      </c>
      <c r="V491" t="s">
        <v>2234</v>
      </c>
      <c r="W491" t="s">
        <v>86</v>
      </c>
      <c r="X491" t="s">
        <v>2237</v>
      </c>
      <c r="Y491">
        <v>0</v>
      </c>
      <c r="Z491">
        <v>39</v>
      </c>
    </row>
    <row r="492" spans="1:26">
      <c r="A492" s="1">
        <v>490</v>
      </c>
      <c r="B492" t="str">
        <f>HYPERLINK("https://bugs.eclipse.org/bugs/show_bug.cgi?id=20790", "20790")</f>
        <v>20790</v>
      </c>
      <c r="C492" t="s">
        <v>140</v>
      </c>
      <c r="D492" t="s">
        <v>10</v>
      </c>
      <c r="E492" t="s">
        <v>16</v>
      </c>
      <c r="F492" t="s">
        <v>26</v>
      </c>
      <c r="L492" t="s">
        <v>2238</v>
      </c>
      <c r="R492" t="s">
        <v>2238</v>
      </c>
      <c r="T492" t="s">
        <v>2239</v>
      </c>
      <c r="U492" t="s">
        <v>2238</v>
      </c>
      <c r="V492" t="s">
        <v>2238</v>
      </c>
      <c r="W492" t="s">
        <v>134</v>
      </c>
      <c r="X492" t="s">
        <v>2240</v>
      </c>
      <c r="Y492">
        <v>2</v>
      </c>
      <c r="Z492">
        <v>2</v>
      </c>
    </row>
    <row r="493" spans="1:26">
      <c r="A493" s="1">
        <v>491</v>
      </c>
      <c r="B493" t="str">
        <f>HYPERLINK("https://bugs.eclipse.org/bugs/show_bug.cgi?id=20798", "20798")</f>
        <v>20798</v>
      </c>
      <c r="C493" t="s">
        <v>140</v>
      </c>
      <c r="D493" t="s">
        <v>10</v>
      </c>
      <c r="E493" t="s">
        <v>16</v>
      </c>
      <c r="F493" t="s">
        <v>26</v>
      </c>
      <c r="L493" t="s">
        <v>2241</v>
      </c>
      <c r="R493" t="s">
        <v>2241</v>
      </c>
      <c r="T493" t="s">
        <v>2242</v>
      </c>
      <c r="U493" t="s">
        <v>2243</v>
      </c>
      <c r="V493" t="s">
        <v>2241</v>
      </c>
      <c r="W493" t="s">
        <v>60</v>
      </c>
      <c r="X493" t="s">
        <v>2244</v>
      </c>
      <c r="Y493">
        <v>39</v>
      </c>
      <c r="Z493">
        <v>76</v>
      </c>
    </row>
    <row r="494" spans="1:26">
      <c r="A494" s="1">
        <v>492</v>
      </c>
      <c r="B494" t="str">
        <f>HYPERLINK("https://bugs.eclipse.org/bugs/show_bug.cgi?id=20806", "20806")</f>
        <v>20806</v>
      </c>
      <c r="C494" t="s">
        <v>149</v>
      </c>
      <c r="D494" t="s">
        <v>10</v>
      </c>
      <c r="E494" t="s">
        <v>12</v>
      </c>
      <c r="F494" t="s">
        <v>26</v>
      </c>
      <c r="L494" t="s">
        <v>2245</v>
      </c>
      <c r="N494" t="s">
        <v>2245</v>
      </c>
      <c r="T494" t="s">
        <v>2246</v>
      </c>
      <c r="U494" t="s">
        <v>2247</v>
      </c>
      <c r="V494" t="s">
        <v>2245</v>
      </c>
      <c r="W494" t="s">
        <v>60</v>
      </c>
      <c r="X494" t="s">
        <v>2248</v>
      </c>
      <c r="Y494">
        <v>39</v>
      </c>
      <c r="Z494">
        <v>60</v>
      </c>
    </row>
    <row r="495" spans="1:26">
      <c r="A495" s="1">
        <v>493</v>
      </c>
      <c r="B495" t="str">
        <f>HYPERLINK("https://bugs.eclipse.org/bugs/show_bug.cgi?id=20827", "20827")</f>
        <v>20827</v>
      </c>
      <c r="C495" t="s">
        <v>56</v>
      </c>
      <c r="D495" t="s">
        <v>10</v>
      </c>
      <c r="E495" t="s">
        <v>14</v>
      </c>
      <c r="F495" t="s">
        <v>26</v>
      </c>
      <c r="L495" t="s">
        <v>2249</v>
      </c>
      <c r="P495" t="s">
        <v>2249</v>
      </c>
      <c r="T495" t="s">
        <v>2250</v>
      </c>
      <c r="U495" t="s">
        <v>2251</v>
      </c>
      <c r="V495" t="s">
        <v>2249</v>
      </c>
      <c r="W495" t="s">
        <v>86</v>
      </c>
      <c r="X495" t="s">
        <v>2252</v>
      </c>
      <c r="Y495">
        <v>0</v>
      </c>
      <c r="Z495">
        <v>229.04166666666671</v>
      </c>
    </row>
    <row r="496" spans="1:26">
      <c r="A496" s="1">
        <v>494</v>
      </c>
      <c r="B496" t="str">
        <f>HYPERLINK("https://bugs.eclipse.org/bugs/show_bug.cgi?id=20832", "20832")</f>
        <v>20832</v>
      </c>
      <c r="C496" t="s">
        <v>149</v>
      </c>
      <c r="D496" t="s">
        <v>10</v>
      </c>
      <c r="E496" t="s">
        <v>12</v>
      </c>
      <c r="F496" t="s">
        <v>26</v>
      </c>
      <c r="L496" t="s">
        <v>2253</v>
      </c>
      <c r="N496" t="s">
        <v>2253</v>
      </c>
      <c r="T496" t="s">
        <v>2254</v>
      </c>
      <c r="U496" t="s">
        <v>2255</v>
      </c>
      <c r="V496" t="s">
        <v>2253</v>
      </c>
      <c r="W496" t="s">
        <v>60</v>
      </c>
      <c r="X496" t="s">
        <v>2256</v>
      </c>
      <c r="Y496">
        <v>0</v>
      </c>
      <c r="Z496">
        <v>61</v>
      </c>
    </row>
    <row r="497" spans="1:26">
      <c r="A497" s="1">
        <v>495</v>
      </c>
      <c r="B497" t="str">
        <f>HYPERLINK("https://bugs.eclipse.org/bugs/show_bug.cgi?id=20875", "20875")</f>
        <v>20875</v>
      </c>
      <c r="C497" t="s">
        <v>149</v>
      </c>
      <c r="D497" t="s">
        <v>10</v>
      </c>
      <c r="E497" t="s">
        <v>12</v>
      </c>
      <c r="F497" t="s">
        <v>26</v>
      </c>
      <c r="L497" t="s">
        <v>2257</v>
      </c>
      <c r="N497" t="s">
        <v>2257</v>
      </c>
      <c r="T497" t="s">
        <v>2258</v>
      </c>
      <c r="U497" t="s">
        <v>2259</v>
      </c>
      <c r="V497" t="s">
        <v>2260</v>
      </c>
      <c r="W497" t="s">
        <v>86</v>
      </c>
      <c r="X497" t="s">
        <v>2261</v>
      </c>
      <c r="Y497">
        <v>36</v>
      </c>
      <c r="Z497">
        <v>102</v>
      </c>
    </row>
    <row r="498" spans="1:26">
      <c r="A498" s="1">
        <v>496</v>
      </c>
      <c r="B498" t="str">
        <f>HYPERLINK("https://bugs.eclipse.org/bugs/show_bug.cgi?id=20928", "20928")</f>
        <v>20928</v>
      </c>
      <c r="C498" t="s">
        <v>149</v>
      </c>
      <c r="D498" t="s">
        <v>10</v>
      </c>
      <c r="E498" t="s">
        <v>12</v>
      </c>
      <c r="F498" t="s">
        <v>26</v>
      </c>
      <c r="G498" t="s">
        <v>2262</v>
      </c>
      <c r="L498" t="s">
        <v>2263</v>
      </c>
      <c r="N498" t="s">
        <v>2263</v>
      </c>
      <c r="T498" t="s">
        <v>2264</v>
      </c>
      <c r="U498" t="s">
        <v>2265</v>
      </c>
      <c r="V498" t="s">
        <v>2263</v>
      </c>
      <c r="W498" t="s">
        <v>49</v>
      </c>
      <c r="X498" t="s">
        <v>2266</v>
      </c>
      <c r="Y498">
        <v>31</v>
      </c>
      <c r="Z498">
        <v>109</v>
      </c>
    </row>
    <row r="499" spans="1:26">
      <c r="A499" s="1">
        <v>497</v>
      </c>
      <c r="B499" t="str">
        <f>HYPERLINK("https://bugs.eclipse.org/bugs/show_bug.cgi?id=20993", "20993")</f>
        <v>20993</v>
      </c>
      <c r="C499" t="s">
        <v>2160</v>
      </c>
      <c r="D499" t="s">
        <v>192</v>
      </c>
      <c r="E499" t="s">
        <v>16</v>
      </c>
      <c r="F499" t="s">
        <v>26</v>
      </c>
      <c r="L499" t="s">
        <v>2267</v>
      </c>
      <c r="R499" t="s">
        <v>2267</v>
      </c>
      <c r="T499" t="s">
        <v>2268</v>
      </c>
      <c r="U499" t="s">
        <v>2269</v>
      </c>
      <c r="V499" t="s">
        <v>2270</v>
      </c>
      <c r="W499" t="s">
        <v>2165</v>
      </c>
      <c r="X499" t="s">
        <v>2271</v>
      </c>
      <c r="Y499">
        <v>0</v>
      </c>
      <c r="Z499">
        <v>193.04166666666671</v>
      </c>
    </row>
    <row r="500" spans="1:26">
      <c r="A500" s="1">
        <v>498</v>
      </c>
      <c r="B500" t="str">
        <f>HYPERLINK("https://bugs.eclipse.org/bugs/show_bug.cgi?id=21032", "21032")</f>
        <v>21032</v>
      </c>
      <c r="C500" t="s">
        <v>140</v>
      </c>
      <c r="D500" t="s">
        <v>10</v>
      </c>
      <c r="E500" t="s">
        <v>16</v>
      </c>
      <c r="F500" t="s">
        <v>26</v>
      </c>
      <c r="L500" t="s">
        <v>2272</v>
      </c>
      <c r="R500" t="s">
        <v>2272</v>
      </c>
      <c r="T500" t="s">
        <v>2273</v>
      </c>
      <c r="U500" t="s">
        <v>2274</v>
      </c>
      <c r="V500" t="s">
        <v>2272</v>
      </c>
      <c r="W500" t="s">
        <v>60</v>
      </c>
      <c r="X500" t="s">
        <v>2275</v>
      </c>
      <c r="Y500">
        <v>22</v>
      </c>
      <c r="Z500">
        <v>63</v>
      </c>
    </row>
    <row r="501" spans="1:26">
      <c r="A501" s="1">
        <v>499</v>
      </c>
      <c r="B501" t="str">
        <f>HYPERLINK("https://bugs.eclipse.org/bugs/show_bug.cgi?id=21086", "21086")</f>
        <v>21086</v>
      </c>
      <c r="C501" t="s">
        <v>149</v>
      </c>
      <c r="D501" t="s">
        <v>10</v>
      </c>
      <c r="E501" t="s">
        <v>12</v>
      </c>
      <c r="F501" t="s">
        <v>26</v>
      </c>
      <c r="G501" t="s">
        <v>2276</v>
      </c>
      <c r="L501" t="s">
        <v>2277</v>
      </c>
      <c r="N501" t="s">
        <v>2277</v>
      </c>
      <c r="T501" t="s">
        <v>2278</v>
      </c>
      <c r="U501" t="s">
        <v>2279</v>
      </c>
      <c r="V501" t="s">
        <v>2277</v>
      </c>
      <c r="W501" t="s">
        <v>86</v>
      </c>
      <c r="X501" t="s">
        <v>2280</v>
      </c>
      <c r="Y501">
        <v>32</v>
      </c>
      <c r="Z501">
        <v>707</v>
      </c>
    </row>
    <row r="502" spans="1:26">
      <c r="A502" s="1">
        <v>500</v>
      </c>
      <c r="B502" t="str">
        <f>HYPERLINK("https://bugs.eclipse.org/bugs/show_bug.cgi?id=21120", "21120")</f>
        <v>21120</v>
      </c>
      <c r="C502" t="s">
        <v>149</v>
      </c>
      <c r="D502" t="s">
        <v>10</v>
      </c>
      <c r="E502" t="s">
        <v>12</v>
      </c>
      <c r="F502" t="s">
        <v>26</v>
      </c>
      <c r="L502" t="s">
        <v>2281</v>
      </c>
      <c r="N502" t="s">
        <v>2281</v>
      </c>
      <c r="T502" t="s">
        <v>2282</v>
      </c>
      <c r="U502" t="s">
        <v>2283</v>
      </c>
      <c r="V502" t="s">
        <v>2281</v>
      </c>
      <c r="W502" t="s">
        <v>49</v>
      </c>
      <c r="X502" t="s">
        <v>2284</v>
      </c>
      <c r="Y502">
        <v>31</v>
      </c>
      <c r="Z502">
        <v>109</v>
      </c>
    </row>
    <row r="503" spans="1:26">
      <c r="A503" s="1">
        <v>501</v>
      </c>
      <c r="B503" t="str">
        <f>HYPERLINK("https://bugs.eclipse.org/bugs/show_bug.cgi?id=21145", "21145")</f>
        <v>21145</v>
      </c>
      <c r="C503" t="s">
        <v>56</v>
      </c>
      <c r="D503" t="s">
        <v>10</v>
      </c>
      <c r="E503" t="s">
        <v>14</v>
      </c>
      <c r="F503" t="s">
        <v>26</v>
      </c>
      <c r="L503" t="s">
        <v>2285</v>
      </c>
      <c r="P503" t="s">
        <v>2285</v>
      </c>
      <c r="S503" t="s">
        <v>2286</v>
      </c>
      <c r="T503" t="s">
        <v>2287</v>
      </c>
      <c r="U503" t="s">
        <v>2288</v>
      </c>
      <c r="V503" t="s">
        <v>2285</v>
      </c>
      <c r="W503" t="s">
        <v>60</v>
      </c>
      <c r="X503" t="s">
        <v>2289</v>
      </c>
      <c r="Y503">
        <v>3</v>
      </c>
      <c r="Z503">
        <v>375</v>
      </c>
    </row>
    <row r="504" spans="1:26">
      <c r="A504" s="1">
        <v>502</v>
      </c>
      <c r="B504" t="str">
        <f>HYPERLINK("https://bugs.eclipse.org/bugs/show_bug.cgi?id=21156", "21156")</f>
        <v>21156</v>
      </c>
      <c r="C504" t="s">
        <v>25</v>
      </c>
      <c r="D504" t="s">
        <v>25</v>
      </c>
      <c r="F504" t="s">
        <v>26</v>
      </c>
      <c r="T504" t="s">
        <v>2290</v>
      </c>
      <c r="U504" t="s">
        <v>2291</v>
      </c>
      <c r="V504" t="s">
        <v>2292</v>
      </c>
      <c r="W504" t="s">
        <v>2293</v>
      </c>
      <c r="X504" t="s">
        <v>2294</v>
      </c>
      <c r="Y504">
        <v>28</v>
      </c>
    </row>
    <row r="505" spans="1:26">
      <c r="A505" s="1">
        <v>503</v>
      </c>
      <c r="B505" t="str">
        <f>HYPERLINK("https://bugs.eclipse.org/bugs/show_bug.cgi?id=21163", "21163")</f>
        <v>21163</v>
      </c>
      <c r="C505" t="s">
        <v>149</v>
      </c>
      <c r="D505" t="s">
        <v>10</v>
      </c>
      <c r="E505" t="s">
        <v>12</v>
      </c>
      <c r="F505" t="s">
        <v>26</v>
      </c>
      <c r="L505" t="s">
        <v>2295</v>
      </c>
      <c r="N505" t="s">
        <v>2295</v>
      </c>
      <c r="T505" t="s">
        <v>2296</v>
      </c>
      <c r="U505" t="s">
        <v>2297</v>
      </c>
      <c r="V505" t="s">
        <v>2295</v>
      </c>
      <c r="W505" t="s">
        <v>60</v>
      </c>
      <c r="X505" t="s">
        <v>2298</v>
      </c>
      <c r="Y505">
        <v>17</v>
      </c>
      <c r="Z505">
        <v>51</v>
      </c>
    </row>
    <row r="506" spans="1:26">
      <c r="A506" s="1">
        <v>504</v>
      </c>
      <c r="B506" t="str">
        <f>HYPERLINK("https://bugs.eclipse.org/bugs/show_bug.cgi?id=21184", "21184")</f>
        <v>21184</v>
      </c>
      <c r="C506" t="s">
        <v>2299</v>
      </c>
      <c r="D506" t="s">
        <v>10</v>
      </c>
      <c r="E506" t="s">
        <v>15</v>
      </c>
      <c r="F506" t="s">
        <v>26</v>
      </c>
      <c r="L506" t="s">
        <v>2300</v>
      </c>
      <c r="Q506" t="s">
        <v>2300</v>
      </c>
      <c r="T506" t="s">
        <v>2301</v>
      </c>
      <c r="U506" t="s">
        <v>2300</v>
      </c>
      <c r="V506" t="s">
        <v>2300</v>
      </c>
      <c r="W506" t="s">
        <v>86</v>
      </c>
      <c r="X506" t="s">
        <v>2302</v>
      </c>
      <c r="Y506">
        <v>27</v>
      </c>
      <c r="Z506">
        <v>27</v>
      </c>
    </row>
    <row r="507" spans="1:26">
      <c r="A507" s="1">
        <v>505</v>
      </c>
      <c r="B507" t="str">
        <f>HYPERLINK("https://bugs.eclipse.org/bugs/show_bug.cgi?id=21229", "21229")</f>
        <v>21229</v>
      </c>
      <c r="C507" t="s">
        <v>2303</v>
      </c>
      <c r="D507" t="s">
        <v>10</v>
      </c>
      <c r="E507" t="s">
        <v>15</v>
      </c>
      <c r="F507" t="s">
        <v>26</v>
      </c>
      <c r="L507" t="s">
        <v>2304</v>
      </c>
      <c r="Q507" t="s">
        <v>2304</v>
      </c>
      <c r="T507" t="s">
        <v>2305</v>
      </c>
      <c r="U507" t="s">
        <v>2306</v>
      </c>
      <c r="V507" t="s">
        <v>2304</v>
      </c>
      <c r="W507" t="s">
        <v>60</v>
      </c>
      <c r="X507" t="s">
        <v>2307</v>
      </c>
      <c r="Y507">
        <v>0</v>
      </c>
      <c r="Z507">
        <v>55</v>
      </c>
    </row>
    <row r="508" spans="1:26">
      <c r="A508" s="1">
        <v>506</v>
      </c>
      <c r="B508" t="str">
        <f>HYPERLINK("https://bugs.eclipse.org/bugs/show_bug.cgi?id=21236", "21236")</f>
        <v>21236</v>
      </c>
      <c r="C508" t="s">
        <v>2308</v>
      </c>
      <c r="D508" t="s">
        <v>10</v>
      </c>
      <c r="E508" t="s">
        <v>15</v>
      </c>
      <c r="F508" t="s">
        <v>26</v>
      </c>
      <c r="L508" t="s">
        <v>2309</v>
      </c>
      <c r="Q508" t="s">
        <v>2309</v>
      </c>
      <c r="T508" t="s">
        <v>2310</v>
      </c>
      <c r="U508" t="s">
        <v>2311</v>
      </c>
      <c r="V508" t="s">
        <v>2309</v>
      </c>
      <c r="W508" t="s">
        <v>60</v>
      </c>
      <c r="X508" t="s">
        <v>2312</v>
      </c>
      <c r="Y508">
        <v>0</v>
      </c>
      <c r="Z508">
        <v>14</v>
      </c>
    </row>
    <row r="509" spans="1:26">
      <c r="A509" s="1">
        <v>507</v>
      </c>
      <c r="B509" t="str">
        <f>HYPERLINK("https://bugs.eclipse.org/bugs/show_bug.cgi?id=21292", "21292")</f>
        <v>21292</v>
      </c>
      <c r="C509" t="s">
        <v>35</v>
      </c>
      <c r="D509" t="s">
        <v>11</v>
      </c>
      <c r="E509" t="s">
        <v>12</v>
      </c>
      <c r="F509" t="s">
        <v>26</v>
      </c>
      <c r="G509" t="s">
        <v>2313</v>
      </c>
      <c r="L509" t="s">
        <v>2314</v>
      </c>
      <c r="M509" t="s">
        <v>2315</v>
      </c>
      <c r="N509" t="s">
        <v>2314</v>
      </c>
      <c r="S509" t="s">
        <v>2316</v>
      </c>
      <c r="T509" t="s">
        <v>2317</v>
      </c>
      <c r="U509" t="s">
        <v>2318</v>
      </c>
      <c r="V509" t="s">
        <v>2315</v>
      </c>
      <c r="W509" t="s">
        <v>40</v>
      </c>
      <c r="X509" t="s">
        <v>2319</v>
      </c>
      <c r="Y509">
        <v>10</v>
      </c>
      <c r="Z509">
        <v>45</v>
      </c>
    </row>
    <row r="510" spans="1:26">
      <c r="A510" s="1">
        <v>508</v>
      </c>
      <c r="B510" t="str">
        <f>HYPERLINK("https://bugs.eclipse.org/bugs/show_bug.cgi?id=21402", "21402")</f>
        <v>21402</v>
      </c>
      <c r="C510" t="s">
        <v>56</v>
      </c>
      <c r="D510" t="s">
        <v>10</v>
      </c>
      <c r="E510" t="s">
        <v>14</v>
      </c>
      <c r="F510" t="s">
        <v>51</v>
      </c>
      <c r="G510" t="s">
        <v>2320</v>
      </c>
      <c r="L510" t="s">
        <v>2321</v>
      </c>
      <c r="P510" t="s">
        <v>2321</v>
      </c>
      <c r="S510" t="s">
        <v>2322</v>
      </c>
      <c r="T510" t="s">
        <v>2323</v>
      </c>
      <c r="U510" t="s">
        <v>2324</v>
      </c>
      <c r="V510" t="s">
        <v>2325</v>
      </c>
      <c r="W510" t="s">
        <v>143</v>
      </c>
      <c r="X510" t="s">
        <v>2326</v>
      </c>
      <c r="Y510">
        <v>0</v>
      </c>
      <c r="Z510">
        <v>2277</v>
      </c>
    </row>
    <row r="511" spans="1:26">
      <c r="A511" s="1">
        <v>509</v>
      </c>
      <c r="B511" t="str">
        <f>HYPERLINK("https://bugs.eclipse.org/bugs/show_bug.cgi?id=21441", "21441")</f>
        <v>21441</v>
      </c>
      <c r="C511" t="s">
        <v>2327</v>
      </c>
      <c r="D511" t="s">
        <v>10</v>
      </c>
      <c r="E511" t="s">
        <v>15</v>
      </c>
      <c r="F511" t="s">
        <v>26</v>
      </c>
      <c r="L511" t="s">
        <v>2328</v>
      </c>
      <c r="Q511" t="s">
        <v>2328</v>
      </c>
      <c r="T511" t="s">
        <v>2329</v>
      </c>
      <c r="U511" t="s">
        <v>2328</v>
      </c>
      <c r="V511" t="s">
        <v>2328</v>
      </c>
      <c r="W511" t="s">
        <v>60</v>
      </c>
      <c r="X511" t="s">
        <v>2330</v>
      </c>
      <c r="Y511">
        <v>1</v>
      </c>
      <c r="Z511">
        <v>1</v>
      </c>
    </row>
    <row r="512" spans="1:26">
      <c r="A512" s="1">
        <v>510</v>
      </c>
      <c r="B512" t="str">
        <f>HYPERLINK("https://bugs.eclipse.org/bugs/show_bug.cgi?id=21442", "21442")</f>
        <v>21442</v>
      </c>
      <c r="C512" t="s">
        <v>2327</v>
      </c>
      <c r="D512" t="s">
        <v>10</v>
      </c>
      <c r="E512" t="s">
        <v>15</v>
      </c>
      <c r="F512" t="s">
        <v>26</v>
      </c>
      <c r="L512" t="s">
        <v>2331</v>
      </c>
      <c r="Q512" t="s">
        <v>2331</v>
      </c>
      <c r="T512" t="s">
        <v>2329</v>
      </c>
      <c r="U512" t="s">
        <v>2331</v>
      </c>
      <c r="V512" t="s">
        <v>2331</v>
      </c>
      <c r="W512" t="s">
        <v>60</v>
      </c>
      <c r="X512" t="s">
        <v>2332</v>
      </c>
      <c r="Y512">
        <v>1</v>
      </c>
      <c r="Z512">
        <v>1</v>
      </c>
    </row>
    <row r="513" spans="1:26">
      <c r="A513" s="1">
        <v>511</v>
      </c>
      <c r="B513" t="str">
        <f>HYPERLINK("https://bugs.eclipse.org/bugs/show_bug.cgi?id=21443", "21443")</f>
        <v>21443</v>
      </c>
      <c r="C513" t="s">
        <v>56</v>
      </c>
      <c r="D513" t="s">
        <v>10</v>
      </c>
      <c r="E513" t="s">
        <v>14</v>
      </c>
      <c r="F513" t="s">
        <v>51</v>
      </c>
      <c r="G513" t="s">
        <v>2333</v>
      </c>
      <c r="L513" t="s">
        <v>2334</v>
      </c>
      <c r="P513" t="s">
        <v>2335</v>
      </c>
      <c r="T513" t="s">
        <v>2336</v>
      </c>
      <c r="U513" t="s">
        <v>2337</v>
      </c>
      <c r="V513" t="s">
        <v>2335</v>
      </c>
      <c r="W513" t="s">
        <v>80</v>
      </c>
      <c r="X513" t="s">
        <v>2338</v>
      </c>
      <c r="Y513">
        <v>19</v>
      </c>
      <c r="Z513">
        <v>2608</v>
      </c>
    </row>
    <row r="514" spans="1:26">
      <c r="A514" s="1">
        <v>512</v>
      </c>
      <c r="B514" t="str">
        <f>HYPERLINK("https://bugs.eclipse.org/bugs/show_bug.cgi?id=21515", "21515")</f>
        <v>21515</v>
      </c>
      <c r="C514" t="s">
        <v>1182</v>
      </c>
      <c r="D514" t="s">
        <v>10</v>
      </c>
      <c r="E514" t="s">
        <v>15</v>
      </c>
      <c r="F514" t="s">
        <v>26</v>
      </c>
      <c r="L514" t="s">
        <v>2339</v>
      </c>
      <c r="Q514" t="s">
        <v>2339</v>
      </c>
      <c r="T514" t="s">
        <v>2340</v>
      </c>
      <c r="U514" t="s">
        <v>2339</v>
      </c>
      <c r="V514" t="s">
        <v>2341</v>
      </c>
      <c r="W514" t="s">
        <v>953</v>
      </c>
      <c r="X514" t="s">
        <v>2342</v>
      </c>
      <c r="Y514">
        <v>0</v>
      </c>
      <c r="Z514">
        <v>254.04166666666671</v>
      </c>
    </row>
    <row r="515" spans="1:26">
      <c r="A515" s="1">
        <v>513</v>
      </c>
      <c r="B515" t="str">
        <f>HYPERLINK("https://bugs.eclipse.org/bugs/show_bug.cgi?id=21516", "21516")</f>
        <v>21516</v>
      </c>
      <c r="C515" t="s">
        <v>149</v>
      </c>
      <c r="D515" t="s">
        <v>10</v>
      </c>
      <c r="E515" t="s">
        <v>12</v>
      </c>
      <c r="F515" t="s">
        <v>26</v>
      </c>
      <c r="G515" t="s">
        <v>2343</v>
      </c>
      <c r="L515" t="s">
        <v>2344</v>
      </c>
      <c r="N515" t="s">
        <v>2344</v>
      </c>
      <c r="T515" t="s">
        <v>2345</v>
      </c>
      <c r="U515" t="s">
        <v>2346</v>
      </c>
      <c r="V515" t="s">
        <v>2344</v>
      </c>
      <c r="W515" t="s">
        <v>60</v>
      </c>
      <c r="X515" t="s">
        <v>2347</v>
      </c>
      <c r="Y515">
        <v>0</v>
      </c>
      <c r="Z515">
        <v>129.04166666666671</v>
      </c>
    </row>
    <row r="516" spans="1:26">
      <c r="A516" s="1">
        <v>514</v>
      </c>
      <c r="B516" t="str">
        <f>HYPERLINK("https://bugs.eclipse.org/bugs/show_bug.cgi?id=21519", "21519")</f>
        <v>21519</v>
      </c>
      <c r="C516" t="s">
        <v>149</v>
      </c>
      <c r="D516" t="s">
        <v>10</v>
      </c>
      <c r="E516" t="s">
        <v>12</v>
      </c>
      <c r="F516" t="s">
        <v>26</v>
      </c>
      <c r="L516" t="s">
        <v>2348</v>
      </c>
      <c r="N516" t="s">
        <v>2348</v>
      </c>
      <c r="T516" t="s">
        <v>2349</v>
      </c>
      <c r="U516" t="s">
        <v>2350</v>
      </c>
      <c r="V516" t="s">
        <v>2348</v>
      </c>
      <c r="W516" t="s">
        <v>60</v>
      </c>
      <c r="X516" t="s">
        <v>2351</v>
      </c>
      <c r="Y516">
        <v>13</v>
      </c>
      <c r="Z516">
        <v>206.04166666666671</v>
      </c>
    </row>
    <row r="517" spans="1:26">
      <c r="A517" s="1">
        <v>515</v>
      </c>
      <c r="B517" t="str">
        <f>HYPERLINK("https://bugs.eclipse.org/bugs/show_bug.cgi?id=21576", "21576")</f>
        <v>21576</v>
      </c>
      <c r="C517" t="s">
        <v>1182</v>
      </c>
      <c r="D517" t="s">
        <v>10</v>
      </c>
      <c r="E517" t="s">
        <v>15</v>
      </c>
      <c r="F517" t="s">
        <v>26</v>
      </c>
      <c r="L517" t="s">
        <v>2352</v>
      </c>
      <c r="Q517" t="s">
        <v>2352</v>
      </c>
      <c r="T517" t="s">
        <v>2353</v>
      </c>
      <c r="U517" t="s">
        <v>2354</v>
      </c>
      <c r="V517" t="s">
        <v>2352</v>
      </c>
      <c r="W517" t="s">
        <v>60</v>
      </c>
      <c r="X517" t="s">
        <v>2355</v>
      </c>
      <c r="Y517">
        <v>0</v>
      </c>
      <c r="Z517">
        <v>0</v>
      </c>
    </row>
    <row r="518" spans="1:26">
      <c r="A518" s="1">
        <v>516</v>
      </c>
      <c r="B518" t="str">
        <f>HYPERLINK("https://bugs.eclipse.org/bugs/show_bug.cgi?id=21590", "21590")</f>
        <v>21590</v>
      </c>
      <c r="C518" t="s">
        <v>88</v>
      </c>
      <c r="D518" t="s">
        <v>10</v>
      </c>
      <c r="E518" t="s">
        <v>13</v>
      </c>
      <c r="F518" t="s">
        <v>26</v>
      </c>
      <c r="L518" t="s">
        <v>2356</v>
      </c>
      <c r="O518" t="s">
        <v>2356</v>
      </c>
      <c r="T518" t="s">
        <v>2357</v>
      </c>
      <c r="U518" t="s">
        <v>2358</v>
      </c>
      <c r="V518" t="s">
        <v>2356</v>
      </c>
      <c r="W518" t="s">
        <v>49</v>
      </c>
      <c r="X518" t="s">
        <v>2359</v>
      </c>
      <c r="Y518">
        <v>0</v>
      </c>
      <c r="Z518">
        <v>65</v>
      </c>
    </row>
    <row r="519" spans="1:26">
      <c r="A519" s="1">
        <v>517</v>
      </c>
      <c r="B519" t="str">
        <f>HYPERLINK("https://bugs.eclipse.org/bugs/show_bug.cgi?id=21785", "21785")</f>
        <v>21785</v>
      </c>
      <c r="C519" t="s">
        <v>2360</v>
      </c>
      <c r="D519" t="s">
        <v>10</v>
      </c>
      <c r="E519" t="s">
        <v>15</v>
      </c>
      <c r="F519" t="s">
        <v>51</v>
      </c>
      <c r="G519" t="s">
        <v>2361</v>
      </c>
      <c r="L519" t="s">
        <v>2362</v>
      </c>
      <c r="Q519" t="s">
        <v>2362</v>
      </c>
      <c r="S519" t="s">
        <v>2363</v>
      </c>
      <c r="T519" t="s">
        <v>2364</v>
      </c>
      <c r="U519" t="s">
        <v>2365</v>
      </c>
      <c r="V519" t="s">
        <v>2362</v>
      </c>
      <c r="W519" t="s">
        <v>60</v>
      </c>
      <c r="X519" t="s">
        <v>2366</v>
      </c>
      <c r="Y519">
        <v>1</v>
      </c>
      <c r="Z519">
        <v>277</v>
      </c>
    </row>
    <row r="520" spans="1:26">
      <c r="A520" s="1">
        <v>518</v>
      </c>
      <c r="B520" t="str">
        <f>HYPERLINK("https://bugs.eclipse.org/bugs/show_bug.cgi?id=21807", "21807")</f>
        <v>21807</v>
      </c>
      <c r="C520" t="s">
        <v>2367</v>
      </c>
      <c r="D520" t="s">
        <v>10</v>
      </c>
      <c r="E520" t="s">
        <v>15</v>
      </c>
      <c r="F520" t="s">
        <v>26</v>
      </c>
      <c r="L520" t="s">
        <v>2368</v>
      </c>
      <c r="Q520" t="s">
        <v>2368</v>
      </c>
      <c r="T520" t="s">
        <v>2369</v>
      </c>
      <c r="U520" t="s">
        <v>2368</v>
      </c>
      <c r="V520" t="s">
        <v>2368</v>
      </c>
      <c r="W520" t="s">
        <v>2370</v>
      </c>
      <c r="X520" t="s">
        <v>2371</v>
      </c>
      <c r="Y520">
        <v>0</v>
      </c>
      <c r="Z520">
        <v>0</v>
      </c>
    </row>
    <row r="521" spans="1:26">
      <c r="A521" s="1">
        <v>519</v>
      </c>
      <c r="B521" t="str">
        <f>HYPERLINK("https://bugs.eclipse.org/bugs/show_bug.cgi?id=21815", "21815")</f>
        <v>21815</v>
      </c>
      <c r="C521" t="s">
        <v>149</v>
      </c>
      <c r="D521" t="s">
        <v>10</v>
      </c>
      <c r="E521" t="s">
        <v>12</v>
      </c>
      <c r="F521" t="s">
        <v>26</v>
      </c>
      <c r="L521" t="s">
        <v>2372</v>
      </c>
      <c r="N521" t="s">
        <v>2372</v>
      </c>
      <c r="T521" t="s">
        <v>2373</v>
      </c>
      <c r="U521" t="s">
        <v>2374</v>
      </c>
      <c r="V521" t="s">
        <v>2372</v>
      </c>
      <c r="W521" t="s">
        <v>60</v>
      </c>
      <c r="X521" t="s">
        <v>2375</v>
      </c>
      <c r="Y521">
        <v>0</v>
      </c>
      <c r="Z521">
        <v>3</v>
      </c>
    </row>
    <row r="522" spans="1:26">
      <c r="A522" s="1">
        <v>520</v>
      </c>
      <c r="B522" t="str">
        <f>HYPERLINK("https://bugs.eclipse.org/bugs/show_bug.cgi?id=21874", "21874")</f>
        <v>21874</v>
      </c>
      <c r="C522" t="s">
        <v>2299</v>
      </c>
      <c r="D522" t="s">
        <v>10</v>
      </c>
      <c r="E522" t="s">
        <v>15</v>
      </c>
      <c r="F522" t="s">
        <v>26</v>
      </c>
      <c r="L522" t="s">
        <v>2376</v>
      </c>
      <c r="Q522" t="s">
        <v>2376</v>
      </c>
      <c r="T522" t="s">
        <v>2377</v>
      </c>
      <c r="U522" t="s">
        <v>2378</v>
      </c>
      <c r="V522" t="s">
        <v>2376</v>
      </c>
      <c r="W522" t="s">
        <v>86</v>
      </c>
      <c r="X522" t="s">
        <v>2379</v>
      </c>
      <c r="Y522">
        <v>0</v>
      </c>
      <c r="Z522">
        <v>57</v>
      </c>
    </row>
    <row r="523" spans="1:26">
      <c r="A523" s="1">
        <v>521</v>
      </c>
      <c r="B523" t="str">
        <f>HYPERLINK("https://bugs.eclipse.org/bugs/show_bug.cgi?id=21908", "21908")</f>
        <v>21908</v>
      </c>
      <c r="C523" t="s">
        <v>149</v>
      </c>
      <c r="D523" t="s">
        <v>10</v>
      </c>
      <c r="E523" t="s">
        <v>12</v>
      </c>
      <c r="F523" t="s">
        <v>26</v>
      </c>
      <c r="G523" t="s">
        <v>2380</v>
      </c>
      <c r="L523" t="s">
        <v>2381</v>
      </c>
      <c r="N523" t="s">
        <v>2381</v>
      </c>
      <c r="T523" t="s">
        <v>2382</v>
      </c>
      <c r="U523" t="s">
        <v>2383</v>
      </c>
      <c r="V523" t="s">
        <v>2381</v>
      </c>
      <c r="W523" t="s">
        <v>60</v>
      </c>
      <c r="X523" t="s">
        <v>2384</v>
      </c>
      <c r="Y523">
        <v>1</v>
      </c>
      <c r="Z523">
        <v>166.04166666666671</v>
      </c>
    </row>
    <row r="524" spans="1:26">
      <c r="A524" s="1">
        <v>522</v>
      </c>
      <c r="B524" t="str">
        <f>HYPERLINK("https://bugs.eclipse.org/bugs/show_bug.cgi?id=21920", "21920")</f>
        <v>21920</v>
      </c>
      <c r="C524" t="s">
        <v>149</v>
      </c>
      <c r="D524" t="s">
        <v>10</v>
      </c>
      <c r="E524" t="s">
        <v>12</v>
      </c>
      <c r="F524" t="s">
        <v>26</v>
      </c>
      <c r="L524" t="s">
        <v>2385</v>
      </c>
      <c r="N524" t="s">
        <v>2385</v>
      </c>
      <c r="T524" t="s">
        <v>2386</v>
      </c>
      <c r="U524" t="s">
        <v>2387</v>
      </c>
      <c r="V524" t="s">
        <v>2385</v>
      </c>
      <c r="W524" t="s">
        <v>60</v>
      </c>
      <c r="X524" t="s">
        <v>2388</v>
      </c>
      <c r="Y524">
        <v>1</v>
      </c>
      <c r="Z524">
        <v>26</v>
      </c>
    </row>
    <row r="525" spans="1:26">
      <c r="A525" s="1">
        <v>523</v>
      </c>
      <c r="B525" t="str">
        <f>HYPERLINK("https://bugs.eclipse.org/bugs/show_bug.cgi?id=21939", "21939")</f>
        <v>21939</v>
      </c>
      <c r="C525" t="s">
        <v>149</v>
      </c>
      <c r="D525" t="s">
        <v>10</v>
      </c>
      <c r="E525" t="s">
        <v>12</v>
      </c>
      <c r="F525" t="s">
        <v>26</v>
      </c>
      <c r="L525" t="s">
        <v>2389</v>
      </c>
      <c r="N525" t="s">
        <v>2389</v>
      </c>
      <c r="T525" t="s">
        <v>2390</v>
      </c>
      <c r="U525" t="s">
        <v>2391</v>
      </c>
      <c r="V525" t="s">
        <v>2389</v>
      </c>
      <c r="W525" t="s">
        <v>60</v>
      </c>
      <c r="X525" t="s">
        <v>2392</v>
      </c>
      <c r="Y525">
        <v>0</v>
      </c>
      <c r="Z525">
        <v>0</v>
      </c>
    </row>
    <row r="526" spans="1:26">
      <c r="A526" s="1">
        <v>524</v>
      </c>
      <c r="B526" t="str">
        <f>HYPERLINK("https://bugs.eclipse.org/bugs/show_bug.cgi?id=21940", "21940")</f>
        <v>21940</v>
      </c>
      <c r="C526" t="s">
        <v>140</v>
      </c>
      <c r="D526" t="s">
        <v>10</v>
      </c>
      <c r="E526" t="s">
        <v>16</v>
      </c>
      <c r="F526" t="s">
        <v>26</v>
      </c>
      <c r="L526" t="s">
        <v>2393</v>
      </c>
      <c r="R526" t="s">
        <v>2393</v>
      </c>
      <c r="T526" t="s">
        <v>2394</v>
      </c>
      <c r="U526" t="s">
        <v>2395</v>
      </c>
      <c r="V526" t="s">
        <v>2393</v>
      </c>
      <c r="W526" t="s">
        <v>60</v>
      </c>
      <c r="X526" t="s">
        <v>2396</v>
      </c>
      <c r="Y526">
        <v>0</v>
      </c>
      <c r="Z526">
        <v>41</v>
      </c>
    </row>
    <row r="527" spans="1:26">
      <c r="A527" s="1">
        <v>525</v>
      </c>
      <c r="B527" t="str">
        <f>HYPERLINK("https://bugs.eclipse.org/bugs/show_bug.cgi?id=21944", "21944")</f>
        <v>21944</v>
      </c>
      <c r="C527" t="s">
        <v>56</v>
      </c>
      <c r="D527" t="s">
        <v>10</v>
      </c>
      <c r="E527" t="s">
        <v>14</v>
      </c>
      <c r="F527" t="s">
        <v>26</v>
      </c>
      <c r="L527" t="s">
        <v>2397</v>
      </c>
      <c r="P527" t="s">
        <v>2398</v>
      </c>
      <c r="T527" t="s">
        <v>2399</v>
      </c>
      <c r="U527" t="s">
        <v>2400</v>
      </c>
      <c r="V527" t="s">
        <v>2398</v>
      </c>
      <c r="W527" t="s">
        <v>75</v>
      </c>
      <c r="X527" t="s">
        <v>2401</v>
      </c>
      <c r="Y527">
        <v>0</v>
      </c>
      <c r="Z527">
        <v>2592</v>
      </c>
    </row>
    <row r="528" spans="1:26">
      <c r="A528" s="1">
        <v>526</v>
      </c>
      <c r="B528" t="str">
        <f>HYPERLINK("https://bugs.eclipse.org/bugs/show_bug.cgi?id=22041", "22041")</f>
        <v>22041</v>
      </c>
      <c r="C528" t="s">
        <v>149</v>
      </c>
      <c r="D528" t="s">
        <v>10</v>
      </c>
      <c r="E528" t="s">
        <v>12</v>
      </c>
      <c r="F528" t="s">
        <v>26</v>
      </c>
      <c r="G528" t="s">
        <v>2402</v>
      </c>
      <c r="L528" t="s">
        <v>2403</v>
      </c>
      <c r="N528" t="s">
        <v>2403</v>
      </c>
      <c r="S528" t="s">
        <v>2404</v>
      </c>
      <c r="T528" t="s">
        <v>2405</v>
      </c>
      <c r="U528" t="s">
        <v>2406</v>
      </c>
      <c r="V528" t="s">
        <v>2407</v>
      </c>
      <c r="W528" t="s">
        <v>1161</v>
      </c>
      <c r="X528" t="s">
        <v>2408</v>
      </c>
      <c r="Y528">
        <v>0</v>
      </c>
      <c r="Z528">
        <v>1212.041666666667</v>
      </c>
    </row>
    <row r="529" spans="1:26">
      <c r="A529" s="1">
        <v>527</v>
      </c>
      <c r="B529" t="str">
        <f>HYPERLINK("https://bugs.eclipse.org/bugs/show_bug.cgi?id=22082", "22082")</f>
        <v>22082</v>
      </c>
      <c r="C529" t="s">
        <v>149</v>
      </c>
      <c r="D529" t="s">
        <v>10</v>
      </c>
      <c r="E529" t="s">
        <v>12</v>
      </c>
      <c r="F529" t="s">
        <v>26</v>
      </c>
      <c r="L529" t="s">
        <v>2409</v>
      </c>
      <c r="N529" t="s">
        <v>2409</v>
      </c>
      <c r="T529" t="s">
        <v>2410</v>
      </c>
      <c r="U529" t="s">
        <v>2409</v>
      </c>
      <c r="V529" t="s">
        <v>2411</v>
      </c>
      <c r="W529" t="s">
        <v>851</v>
      </c>
      <c r="X529" t="s">
        <v>2412</v>
      </c>
      <c r="Y529">
        <v>20</v>
      </c>
      <c r="Z529">
        <v>903.04166666666663</v>
      </c>
    </row>
    <row r="530" spans="1:26">
      <c r="A530" s="1">
        <v>528</v>
      </c>
      <c r="B530" t="str">
        <f>HYPERLINK("https://bugs.eclipse.org/bugs/show_bug.cgi?id=22109", "22109")</f>
        <v>22109</v>
      </c>
      <c r="C530" t="s">
        <v>149</v>
      </c>
      <c r="D530" t="s">
        <v>10</v>
      </c>
      <c r="E530" t="s">
        <v>12</v>
      </c>
      <c r="F530" t="s">
        <v>26</v>
      </c>
      <c r="L530" t="s">
        <v>2413</v>
      </c>
      <c r="N530" t="s">
        <v>2413</v>
      </c>
      <c r="S530" t="s">
        <v>2414</v>
      </c>
      <c r="T530" t="s">
        <v>2415</v>
      </c>
      <c r="U530" t="s">
        <v>2416</v>
      </c>
      <c r="V530" t="s">
        <v>2413</v>
      </c>
      <c r="W530" t="s">
        <v>86</v>
      </c>
      <c r="X530" t="s">
        <v>2417</v>
      </c>
      <c r="Y530">
        <v>4</v>
      </c>
      <c r="Z530">
        <v>743</v>
      </c>
    </row>
    <row r="531" spans="1:26">
      <c r="A531" s="1">
        <v>529</v>
      </c>
      <c r="B531" t="str">
        <f>HYPERLINK("https://bugs.eclipse.org/bugs/show_bug.cgi?id=22110", "22110")</f>
        <v>22110</v>
      </c>
      <c r="C531" t="s">
        <v>2418</v>
      </c>
      <c r="D531" t="s">
        <v>10</v>
      </c>
      <c r="E531" t="s">
        <v>15</v>
      </c>
      <c r="F531" t="s">
        <v>26</v>
      </c>
      <c r="L531" t="s">
        <v>2419</v>
      </c>
      <c r="Q531" t="s">
        <v>2419</v>
      </c>
      <c r="S531" t="s">
        <v>2420</v>
      </c>
      <c r="T531" t="s">
        <v>2421</v>
      </c>
      <c r="U531" t="s">
        <v>2422</v>
      </c>
      <c r="V531" t="s">
        <v>2419</v>
      </c>
      <c r="W531" t="s">
        <v>60</v>
      </c>
      <c r="X531" t="s">
        <v>2423</v>
      </c>
      <c r="Y531">
        <v>19</v>
      </c>
      <c r="Z531">
        <v>267</v>
      </c>
    </row>
    <row r="532" spans="1:26">
      <c r="A532" s="1">
        <v>530</v>
      </c>
      <c r="B532" t="str">
        <f>HYPERLINK("https://bugs.eclipse.org/bugs/show_bug.cgi?id=22251", "22251")</f>
        <v>22251</v>
      </c>
      <c r="C532" t="s">
        <v>149</v>
      </c>
      <c r="D532" t="s">
        <v>10</v>
      </c>
      <c r="E532" t="s">
        <v>12</v>
      </c>
      <c r="F532" t="s">
        <v>26</v>
      </c>
      <c r="L532" t="s">
        <v>2424</v>
      </c>
      <c r="N532" t="s">
        <v>2424</v>
      </c>
      <c r="T532" t="s">
        <v>2425</v>
      </c>
      <c r="U532" t="s">
        <v>2426</v>
      </c>
      <c r="V532" t="s">
        <v>2424</v>
      </c>
      <c r="W532" t="s">
        <v>134</v>
      </c>
      <c r="X532" t="s">
        <v>2427</v>
      </c>
      <c r="Y532">
        <v>1</v>
      </c>
      <c r="Z532">
        <v>197.04166666666671</v>
      </c>
    </row>
    <row r="533" spans="1:26">
      <c r="A533" s="1">
        <v>531</v>
      </c>
      <c r="B533" t="str">
        <f>HYPERLINK("https://bugs.eclipse.org/bugs/show_bug.cgi?id=22303", "22303")</f>
        <v>22303</v>
      </c>
      <c r="C533" t="s">
        <v>140</v>
      </c>
      <c r="D533" t="s">
        <v>10</v>
      </c>
      <c r="E533" t="s">
        <v>16</v>
      </c>
      <c r="F533" t="s">
        <v>26</v>
      </c>
      <c r="L533" t="s">
        <v>2428</v>
      </c>
      <c r="R533" t="s">
        <v>2428</v>
      </c>
      <c r="T533" t="s">
        <v>2429</v>
      </c>
      <c r="U533" t="s">
        <v>2430</v>
      </c>
      <c r="V533" t="s">
        <v>2428</v>
      </c>
      <c r="W533" t="s">
        <v>60</v>
      </c>
      <c r="X533" t="s">
        <v>2431</v>
      </c>
      <c r="Y533">
        <v>0</v>
      </c>
      <c r="Z533">
        <v>19</v>
      </c>
    </row>
    <row r="534" spans="1:26">
      <c r="A534" s="1">
        <v>532</v>
      </c>
      <c r="B534" t="str">
        <f>HYPERLINK("https://bugs.eclipse.org/bugs/show_bug.cgi?id=22429", "22429")</f>
        <v>22429</v>
      </c>
      <c r="C534" t="s">
        <v>140</v>
      </c>
      <c r="D534" t="s">
        <v>10</v>
      </c>
      <c r="E534" t="s">
        <v>16</v>
      </c>
      <c r="F534" t="s">
        <v>51</v>
      </c>
      <c r="L534" t="s">
        <v>2432</v>
      </c>
      <c r="R534" t="s">
        <v>2432</v>
      </c>
      <c r="T534" t="s">
        <v>2433</v>
      </c>
      <c r="U534" t="s">
        <v>2434</v>
      </c>
      <c r="V534" t="s">
        <v>2432</v>
      </c>
      <c r="W534" t="s">
        <v>60</v>
      </c>
      <c r="X534" t="s">
        <v>2435</v>
      </c>
      <c r="Y534">
        <v>12</v>
      </c>
      <c r="Z534">
        <v>22</v>
      </c>
    </row>
    <row r="535" spans="1:26">
      <c r="A535" s="1">
        <v>533</v>
      </c>
      <c r="B535" t="str">
        <f>HYPERLINK("https://bugs.eclipse.org/bugs/show_bug.cgi?id=22446", "22446")</f>
        <v>22446</v>
      </c>
      <c r="C535" t="s">
        <v>149</v>
      </c>
      <c r="D535" t="s">
        <v>10</v>
      </c>
      <c r="E535" t="s">
        <v>12</v>
      </c>
      <c r="F535" t="s">
        <v>150</v>
      </c>
      <c r="G535" t="s">
        <v>2436</v>
      </c>
      <c r="L535" t="s">
        <v>2437</v>
      </c>
      <c r="N535" t="s">
        <v>2437</v>
      </c>
      <c r="R535" t="s">
        <v>2438</v>
      </c>
      <c r="S535" t="s">
        <v>2439</v>
      </c>
      <c r="T535" t="s">
        <v>2440</v>
      </c>
      <c r="U535" t="s">
        <v>2441</v>
      </c>
      <c r="V535" t="s">
        <v>2437</v>
      </c>
      <c r="W535" t="s">
        <v>60</v>
      </c>
      <c r="X535" t="s">
        <v>2442</v>
      </c>
      <c r="Z535">
        <v>126.0416666666667</v>
      </c>
    </row>
    <row r="536" spans="1:26">
      <c r="A536" s="1">
        <v>534</v>
      </c>
      <c r="B536" t="str">
        <f>HYPERLINK("https://bugs.eclipse.org/bugs/show_bug.cgi?id=22462", "22462")</f>
        <v>22462</v>
      </c>
      <c r="C536" t="s">
        <v>1413</v>
      </c>
      <c r="D536" t="s">
        <v>10</v>
      </c>
      <c r="E536" t="s">
        <v>15</v>
      </c>
      <c r="F536" t="s">
        <v>26</v>
      </c>
      <c r="L536" t="s">
        <v>2443</v>
      </c>
      <c r="Q536" t="s">
        <v>2443</v>
      </c>
      <c r="T536" t="s">
        <v>2444</v>
      </c>
      <c r="U536" t="s">
        <v>2445</v>
      </c>
      <c r="V536" t="s">
        <v>2443</v>
      </c>
      <c r="W536" t="s">
        <v>86</v>
      </c>
      <c r="X536" t="s">
        <v>2446</v>
      </c>
      <c r="Y536">
        <v>5</v>
      </c>
      <c r="Z536">
        <v>6</v>
      </c>
    </row>
    <row r="537" spans="1:26">
      <c r="A537" s="1">
        <v>535</v>
      </c>
      <c r="B537" t="str">
        <f>HYPERLINK("https://bugs.eclipse.org/bugs/show_bug.cgi?id=22472", "22472")</f>
        <v>22472</v>
      </c>
      <c r="C537" t="s">
        <v>140</v>
      </c>
      <c r="D537" t="s">
        <v>10</v>
      </c>
      <c r="E537" t="s">
        <v>16</v>
      </c>
      <c r="F537" t="s">
        <v>26</v>
      </c>
      <c r="L537" t="s">
        <v>2447</v>
      </c>
      <c r="R537" t="s">
        <v>2447</v>
      </c>
      <c r="T537" t="s">
        <v>2448</v>
      </c>
      <c r="U537" t="s">
        <v>2449</v>
      </c>
      <c r="V537" t="s">
        <v>2447</v>
      </c>
      <c r="W537" t="s">
        <v>86</v>
      </c>
      <c r="X537" t="s">
        <v>2450</v>
      </c>
      <c r="Y537">
        <v>0</v>
      </c>
      <c r="Z537">
        <v>16</v>
      </c>
    </row>
    <row r="538" spans="1:26">
      <c r="A538" s="1">
        <v>536</v>
      </c>
      <c r="B538" t="str">
        <f>HYPERLINK("https://bugs.eclipse.org/bugs/show_bug.cgi?id=22492", "22492")</f>
        <v>22492</v>
      </c>
      <c r="C538" t="s">
        <v>56</v>
      </c>
      <c r="D538" t="s">
        <v>10</v>
      </c>
      <c r="E538" t="s">
        <v>14</v>
      </c>
      <c r="F538" t="s">
        <v>26</v>
      </c>
      <c r="L538" t="s">
        <v>2451</v>
      </c>
      <c r="P538" t="s">
        <v>2452</v>
      </c>
      <c r="T538" t="s">
        <v>2453</v>
      </c>
      <c r="U538" t="s">
        <v>2454</v>
      </c>
      <c r="V538" t="s">
        <v>2452</v>
      </c>
      <c r="W538" t="s">
        <v>75</v>
      </c>
      <c r="X538" t="s">
        <v>2455</v>
      </c>
      <c r="Y538">
        <v>3</v>
      </c>
      <c r="Z538">
        <v>2571</v>
      </c>
    </row>
    <row r="539" spans="1:26">
      <c r="A539" s="1">
        <v>537</v>
      </c>
      <c r="B539" t="str">
        <f>HYPERLINK("https://bugs.eclipse.org/bugs/show_bug.cgi?id=22602", "22602")</f>
        <v>22602</v>
      </c>
      <c r="C539" t="s">
        <v>149</v>
      </c>
      <c r="D539" t="s">
        <v>10</v>
      </c>
      <c r="E539" t="s">
        <v>12</v>
      </c>
      <c r="F539" t="s">
        <v>26</v>
      </c>
      <c r="L539" t="s">
        <v>2456</v>
      </c>
      <c r="N539" t="s">
        <v>2456</v>
      </c>
      <c r="T539" t="s">
        <v>2457</v>
      </c>
      <c r="U539" t="s">
        <v>2458</v>
      </c>
      <c r="V539" t="s">
        <v>2456</v>
      </c>
      <c r="W539" t="s">
        <v>134</v>
      </c>
      <c r="X539" t="s">
        <v>2459</v>
      </c>
      <c r="Y539">
        <v>0</v>
      </c>
      <c r="Z539">
        <v>184.04166666666671</v>
      </c>
    </row>
    <row r="540" spans="1:26">
      <c r="A540" s="1">
        <v>538</v>
      </c>
      <c r="B540" t="str">
        <f>HYPERLINK("https://bugs.eclipse.org/bugs/show_bug.cgi?id=22608", "22608")</f>
        <v>22608</v>
      </c>
      <c r="C540" t="s">
        <v>56</v>
      </c>
      <c r="D540" t="s">
        <v>10</v>
      </c>
      <c r="E540" t="s">
        <v>14</v>
      </c>
      <c r="F540" t="s">
        <v>26</v>
      </c>
      <c r="L540" t="s">
        <v>2460</v>
      </c>
      <c r="P540" t="s">
        <v>2460</v>
      </c>
      <c r="T540" t="s">
        <v>2461</v>
      </c>
      <c r="U540" t="s">
        <v>2462</v>
      </c>
      <c r="V540" t="s">
        <v>2460</v>
      </c>
      <c r="W540" t="s">
        <v>86</v>
      </c>
      <c r="X540" t="s">
        <v>2463</v>
      </c>
      <c r="Y540">
        <v>1</v>
      </c>
      <c r="Z540">
        <v>11</v>
      </c>
    </row>
    <row r="541" spans="1:26">
      <c r="A541" s="1">
        <v>539</v>
      </c>
      <c r="B541" t="str">
        <f>HYPERLINK("https://bugs.eclipse.org/bugs/show_bug.cgi?id=22622", "22622")</f>
        <v>22622</v>
      </c>
      <c r="C541" t="s">
        <v>2464</v>
      </c>
      <c r="D541" t="s">
        <v>10</v>
      </c>
      <c r="E541" t="s">
        <v>15</v>
      </c>
      <c r="F541" t="s">
        <v>460</v>
      </c>
      <c r="L541" t="s">
        <v>2465</v>
      </c>
      <c r="Q541" t="s">
        <v>2465</v>
      </c>
      <c r="T541" t="s">
        <v>2466</v>
      </c>
      <c r="U541" t="s">
        <v>2467</v>
      </c>
      <c r="V541" t="s">
        <v>2465</v>
      </c>
      <c r="W541" t="s">
        <v>49</v>
      </c>
      <c r="X541" t="s">
        <v>2468</v>
      </c>
      <c r="Y541">
        <v>0</v>
      </c>
      <c r="Z541">
        <v>45</v>
      </c>
    </row>
    <row r="542" spans="1:26">
      <c r="A542" s="1">
        <v>540</v>
      </c>
      <c r="B542" t="str">
        <f>HYPERLINK("https://bugs.eclipse.org/bugs/show_bug.cgi?id=22624", "22624")</f>
        <v>22624</v>
      </c>
      <c r="C542" t="s">
        <v>149</v>
      </c>
      <c r="D542" t="s">
        <v>10</v>
      </c>
      <c r="E542" t="s">
        <v>12</v>
      </c>
      <c r="F542" t="s">
        <v>26</v>
      </c>
      <c r="L542" t="s">
        <v>2469</v>
      </c>
      <c r="N542" t="s">
        <v>2469</v>
      </c>
      <c r="T542" t="s">
        <v>2470</v>
      </c>
      <c r="U542" t="s">
        <v>2471</v>
      </c>
      <c r="V542" t="s">
        <v>2469</v>
      </c>
      <c r="W542" t="s">
        <v>49</v>
      </c>
      <c r="X542" t="s">
        <v>2472</v>
      </c>
      <c r="Y542">
        <v>28</v>
      </c>
      <c r="Z542">
        <v>40</v>
      </c>
    </row>
    <row r="543" spans="1:26">
      <c r="A543" s="1">
        <v>541</v>
      </c>
      <c r="B543" t="str">
        <f>HYPERLINK("https://bugs.eclipse.org/bugs/show_bug.cgi?id=22665", "22665")</f>
        <v>22665</v>
      </c>
      <c r="C543" t="s">
        <v>56</v>
      </c>
      <c r="D543" t="s">
        <v>10</v>
      </c>
      <c r="E543" t="s">
        <v>14</v>
      </c>
      <c r="F543" t="s">
        <v>26</v>
      </c>
      <c r="L543" t="s">
        <v>2473</v>
      </c>
      <c r="P543" t="s">
        <v>2473</v>
      </c>
      <c r="T543" t="s">
        <v>2474</v>
      </c>
      <c r="U543" t="s">
        <v>2475</v>
      </c>
      <c r="V543" t="s">
        <v>2473</v>
      </c>
      <c r="W543" t="s">
        <v>86</v>
      </c>
      <c r="X543" t="s">
        <v>2476</v>
      </c>
      <c r="Y543">
        <v>1</v>
      </c>
      <c r="Z543">
        <v>1</v>
      </c>
    </row>
    <row r="544" spans="1:26">
      <c r="A544" s="1">
        <v>542</v>
      </c>
      <c r="B544" t="str">
        <f>HYPERLINK("https://bugs.eclipse.org/bugs/show_bug.cgi?id=22725", "22725")</f>
        <v>22725</v>
      </c>
      <c r="C544" t="s">
        <v>149</v>
      </c>
      <c r="D544" t="s">
        <v>10</v>
      </c>
      <c r="E544" t="s">
        <v>12</v>
      </c>
      <c r="F544" t="s">
        <v>26</v>
      </c>
      <c r="L544" t="s">
        <v>2477</v>
      </c>
      <c r="N544" t="s">
        <v>2477</v>
      </c>
      <c r="T544" t="s">
        <v>2478</v>
      </c>
      <c r="U544" t="s">
        <v>2479</v>
      </c>
      <c r="V544" t="s">
        <v>2477</v>
      </c>
      <c r="W544" t="s">
        <v>60</v>
      </c>
      <c r="X544" t="s">
        <v>2480</v>
      </c>
      <c r="Y544">
        <v>0</v>
      </c>
      <c r="Z544">
        <v>6</v>
      </c>
    </row>
    <row r="545" spans="1:26">
      <c r="A545" s="1">
        <v>543</v>
      </c>
      <c r="B545" t="str">
        <f>HYPERLINK("https://bugs.eclipse.org/bugs/show_bug.cgi?id=22726", "22726")</f>
        <v>22726</v>
      </c>
      <c r="C545" t="s">
        <v>149</v>
      </c>
      <c r="D545" t="s">
        <v>10</v>
      </c>
      <c r="E545" t="s">
        <v>12</v>
      </c>
      <c r="F545" t="s">
        <v>51</v>
      </c>
      <c r="L545" t="s">
        <v>2481</v>
      </c>
      <c r="N545" t="s">
        <v>2481</v>
      </c>
      <c r="S545" t="s">
        <v>2482</v>
      </c>
      <c r="T545" t="s">
        <v>2483</v>
      </c>
      <c r="U545" t="s">
        <v>2484</v>
      </c>
      <c r="V545" t="s">
        <v>2481</v>
      </c>
      <c r="W545" t="s">
        <v>86</v>
      </c>
      <c r="X545" t="s">
        <v>2485</v>
      </c>
      <c r="Y545">
        <v>0</v>
      </c>
      <c r="Z545">
        <v>722</v>
      </c>
    </row>
    <row r="546" spans="1:26">
      <c r="A546" s="1">
        <v>544</v>
      </c>
      <c r="B546" t="str">
        <f>HYPERLINK("https://bugs.eclipse.org/bugs/show_bug.cgi?id=22771", "22771")</f>
        <v>22771</v>
      </c>
      <c r="C546" t="s">
        <v>25</v>
      </c>
      <c r="D546" t="s">
        <v>25</v>
      </c>
      <c r="F546" t="s">
        <v>51</v>
      </c>
      <c r="G546" t="s">
        <v>2486</v>
      </c>
      <c r="T546" t="s">
        <v>2487</v>
      </c>
      <c r="U546" t="s">
        <v>2488</v>
      </c>
      <c r="V546" t="s">
        <v>2489</v>
      </c>
      <c r="W546" t="s">
        <v>2490</v>
      </c>
      <c r="X546" t="s">
        <v>2491</v>
      </c>
      <c r="Y546">
        <v>0</v>
      </c>
    </row>
    <row r="547" spans="1:26">
      <c r="A547" s="1">
        <v>545</v>
      </c>
      <c r="B547" t="str">
        <f>HYPERLINK("https://bugs.eclipse.org/bugs/show_bug.cgi?id=22794", "22794")</f>
        <v>22794</v>
      </c>
      <c r="C547" t="s">
        <v>140</v>
      </c>
      <c r="D547" t="s">
        <v>10</v>
      </c>
      <c r="E547" t="s">
        <v>16</v>
      </c>
      <c r="F547" t="s">
        <v>26</v>
      </c>
      <c r="L547" t="s">
        <v>2492</v>
      </c>
      <c r="R547" t="s">
        <v>2492</v>
      </c>
      <c r="T547" t="s">
        <v>2493</v>
      </c>
      <c r="U547" t="s">
        <v>2494</v>
      </c>
      <c r="V547" t="s">
        <v>2492</v>
      </c>
      <c r="W547" t="s">
        <v>86</v>
      </c>
      <c r="X547" t="s">
        <v>2495</v>
      </c>
      <c r="Y547">
        <v>1</v>
      </c>
      <c r="Z547">
        <v>13</v>
      </c>
    </row>
    <row r="548" spans="1:26">
      <c r="A548" s="1">
        <v>546</v>
      </c>
      <c r="B548" t="str">
        <f>HYPERLINK("https://bugs.eclipse.org/bugs/show_bug.cgi?id=22827", "22827")</f>
        <v>22827</v>
      </c>
      <c r="C548" t="s">
        <v>149</v>
      </c>
      <c r="D548" t="s">
        <v>10</v>
      </c>
      <c r="E548" t="s">
        <v>12</v>
      </c>
      <c r="F548" t="s">
        <v>26</v>
      </c>
      <c r="L548" t="s">
        <v>2496</v>
      </c>
      <c r="N548" t="s">
        <v>2496</v>
      </c>
      <c r="T548" t="s">
        <v>2497</v>
      </c>
      <c r="U548" t="s">
        <v>2498</v>
      </c>
      <c r="V548" t="s">
        <v>2496</v>
      </c>
      <c r="W548" t="s">
        <v>60</v>
      </c>
      <c r="X548" t="s">
        <v>2499</v>
      </c>
      <c r="Y548">
        <v>0</v>
      </c>
      <c r="Z548">
        <v>2</v>
      </c>
    </row>
    <row r="549" spans="1:26">
      <c r="A549" s="1">
        <v>547</v>
      </c>
      <c r="B549" t="str">
        <f>HYPERLINK("https://bugs.eclipse.org/bugs/show_bug.cgi?id=22938", "22938")</f>
        <v>22938</v>
      </c>
      <c r="C549" t="s">
        <v>149</v>
      </c>
      <c r="D549" t="s">
        <v>10</v>
      </c>
      <c r="E549" t="s">
        <v>12</v>
      </c>
      <c r="F549" t="s">
        <v>26</v>
      </c>
      <c r="G549" t="s">
        <v>2500</v>
      </c>
      <c r="L549" t="s">
        <v>2501</v>
      </c>
      <c r="N549" t="s">
        <v>2501</v>
      </c>
      <c r="T549" t="s">
        <v>2502</v>
      </c>
      <c r="U549" t="s">
        <v>2503</v>
      </c>
      <c r="V549" t="s">
        <v>2504</v>
      </c>
      <c r="W549" t="s">
        <v>2505</v>
      </c>
      <c r="X549" t="s">
        <v>2506</v>
      </c>
      <c r="Y549">
        <v>0</v>
      </c>
      <c r="Z549">
        <v>259</v>
      </c>
    </row>
    <row r="550" spans="1:26">
      <c r="A550" s="1">
        <v>548</v>
      </c>
      <c r="B550" t="str">
        <f>HYPERLINK("https://bugs.eclipse.org/bugs/show_bug.cgi?id=23023", "23023")</f>
        <v>23023</v>
      </c>
      <c r="C550" t="s">
        <v>149</v>
      </c>
      <c r="D550" t="s">
        <v>10</v>
      </c>
      <c r="E550" t="s">
        <v>12</v>
      </c>
      <c r="F550" t="s">
        <v>26</v>
      </c>
      <c r="L550" t="s">
        <v>2507</v>
      </c>
      <c r="N550" t="s">
        <v>2507</v>
      </c>
      <c r="S550" t="s">
        <v>2508</v>
      </c>
      <c r="T550" t="s">
        <v>2509</v>
      </c>
      <c r="U550" t="s">
        <v>2510</v>
      </c>
      <c r="V550" t="s">
        <v>2507</v>
      </c>
      <c r="W550" t="s">
        <v>60</v>
      </c>
      <c r="X550" t="s">
        <v>2511</v>
      </c>
      <c r="Y550">
        <v>6</v>
      </c>
      <c r="Z550">
        <v>111.0416666666667</v>
      </c>
    </row>
    <row r="551" spans="1:26">
      <c r="A551" s="1">
        <v>549</v>
      </c>
      <c r="B551" t="str">
        <f>HYPERLINK("https://bugs.eclipse.org/bugs/show_bug.cgi?id=23026", "23026")</f>
        <v>23026</v>
      </c>
      <c r="C551" t="s">
        <v>149</v>
      </c>
      <c r="D551" t="s">
        <v>10</v>
      </c>
      <c r="E551" t="s">
        <v>12</v>
      </c>
      <c r="F551" t="s">
        <v>51</v>
      </c>
      <c r="G551" t="s">
        <v>2512</v>
      </c>
      <c r="L551" t="s">
        <v>2513</v>
      </c>
      <c r="N551" t="s">
        <v>2513</v>
      </c>
      <c r="S551" t="s">
        <v>2514</v>
      </c>
      <c r="T551" t="s">
        <v>2515</v>
      </c>
      <c r="U551" t="s">
        <v>2516</v>
      </c>
      <c r="V551" t="s">
        <v>2513</v>
      </c>
      <c r="W551" t="s">
        <v>86</v>
      </c>
      <c r="X551" t="s">
        <v>2517</v>
      </c>
      <c r="Y551">
        <v>6</v>
      </c>
      <c r="Z551">
        <v>714</v>
      </c>
    </row>
    <row r="552" spans="1:26">
      <c r="A552" s="1">
        <v>550</v>
      </c>
      <c r="B552" t="str">
        <f>HYPERLINK("https://bugs.eclipse.org/bugs/show_bug.cgi?id=23036", "23036")</f>
        <v>23036</v>
      </c>
      <c r="C552" t="s">
        <v>149</v>
      </c>
      <c r="D552" t="s">
        <v>10</v>
      </c>
      <c r="E552" t="s">
        <v>12</v>
      </c>
      <c r="F552" t="s">
        <v>26</v>
      </c>
      <c r="L552" t="s">
        <v>2518</v>
      </c>
      <c r="N552" t="s">
        <v>2518</v>
      </c>
      <c r="T552" t="s">
        <v>2519</v>
      </c>
      <c r="U552" t="s">
        <v>2520</v>
      </c>
      <c r="V552" t="s">
        <v>2518</v>
      </c>
      <c r="W552" t="s">
        <v>86</v>
      </c>
      <c r="X552" t="s">
        <v>2521</v>
      </c>
      <c r="Y552">
        <v>0</v>
      </c>
      <c r="Z552">
        <v>719</v>
      </c>
    </row>
    <row r="553" spans="1:26">
      <c r="A553" s="1">
        <v>551</v>
      </c>
      <c r="B553" t="str">
        <f>HYPERLINK("https://bugs.eclipse.org/bugs/show_bug.cgi?id=23086", "23086")</f>
        <v>23086</v>
      </c>
      <c r="C553" t="s">
        <v>149</v>
      </c>
      <c r="D553" t="s">
        <v>10</v>
      </c>
      <c r="E553" t="s">
        <v>12</v>
      </c>
      <c r="F553" t="s">
        <v>26</v>
      </c>
      <c r="L553" t="s">
        <v>2522</v>
      </c>
      <c r="N553" t="s">
        <v>2522</v>
      </c>
      <c r="T553" t="s">
        <v>2523</v>
      </c>
      <c r="U553" t="s">
        <v>2524</v>
      </c>
      <c r="V553" t="s">
        <v>2522</v>
      </c>
      <c r="W553" t="s">
        <v>60</v>
      </c>
      <c r="X553" t="s">
        <v>2525</v>
      </c>
      <c r="Y553">
        <v>0</v>
      </c>
      <c r="Z553">
        <v>151.04166666666671</v>
      </c>
    </row>
    <row r="554" spans="1:26">
      <c r="A554" s="1">
        <v>552</v>
      </c>
      <c r="B554" t="str">
        <f>HYPERLINK("https://bugs.eclipse.org/bugs/show_bug.cgi?id=23087", "23087")</f>
        <v>23087</v>
      </c>
      <c r="C554" t="s">
        <v>2526</v>
      </c>
      <c r="D554" t="s">
        <v>10</v>
      </c>
      <c r="E554" t="s">
        <v>15</v>
      </c>
      <c r="F554" t="s">
        <v>26</v>
      </c>
      <c r="L554" t="s">
        <v>2527</v>
      </c>
      <c r="Q554" t="s">
        <v>2527</v>
      </c>
      <c r="T554" t="s">
        <v>2528</v>
      </c>
      <c r="U554" t="s">
        <v>2529</v>
      </c>
      <c r="V554" t="s">
        <v>2527</v>
      </c>
      <c r="W554" t="s">
        <v>86</v>
      </c>
      <c r="X554" t="s">
        <v>2530</v>
      </c>
      <c r="Y554">
        <v>10</v>
      </c>
      <c r="Z554">
        <v>168.04166666666671</v>
      </c>
    </row>
    <row r="555" spans="1:26">
      <c r="A555" s="1">
        <v>553</v>
      </c>
      <c r="B555" t="str">
        <f>HYPERLINK("https://bugs.eclipse.org/bugs/show_bug.cgi?id=23088", "23088")</f>
        <v>23088</v>
      </c>
      <c r="C555" t="s">
        <v>2531</v>
      </c>
      <c r="D555" t="s">
        <v>10</v>
      </c>
      <c r="E555" t="s">
        <v>15</v>
      </c>
      <c r="F555" t="s">
        <v>26</v>
      </c>
      <c r="L555" t="s">
        <v>2532</v>
      </c>
      <c r="Q555" t="s">
        <v>2532</v>
      </c>
      <c r="T555" t="s">
        <v>2533</v>
      </c>
      <c r="U555" t="s">
        <v>2534</v>
      </c>
      <c r="V555" t="s">
        <v>2532</v>
      </c>
      <c r="W555" t="s">
        <v>86</v>
      </c>
      <c r="X555" t="s">
        <v>2535</v>
      </c>
      <c r="Y555">
        <v>10</v>
      </c>
      <c r="Z555">
        <v>36</v>
      </c>
    </row>
    <row r="556" spans="1:26">
      <c r="A556" s="1">
        <v>554</v>
      </c>
      <c r="B556" t="str">
        <f>HYPERLINK("https://bugs.eclipse.org/bugs/show_bug.cgi?id=23104", "23104")</f>
        <v>23104</v>
      </c>
      <c r="C556" t="s">
        <v>140</v>
      </c>
      <c r="D556" t="s">
        <v>10</v>
      </c>
      <c r="E556" t="s">
        <v>16</v>
      </c>
      <c r="F556" t="s">
        <v>26</v>
      </c>
      <c r="L556" t="s">
        <v>2536</v>
      </c>
      <c r="R556" t="s">
        <v>2536</v>
      </c>
      <c r="T556" t="s">
        <v>2537</v>
      </c>
      <c r="U556" t="s">
        <v>2538</v>
      </c>
      <c r="V556" t="s">
        <v>2536</v>
      </c>
      <c r="W556" t="s">
        <v>86</v>
      </c>
      <c r="X556" t="s">
        <v>2539</v>
      </c>
      <c r="Y556">
        <v>9</v>
      </c>
      <c r="Z556">
        <v>155.04166666666671</v>
      </c>
    </row>
    <row r="557" spans="1:26">
      <c r="A557" s="1">
        <v>555</v>
      </c>
      <c r="B557" t="str">
        <f>HYPERLINK("https://bugs.eclipse.org/bugs/show_bug.cgi?id=23105", "23105")</f>
        <v>23105</v>
      </c>
      <c r="C557" t="s">
        <v>149</v>
      </c>
      <c r="D557" t="s">
        <v>10</v>
      </c>
      <c r="E557" t="s">
        <v>12</v>
      </c>
      <c r="F557" t="s">
        <v>150</v>
      </c>
      <c r="L557" t="s">
        <v>2540</v>
      </c>
      <c r="N557" t="s">
        <v>2540</v>
      </c>
      <c r="T557" t="s">
        <v>2541</v>
      </c>
      <c r="U557" t="s">
        <v>2542</v>
      </c>
      <c r="V557" t="s">
        <v>2540</v>
      </c>
      <c r="W557" t="s">
        <v>60</v>
      </c>
      <c r="X557" t="s">
        <v>2543</v>
      </c>
      <c r="Y557">
        <v>0</v>
      </c>
      <c r="Z557">
        <v>1</v>
      </c>
    </row>
    <row r="558" spans="1:26">
      <c r="A558" s="1">
        <v>556</v>
      </c>
      <c r="B558" t="str">
        <f>HYPERLINK("https://bugs.eclipse.org/bugs/show_bug.cgi?id=23120", "23120")</f>
        <v>23120</v>
      </c>
      <c r="C558" t="s">
        <v>56</v>
      </c>
      <c r="D558" t="s">
        <v>10</v>
      </c>
      <c r="E558" t="s">
        <v>14</v>
      </c>
      <c r="F558" t="s">
        <v>26</v>
      </c>
      <c r="L558" t="s">
        <v>2544</v>
      </c>
      <c r="P558" t="s">
        <v>2544</v>
      </c>
      <c r="S558" t="s">
        <v>2545</v>
      </c>
      <c r="T558" t="s">
        <v>2546</v>
      </c>
      <c r="U558" t="s">
        <v>2547</v>
      </c>
      <c r="V558" t="s">
        <v>2544</v>
      </c>
      <c r="W558" t="s">
        <v>60</v>
      </c>
      <c r="X558" t="s">
        <v>2548</v>
      </c>
      <c r="Y558">
        <v>0</v>
      </c>
      <c r="Z558">
        <v>234</v>
      </c>
    </row>
    <row r="559" spans="1:26">
      <c r="A559" s="1">
        <v>557</v>
      </c>
      <c r="B559" t="str">
        <f>HYPERLINK("https://bugs.eclipse.org/bugs/show_bug.cgi?id=23158", "23158")</f>
        <v>23158</v>
      </c>
      <c r="C559" t="s">
        <v>56</v>
      </c>
      <c r="D559" t="s">
        <v>10</v>
      </c>
      <c r="E559" t="s">
        <v>14</v>
      </c>
      <c r="F559" t="s">
        <v>26</v>
      </c>
      <c r="L559" t="s">
        <v>2549</v>
      </c>
      <c r="P559" t="s">
        <v>2549</v>
      </c>
      <c r="T559" t="s">
        <v>2550</v>
      </c>
      <c r="U559" t="s">
        <v>2551</v>
      </c>
      <c r="V559" t="s">
        <v>2549</v>
      </c>
      <c r="W559" t="s">
        <v>86</v>
      </c>
      <c r="X559" t="s">
        <v>2552</v>
      </c>
      <c r="Y559">
        <v>0</v>
      </c>
      <c r="Z559">
        <v>154.04166666666671</v>
      </c>
    </row>
    <row r="560" spans="1:26">
      <c r="A560" s="1">
        <v>558</v>
      </c>
      <c r="B560" t="str">
        <f>HYPERLINK("https://bugs.eclipse.org/bugs/show_bug.cgi?id=23206", "23206")</f>
        <v>23206</v>
      </c>
      <c r="C560" t="s">
        <v>149</v>
      </c>
      <c r="D560" t="s">
        <v>10</v>
      </c>
      <c r="E560" t="s">
        <v>12</v>
      </c>
      <c r="F560" t="s">
        <v>26</v>
      </c>
      <c r="L560" t="s">
        <v>2553</v>
      </c>
      <c r="N560" t="s">
        <v>2553</v>
      </c>
      <c r="T560" t="s">
        <v>2554</v>
      </c>
      <c r="U560" t="s">
        <v>2555</v>
      </c>
      <c r="V560" t="s">
        <v>2553</v>
      </c>
      <c r="W560" t="s">
        <v>60</v>
      </c>
      <c r="X560" t="s">
        <v>2556</v>
      </c>
      <c r="Y560">
        <v>7</v>
      </c>
      <c r="Z560">
        <v>160.04166666666671</v>
      </c>
    </row>
    <row r="561" spans="1:26">
      <c r="A561" s="1">
        <v>559</v>
      </c>
      <c r="B561" t="str">
        <f>HYPERLINK("https://bugs.eclipse.org/bugs/show_bug.cgi?id=23228", "23228")</f>
        <v>23228</v>
      </c>
      <c r="C561" t="s">
        <v>149</v>
      </c>
      <c r="D561" t="s">
        <v>10</v>
      </c>
      <c r="E561" t="s">
        <v>12</v>
      </c>
      <c r="F561" t="s">
        <v>26</v>
      </c>
      <c r="L561" t="s">
        <v>2557</v>
      </c>
      <c r="N561" t="s">
        <v>2557</v>
      </c>
      <c r="T561" t="s">
        <v>2558</v>
      </c>
      <c r="U561" t="s">
        <v>2559</v>
      </c>
      <c r="V561" t="s">
        <v>2557</v>
      </c>
      <c r="W561" t="s">
        <v>60</v>
      </c>
      <c r="X561" t="s">
        <v>2560</v>
      </c>
      <c r="Y561">
        <v>7</v>
      </c>
      <c r="Z561">
        <v>131.04166666666671</v>
      </c>
    </row>
    <row r="562" spans="1:26">
      <c r="A562" s="1">
        <v>560</v>
      </c>
      <c r="B562" t="str">
        <f>HYPERLINK("https://bugs.eclipse.org/bugs/show_bug.cgi?id=23261", "23261")</f>
        <v>23261</v>
      </c>
      <c r="C562" t="s">
        <v>56</v>
      </c>
      <c r="D562" t="s">
        <v>10</v>
      </c>
      <c r="E562" t="s">
        <v>14</v>
      </c>
      <c r="F562" t="s">
        <v>26</v>
      </c>
      <c r="L562" t="s">
        <v>2561</v>
      </c>
      <c r="P562" t="s">
        <v>2562</v>
      </c>
      <c r="T562" t="s">
        <v>2563</v>
      </c>
      <c r="U562" t="s">
        <v>2564</v>
      </c>
      <c r="V562" t="s">
        <v>2562</v>
      </c>
      <c r="W562" t="s">
        <v>80</v>
      </c>
      <c r="X562" t="s">
        <v>2565</v>
      </c>
      <c r="Y562">
        <v>0</v>
      </c>
      <c r="Z562">
        <v>2550</v>
      </c>
    </row>
    <row r="563" spans="1:26">
      <c r="A563" s="1">
        <v>561</v>
      </c>
      <c r="B563" t="str">
        <f>HYPERLINK("https://bugs.eclipse.org/bugs/show_bug.cgi?id=23269", "23269")</f>
        <v>23269</v>
      </c>
      <c r="C563" t="s">
        <v>140</v>
      </c>
      <c r="D563" t="s">
        <v>10</v>
      </c>
      <c r="E563" t="s">
        <v>16</v>
      </c>
      <c r="F563" t="s">
        <v>26</v>
      </c>
      <c r="L563" t="s">
        <v>2566</v>
      </c>
      <c r="R563" t="s">
        <v>2566</v>
      </c>
      <c r="T563" t="s">
        <v>2567</v>
      </c>
      <c r="U563" t="s">
        <v>2568</v>
      </c>
      <c r="V563" t="s">
        <v>2566</v>
      </c>
      <c r="W563" t="s">
        <v>2569</v>
      </c>
      <c r="X563" t="s">
        <v>2570</v>
      </c>
      <c r="Y563">
        <v>6</v>
      </c>
      <c r="Z563">
        <v>7</v>
      </c>
    </row>
    <row r="564" spans="1:26">
      <c r="A564" s="1">
        <v>562</v>
      </c>
      <c r="B564" t="str">
        <f>HYPERLINK("https://bugs.eclipse.org/bugs/show_bug.cgi?id=23277", "23277")</f>
        <v>23277</v>
      </c>
      <c r="C564" t="s">
        <v>2571</v>
      </c>
      <c r="D564" t="s">
        <v>10</v>
      </c>
      <c r="E564" t="s">
        <v>15</v>
      </c>
      <c r="F564" t="s">
        <v>26</v>
      </c>
      <c r="G564" t="s">
        <v>2572</v>
      </c>
      <c r="L564" t="s">
        <v>2573</v>
      </c>
      <c r="Q564" t="s">
        <v>2573</v>
      </c>
      <c r="T564" t="s">
        <v>2574</v>
      </c>
      <c r="U564" t="s">
        <v>2575</v>
      </c>
      <c r="V564" t="s">
        <v>2573</v>
      </c>
      <c r="W564" t="s">
        <v>86</v>
      </c>
      <c r="X564" t="s">
        <v>2576</v>
      </c>
      <c r="Y564">
        <v>0</v>
      </c>
      <c r="Z564">
        <v>80.041666666666671</v>
      </c>
    </row>
    <row r="565" spans="1:26">
      <c r="A565" s="1">
        <v>563</v>
      </c>
      <c r="B565" t="str">
        <f>HYPERLINK("https://bugs.eclipse.org/bugs/show_bug.cgi?id=23312", "23312")</f>
        <v>23312</v>
      </c>
      <c r="C565" t="s">
        <v>140</v>
      </c>
      <c r="D565" t="s">
        <v>10</v>
      </c>
      <c r="E565" t="s">
        <v>16</v>
      </c>
      <c r="F565" t="s">
        <v>26</v>
      </c>
      <c r="L565" t="s">
        <v>2577</v>
      </c>
      <c r="R565" t="s">
        <v>2577</v>
      </c>
      <c r="T565" t="s">
        <v>2578</v>
      </c>
      <c r="U565" t="s">
        <v>2579</v>
      </c>
      <c r="V565" t="s">
        <v>2577</v>
      </c>
      <c r="W565" t="s">
        <v>86</v>
      </c>
      <c r="X565" t="s">
        <v>2580</v>
      </c>
      <c r="Y565">
        <v>4</v>
      </c>
      <c r="Z565">
        <v>10</v>
      </c>
    </row>
    <row r="566" spans="1:26">
      <c r="A566" s="1">
        <v>564</v>
      </c>
      <c r="B566" t="str">
        <f>HYPERLINK("https://bugs.eclipse.org/bugs/show_bug.cgi?id=23322", "23322")</f>
        <v>23322</v>
      </c>
      <c r="C566" t="s">
        <v>149</v>
      </c>
      <c r="D566" t="s">
        <v>10</v>
      </c>
      <c r="E566" t="s">
        <v>12</v>
      </c>
      <c r="F566" t="s">
        <v>26</v>
      </c>
      <c r="L566" t="s">
        <v>2581</v>
      </c>
      <c r="N566" t="s">
        <v>2581</v>
      </c>
      <c r="T566" t="s">
        <v>2582</v>
      </c>
      <c r="U566" t="s">
        <v>2581</v>
      </c>
      <c r="V566" t="s">
        <v>2583</v>
      </c>
      <c r="W566" t="s">
        <v>60</v>
      </c>
      <c r="X566" t="s">
        <v>2584</v>
      </c>
      <c r="Y566">
        <v>4</v>
      </c>
      <c r="Z566">
        <v>38</v>
      </c>
    </row>
    <row r="567" spans="1:26">
      <c r="A567" s="1">
        <v>565</v>
      </c>
      <c r="B567" t="str">
        <f>HYPERLINK("https://bugs.eclipse.org/bugs/show_bug.cgi?id=23334", "23334")</f>
        <v>23334</v>
      </c>
      <c r="C567" t="s">
        <v>2585</v>
      </c>
      <c r="D567" t="s">
        <v>10</v>
      </c>
      <c r="E567" t="s">
        <v>15</v>
      </c>
      <c r="F567" t="s">
        <v>26</v>
      </c>
      <c r="L567" t="s">
        <v>2586</v>
      </c>
      <c r="Q567" t="s">
        <v>2586</v>
      </c>
      <c r="T567" t="s">
        <v>2587</v>
      </c>
      <c r="U567" t="s">
        <v>2586</v>
      </c>
      <c r="V567" t="s">
        <v>2586</v>
      </c>
      <c r="W567" t="s">
        <v>60</v>
      </c>
      <c r="X567" t="s">
        <v>2588</v>
      </c>
      <c r="Y567">
        <v>0</v>
      </c>
      <c r="Z567">
        <v>0</v>
      </c>
    </row>
    <row r="568" spans="1:26">
      <c r="A568" s="1">
        <v>566</v>
      </c>
      <c r="B568" t="str">
        <f>HYPERLINK("https://bugs.eclipse.org/bugs/show_bug.cgi?id=23366", "23366")</f>
        <v>23366</v>
      </c>
      <c r="C568" t="s">
        <v>149</v>
      </c>
      <c r="D568" t="s">
        <v>10</v>
      </c>
      <c r="E568" t="s">
        <v>12</v>
      </c>
      <c r="F568" t="s">
        <v>26</v>
      </c>
      <c r="L568" t="s">
        <v>2589</v>
      </c>
      <c r="N568" t="s">
        <v>2589</v>
      </c>
      <c r="T568" t="s">
        <v>2590</v>
      </c>
      <c r="U568" t="s">
        <v>2589</v>
      </c>
      <c r="V568" t="s">
        <v>2591</v>
      </c>
      <c r="W568" t="s">
        <v>60</v>
      </c>
      <c r="X568" t="s">
        <v>2592</v>
      </c>
      <c r="Y568">
        <v>3</v>
      </c>
      <c r="Z568">
        <v>37</v>
      </c>
    </row>
    <row r="569" spans="1:26">
      <c r="A569" s="1">
        <v>567</v>
      </c>
      <c r="B569" t="str">
        <f>HYPERLINK("https://bugs.eclipse.org/bugs/show_bug.cgi?id=23420", "23420")</f>
        <v>23420</v>
      </c>
      <c r="C569" t="s">
        <v>140</v>
      </c>
      <c r="D569" t="s">
        <v>10</v>
      </c>
      <c r="E569" t="s">
        <v>16</v>
      </c>
      <c r="F569" t="s">
        <v>26</v>
      </c>
      <c r="G569" t="s">
        <v>2593</v>
      </c>
      <c r="L569" t="s">
        <v>2594</v>
      </c>
      <c r="R569" t="s">
        <v>2594</v>
      </c>
      <c r="T569" t="s">
        <v>2595</v>
      </c>
      <c r="U569" t="s">
        <v>2596</v>
      </c>
      <c r="V569" t="s">
        <v>2597</v>
      </c>
      <c r="W569" t="s">
        <v>2598</v>
      </c>
      <c r="X569" t="s">
        <v>2599</v>
      </c>
      <c r="Y569">
        <v>5</v>
      </c>
      <c r="Z569">
        <v>78.041666666666671</v>
      </c>
    </row>
    <row r="570" spans="1:26">
      <c r="A570" s="1">
        <v>568</v>
      </c>
      <c r="B570" t="str">
        <f>HYPERLINK("https://bugs.eclipse.org/bugs/show_bug.cgi?id=23434", "23434")</f>
        <v>23434</v>
      </c>
      <c r="C570" t="s">
        <v>149</v>
      </c>
      <c r="D570" t="s">
        <v>10</v>
      </c>
      <c r="E570" t="s">
        <v>12</v>
      </c>
      <c r="F570" t="s">
        <v>145</v>
      </c>
      <c r="G570" t="s">
        <v>2600</v>
      </c>
      <c r="L570" t="s">
        <v>2601</v>
      </c>
      <c r="N570" t="s">
        <v>2601</v>
      </c>
      <c r="T570" t="s">
        <v>2602</v>
      </c>
      <c r="U570" t="s">
        <v>2603</v>
      </c>
      <c r="V570" t="s">
        <v>2604</v>
      </c>
      <c r="W570" t="s">
        <v>60</v>
      </c>
      <c r="X570" t="s">
        <v>2605</v>
      </c>
      <c r="Y570">
        <v>0</v>
      </c>
      <c r="Z570">
        <v>5</v>
      </c>
    </row>
    <row r="571" spans="1:26">
      <c r="A571" s="1">
        <v>569</v>
      </c>
      <c r="B571" t="str">
        <f>HYPERLINK("https://bugs.eclipse.org/bugs/show_bug.cgi?id=23457", "23457")</f>
        <v>23457</v>
      </c>
      <c r="C571" t="s">
        <v>149</v>
      </c>
      <c r="D571" t="s">
        <v>10</v>
      </c>
      <c r="E571" t="s">
        <v>12</v>
      </c>
      <c r="F571" t="s">
        <v>26</v>
      </c>
      <c r="L571" t="s">
        <v>2606</v>
      </c>
      <c r="N571" t="s">
        <v>2606</v>
      </c>
      <c r="T571" t="s">
        <v>2607</v>
      </c>
      <c r="U571" t="s">
        <v>2608</v>
      </c>
      <c r="V571" t="s">
        <v>2606</v>
      </c>
      <c r="W571" t="s">
        <v>86</v>
      </c>
      <c r="X571" t="s">
        <v>2609</v>
      </c>
      <c r="Y571">
        <v>0</v>
      </c>
      <c r="Z571">
        <v>141.04166666666671</v>
      </c>
    </row>
    <row r="572" spans="1:26">
      <c r="A572" s="1">
        <v>570</v>
      </c>
      <c r="B572" t="str">
        <f>HYPERLINK("https://bugs.eclipse.org/bugs/show_bug.cgi?id=23488", "23488")</f>
        <v>23488</v>
      </c>
      <c r="C572" t="s">
        <v>35</v>
      </c>
      <c r="D572" t="s">
        <v>11</v>
      </c>
      <c r="E572" t="s">
        <v>12</v>
      </c>
      <c r="F572" t="s">
        <v>145</v>
      </c>
      <c r="G572" t="s">
        <v>2610</v>
      </c>
      <c r="L572" t="s">
        <v>2611</v>
      </c>
      <c r="M572" t="s">
        <v>2612</v>
      </c>
      <c r="N572" t="s">
        <v>2611</v>
      </c>
      <c r="S572" t="s">
        <v>2613</v>
      </c>
      <c r="T572" t="s">
        <v>2614</v>
      </c>
      <c r="U572" t="s">
        <v>2615</v>
      </c>
      <c r="V572" t="s">
        <v>2612</v>
      </c>
      <c r="W572" t="s">
        <v>851</v>
      </c>
      <c r="X572" t="s">
        <v>2616</v>
      </c>
      <c r="Y572">
        <v>1</v>
      </c>
      <c r="Z572">
        <v>784.04166666666663</v>
      </c>
    </row>
    <row r="573" spans="1:26">
      <c r="A573" s="1">
        <v>571</v>
      </c>
      <c r="B573" t="str">
        <f>HYPERLINK("https://bugs.eclipse.org/bugs/show_bug.cgi?id=23524", "23524")</f>
        <v>23524</v>
      </c>
      <c r="C573" t="s">
        <v>140</v>
      </c>
      <c r="D573" t="s">
        <v>10</v>
      </c>
      <c r="E573" t="s">
        <v>16</v>
      </c>
      <c r="F573" t="s">
        <v>26</v>
      </c>
      <c r="L573" t="s">
        <v>2617</v>
      </c>
      <c r="R573" t="s">
        <v>2617</v>
      </c>
      <c r="T573" t="s">
        <v>2618</v>
      </c>
      <c r="U573" t="s">
        <v>2617</v>
      </c>
      <c r="V573" t="s">
        <v>2617</v>
      </c>
      <c r="W573" t="s">
        <v>283</v>
      </c>
      <c r="X573" t="s">
        <v>2619</v>
      </c>
      <c r="Y573">
        <v>0</v>
      </c>
      <c r="Z573">
        <v>0</v>
      </c>
    </row>
    <row r="574" spans="1:26">
      <c r="A574" s="1">
        <v>572</v>
      </c>
      <c r="B574" t="str">
        <f>HYPERLINK("https://bugs.eclipse.org/bugs/show_bug.cgi?id=23530", "23530")</f>
        <v>23530</v>
      </c>
      <c r="C574" t="s">
        <v>149</v>
      </c>
      <c r="D574" t="s">
        <v>10</v>
      </c>
      <c r="E574" t="s">
        <v>12</v>
      </c>
      <c r="F574" t="s">
        <v>26</v>
      </c>
      <c r="G574" t="s">
        <v>2620</v>
      </c>
      <c r="L574" t="s">
        <v>2621</v>
      </c>
      <c r="N574" t="s">
        <v>2621</v>
      </c>
      <c r="S574" t="s">
        <v>2622</v>
      </c>
      <c r="T574" t="s">
        <v>2623</v>
      </c>
      <c r="U574" t="s">
        <v>2624</v>
      </c>
      <c r="V574" t="s">
        <v>2621</v>
      </c>
      <c r="W574" t="s">
        <v>86</v>
      </c>
      <c r="X574" t="s">
        <v>2625</v>
      </c>
      <c r="Y574">
        <v>0</v>
      </c>
      <c r="Z574">
        <v>700</v>
      </c>
    </row>
    <row r="575" spans="1:26">
      <c r="A575" s="1">
        <v>573</v>
      </c>
      <c r="B575" t="str">
        <f>HYPERLINK("https://bugs.eclipse.org/bugs/show_bug.cgi?id=23535", "23535")</f>
        <v>23535</v>
      </c>
      <c r="C575" t="s">
        <v>56</v>
      </c>
      <c r="D575" t="s">
        <v>10</v>
      </c>
      <c r="E575" t="s">
        <v>14</v>
      </c>
      <c r="F575" t="s">
        <v>26</v>
      </c>
      <c r="L575" t="s">
        <v>2626</v>
      </c>
      <c r="P575" t="s">
        <v>2626</v>
      </c>
      <c r="T575" t="s">
        <v>2627</v>
      </c>
      <c r="U575" t="s">
        <v>2628</v>
      </c>
      <c r="V575" t="s">
        <v>2626</v>
      </c>
      <c r="W575" t="s">
        <v>60</v>
      </c>
      <c r="X575" t="s">
        <v>2629</v>
      </c>
      <c r="Y575">
        <v>4</v>
      </c>
      <c r="Z575">
        <v>207</v>
      </c>
    </row>
    <row r="576" spans="1:26">
      <c r="A576" s="1">
        <v>574</v>
      </c>
      <c r="B576" t="str">
        <f>HYPERLINK("https://bugs.eclipse.org/bugs/show_bug.cgi?id=23572", "23572")</f>
        <v>23572</v>
      </c>
      <c r="C576" t="s">
        <v>2630</v>
      </c>
      <c r="D576" t="s">
        <v>10</v>
      </c>
      <c r="E576" t="s">
        <v>15</v>
      </c>
      <c r="F576" t="s">
        <v>26</v>
      </c>
      <c r="L576" t="s">
        <v>2631</v>
      </c>
      <c r="Q576" t="s">
        <v>2631</v>
      </c>
      <c r="T576" t="s">
        <v>2632</v>
      </c>
      <c r="U576" t="s">
        <v>2631</v>
      </c>
      <c r="V576" t="s">
        <v>2631</v>
      </c>
      <c r="W576" t="s">
        <v>60</v>
      </c>
      <c r="X576" t="s">
        <v>2633</v>
      </c>
      <c r="Y576">
        <v>0</v>
      </c>
      <c r="Z576">
        <v>0</v>
      </c>
    </row>
    <row r="577" spans="1:26">
      <c r="A577" s="1">
        <v>575</v>
      </c>
      <c r="B577" t="str">
        <f>HYPERLINK("https://bugs.eclipse.org/bugs/show_bug.cgi?id=23585", "23585")</f>
        <v>23585</v>
      </c>
      <c r="C577" t="s">
        <v>149</v>
      </c>
      <c r="D577" t="s">
        <v>10</v>
      </c>
      <c r="E577" t="s">
        <v>12</v>
      </c>
      <c r="F577" t="s">
        <v>150</v>
      </c>
      <c r="G577" t="s">
        <v>2634</v>
      </c>
      <c r="L577" t="s">
        <v>2635</v>
      </c>
      <c r="N577" t="s">
        <v>2635</v>
      </c>
      <c r="T577" t="s">
        <v>2636</v>
      </c>
      <c r="U577" t="s">
        <v>2637</v>
      </c>
      <c r="V577" t="s">
        <v>2638</v>
      </c>
      <c r="W577" t="s">
        <v>60</v>
      </c>
      <c r="X577" t="s">
        <v>2639</v>
      </c>
      <c r="Y577">
        <v>2</v>
      </c>
      <c r="Z577">
        <v>33</v>
      </c>
    </row>
    <row r="578" spans="1:26">
      <c r="A578" s="1">
        <v>576</v>
      </c>
      <c r="B578" t="str">
        <f>HYPERLINK("https://bugs.eclipse.org/bugs/show_bug.cgi?id=23605", "23605")</f>
        <v>23605</v>
      </c>
      <c r="C578" t="s">
        <v>2630</v>
      </c>
      <c r="D578" t="s">
        <v>10</v>
      </c>
      <c r="E578" t="s">
        <v>15</v>
      </c>
      <c r="F578" t="s">
        <v>26</v>
      </c>
      <c r="L578" t="s">
        <v>2604</v>
      </c>
      <c r="Q578" t="s">
        <v>2604</v>
      </c>
      <c r="T578" t="s">
        <v>2640</v>
      </c>
      <c r="U578" t="s">
        <v>2604</v>
      </c>
      <c r="V578" t="s">
        <v>2604</v>
      </c>
      <c r="W578" t="s">
        <v>60</v>
      </c>
      <c r="X578" t="s">
        <v>2641</v>
      </c>
      <c r="Y578">
        <v>0</v>
      </c>
      <c r="Z578">
        <v>0</v>
      </c>
    </row>
    <row r="579" spans="1:26">
      <c r="A579" s="1">
        <v>577</v>
      </c>
      <c r="B579" t="str">
        <f>HYPERLINK("https://bugs.eclipse.org/bugs/show_bug.cgi?id=23624", "23624")</f>
        <v>23624</v>
      </c>
      <c r="C579" t="s">
        <v>149</v>
      </c>
      <c r="D579" t="s">
        <v>10</v>
      </c>
      <c r="E579" t="s">
        <v>12</v>
      </c>
      <c r="F579" t="s">
        <v>26</v>
      </c>
      <c r="L579" t="s">
        <v>2642</v>
      </c>
      <c r="N579" t="s">
        <v>2642</v>
      </c>
      <c r="T579" t="s">
        <v>2643</v>
      </c>
      <c r="U579" t="s">
        <v>2642</v>
      </c>
      <c r="V579" t="s">
        <v>2642</v>
      </c>
      <c r="W579" t="s">
        <v>60</v>
      </c>
      <c r="X579" t="s">
        <v>2644</v>
      </c>
      <c r="Y579">
        <v>0</v>
      </c>
      <c r="Z579">
        <v>0</v>
      </c>
    </row>
    <row r="580" spans="1:26">
      <c r="A580" s="1">
        <v>578</v>
      </c>
      <c r="B580" t="str">
        <f>HYPERLINK("https://bugs.eclipse.org/bugs/show_bug.cgi?id=23652", "23652")</f>
        <v>23652</v>
      </c>
      <c r="C580" t="s">
        <v>149</v>
      </c>
      <c r="D580" t="s">
        <v>10</v>
      </c>
      <c r="E580" t="s">
        <v>12</v>
      </c>
      <c r="F580" t="s">
        <v>150</v>
      </c>
      <c r="L580" t="s">
        <v>2645</v>
      </c>
      <c r="N580" t="s">
        <v>2645</v>
      </c>
      <c r="T580" t="s">
        <v>2646</v>
      </c>
      <c r="U580" t="s">
        <v>2647</v>
      </c>
      <c r="V580" t="s">
        <v>2648</v>
      </c>
      <c r="W580" t="s">
        <v>60</v>
      </c>
      <c r="X580" t="s">
        <v>2649</v>
      </c>
      <c r="Y580">
        <v>0</v>
      </c>
      <c r="Z580">
        <v>30</v>
      </c>
    </row>
    <row r="581" spans="1:26">
      <c r="A581" s="1">
        <v>579</v>
      </c>
      <c r="B581" t="str">
        <f>HYPERLINK("https://bugs.eclipse.org/bugs/show_bug.cgi?id=23666", "23666")</f>
        <v>23666</v>
      </c>
      <c r="C581" t="s">
        <v>56</v>
      </c>
      <c r="D581" t="s">
        <v>10</v>
      </c>
      <c r="E581" t="s">
        <v>14</v>
      </c>
      <c r="F581" t="s">
        <v>26</v>
      </c>
      <c r="L581" t="s">
        <v>2650</v>
      </c>
      <c r="P581" t="s">
        <v>2651</v>
      </c>
      <c r="R581" t="s">
        <v>2652</v>
      </c>
      <c r="S581" t="s">
        <v>2653</v>
      </c>
      <c r="T581" t="s">
        <v>2654</v>
      </c>
      <c r="U581" t="s">
        <v>2655</v>
      </c>
      <c r="V581" t="s">
        <v>2651</v>
      </c>
      <c r="W581" t="s">
        <v>75</v>
      </c>
      <c r="X581" t="s">
        <v>2656</v>
      </c>
      <c r="Y581">
        <v>0</v>
      </c>
      <c r="Z581">
        <v>2539</v>
      </c>
    </row>
    <row r="582" spans="1:26">
      <c r="A582" s="1">
        <v>580</v>
      </c>
      <c r="B582" t="str">
        <f>HYPERLINK("https://bugs.eclipse.org/bugs/show_bug.cgi?id=23692", "23692")</f>
        <v>23692</v>
      </c>
      <c r="C582" t="s">
        <v>35</v>
      </c>
      <c r="D582" t="s">
        <v>11</v>
      </c>
      <c r="E582" t="s">
        <v>12</v>
      </c>
      <c r="F582" t="s">
        <v>150</v>
      </c>
      <c r="L582" t="s">
        <v>2657</v>
      </c>
      <c r="M582" t="s">
        <v>2658</v>
      </c>
      <c r="N582" t="s">
        <v>2657</v>
      </c>
      <c r="T582" t="s">
        <v>2659</v>
      </c>
      <c r="U582" t="s">
        <v>2660</v>
      </c>
      <c r="V582" t="s">
        <v>2658</v>
      </c>
      <c r="W582" t="s">
        <v>283</v>
      </c>
      <c r="X582" t="s">
        <v>2661</v>
      </c>
      <c r="Y582">
        <v>0</v>
      </c>
      <c r="Z582">
        <v>57.041666666666657</v>
      </c>
    </row>
    <row r="583" spans="1:26">
      <c r="A583" s="1">
        <v>581</v>
      </c>
      <c r="B583" t="str">
        <f>HYPERLINK("https://bugs.eclipse.org/bugs/show_bug.cgi?id=23699", "23699")</f>
        <v>23699</v>
      </c>
      <c r="C583" t="s">
        <v>149</v>
      </c>
      <c r="D583" t="s">
        <v>10</v>
      </c>
      <c r="E583" t="s">
        <v>12</v>
      </c>
      <c r="F583" t="s">
        <v>26</v>
      </c>
      <c r="G583" t="s">
        <v>2662</v>
      </c>
      <c r="H583" t="s">
        <v>2663</v>
      </c>
      <c r="L583" t="s">
        <v>2664</v>
      </c>
      <c r="N583" t="s">
        <v>2664</v>
      </c>
      <c r="S583" t="s">
        <v>2665</v>
      </c>
      <c r="T583" t="s">
        <v>2666</v>
      </c>
      <c r="U583" t="s">
        <v>2667</v>
      </c>
      <c r="V583" t="s">
        <v>2664</v>
      </c>
      <c r="W583" t="s">
        <v>2668</v>
      </c>
      <c r="X583" t="s">
        <v>2669</v>
      </c>
      <c r="Y583">
        <v>5</v>
      </c>
      <c r="Z583">
        <v>852.04166666666663</v>
      </c>
    </row>
    <row r="584" spans="1:26">
      <c r="A584" s="1">
        <v>582</v>
      </c>
      <c r="B584" t="str">
        <f>HYPERLINK("https://bugs.eclipse.org/bugs/show_bug.cgi?id=23700", "23700")</f>
        <v>23700</v>
      </c>
      <c r="C584" t="s">
        <v>56</v>
      </c>
      <c r="D584" t="s">
        <v>10</v>
      </c>
      <c r="E584" t="s">
        <v>14</v>
      </c>
      <c r="F584" t="s">
        <v>51</v>
      </c>
      <c r="L584" t="s">
        <v>2670</v>
      </c>
      <c r="P584" t="s">
        <v>2671</v>
      </c>
      <c r="S584" t="s">
        <v>2672</v>
      </c>
      <c r="T584" t="s">
        <v>2673</v>
      </c>
      <c r="U584" t="s">
        <v>2674</v>
      </c>
      <c r="V584" t="s">
        <v>2671</v>
      </c>
      <c r="W584" t="s">
        <v>80</v>
      </c>
      <c r="X584" t="s">
        <v>2675</v>
      </c>
      <c r="Y584">
        <v>2</v>
      </c>
      <c r="Z584">
        <v>2538</v>
      </c>
    </row>
    <row r="585" spans="1:26">
      <c r="A585" s="1">
        <v>583</v>
      </c>
      <c r="B585" t="str">
        <f>HYPERLINK("https://bugs.eclipse.org/bugs/show_bug.cgi?id=23712", "23712")</f>
        <v>23712</v>
      </c>
      <c r="C585" t="s">
        <v>56</v>
      </c>
      <c r="D585" t="s">
        <v>10</v>
      </c>
      <c r="E585" t="s">
        <v>14</v>
      </c>
      <c r="F585" t="s">
        <v>51</v>
      </c>
      <c r="L585" t="s">
        <v>2676</v>
      </c>
      <c r="P585" t="s">
        <v>2677</v>
      </c>
      <c r="S585" t="s">
        <v>2678</v>
      </c>
      <c r="T585" t="s">
        <v>2679</v>
      </c>
      <c r="U585" t="s">
        <v>2680</v>
      </c>
      <c r="V585" t="s">
        <v>2677</v>
      </c>
      <c r="W585" t="s">
        <v>75</v>
      </c>
      <c r="X585" t="s">
        <v>2681</v>
      </c>
      <c r="Y585">
        <v>5</v>
      </c>
      <c r="Z585">
        <v>2538</v>
      </c>
    </row>
    <row r="586" spans="1:26">
      <c r="A586" s="1">
        <v>584</v>
      </c>
      <c r="B586" t="str">
        <f>HYPERLINK("https://bugs.eclipse.org/bugs/show_bug.cgi?id=23715", "23715")</f>
        <v>23715</v>
      </c>
      <c r="C586" t="s">
        <v>35</v>
      </c>
      <c r="D586" t="s">
        <v>11</v>
      </c>
      <c r="E586" t="s">
        <v>12</v>
      </c>
      <c r="F586" t="s">
        <v>26</v>
      </c>
      <c r="L586" t="s">
        <v>2682</v>
      </c>
      <c r="M586" t="s">
        <v>2683</v>
      </c>
      <c r="N586" t="s">
        <v>2682</v>
      </c>
      <c r="T586" t="s">
        <v>2684</v>
      </c>
      <c r="U586" t="s">
        <v>2685</v>
      </c>
      <c r="V586" t="s">
        <v>2683</v>
      </c>
      <c r="W586" t="s">
        <v>283</v>
      </c>
      <c r="X586" t="s">
        <v>2686</v>
      </c>
      <c r="Y586">
        <v>2</v>
      </c>
      <c r="Z586">
        <v>57.041666666666657</v>
      </c>
    </row>
    <row r="587" spans="1:26">
      <c r="A587" s="1">
        <v>585</v>
      </c>
      <c r="B587" t="str">
        <f>HYPERLINK("https://bugs.eclipse.org/bugs/show_bug.cgi?id=23717", "23717")</f>
        <v>23717</v>
      </c>
      <c r="C587" t="s">
        <v>35</v>
      </c>
      <c r="D587" t="s">
        <v>11</v>
      </c>
      <c r="E587" t="s">
        <v>12</v>
      </c>
      <c r="F587" t="s">
        <v>145</v>
      </c>
      <c r="L587" t="s">
        <v>2687</v>
      </c>
      <c r="M587" t="s">
        <v>2688</v>
      </c>
      <c r="N587" t="s">
        <v>2687</v>
      </c>
      <c r="T587" t="s">
        <v>2689</v>
      </c>
      <c r="U587" t="s">
        <v>2690</v>
      </c>
      <c r="V587" t="s">
        <v>2688</v>
      </c>
      <c r="W587" t="s">
        <v>851</v>
      </c>
      <c r="X587" t="s">
        <v>2691</v>
      </c>
      <c r="Y587">
        <v>0</v>
      </c>
      <c r="Z587">
        <v>0</v>
      </c>
    </row>
    <row r="588" spans="1:26">
      <c r="A588" s="1">
        <v>586</v>
      </c>
      <c r="B588" t="str">
        <f>HYPERLINK("https://bugs.eclipse.org/bugs/show_bug.cgi?id=23718", "23718")</f>
        <v>23718</v>
      </c>
      <c r="C588" t="s">
        <v>149</v>
      </c>
      <c r="D588" t="s">
        <v>10</v>
      </c>
      <c r="E588" t="s">
        <v>12</v>
      </c>
      <c r="F588" t="s">
        <v>51</v>
      </c>
      <c r="L588" t="s">
        <v>2692</v>
      </c>
      <c r="N588" t="s">
        <v>2692</v>
      </c>
      <c r="S588" t="s">
        <v>2693</v>
      </c>
      <c r="T588" t="s">
        <v>2694</v>
      </c>
      <c r="U588" t="s">
        <v>2695</v>
      </c>
      <c r="V588" t="s">
        <v>2692</v>
      </c>
      <c r="W588" t="s">
        <v>60</v>
      </c>
      <c r="X588" t="s">
        <v>2696</v>
      </c>
      <c r="Y588">
        <v>5</v>
      </c>
      <c r="Z588">
        <v>261</v>
      </c>
    </row>
    <row r="589" spans="1:26">
      <c r="A589" s="1">
        <v>587</v>
      </c>
      <c r="B589" t="str">
        <f>HYPERLINK("https://bugs.eclipse.org/bugs/show_bug.cgi?id=23724", "23724")</f>
        <v>23724</v>
      </c>
      <c r="C589" t="s">
        <v>56</v>
      </c>
      <c r="D589" t="s">
        <v>10</v>
      </c>
      <c r="E589" t="s">
        <v>14</v>
      </c>
      <c r="F589" t="s">
        <v>51</v>
      </c>
      <c r="L589" t="s">
        <v>2697</v>
      </c>
      <c r="P589" t="s">
        <v>2698</v>
      </c>
      <c r="S589" t="s">
        <v>2699</v>
      </c>
      <c r="T589" t="s">
        <v>2700</v>
      </c>
      <c r="U589" t="s">
        <v>2701</v>
      </c>
      <c r="V589" t="s">
        <v>2698</v>
      </c>
      <c r="W589" t="s">
        <v>75</v>
      </c>
      <c r="X589" t="s">
        <v>2702</v>
      </c>
      <c r="Y589">
        <v>2</v>
      </c>
      <c r="Z589">
        <v>2538</v>
      </c>
    </row>
    <row r="590" spans="1:26">
      <c r="A590" s="1">
        <v>588</v>
      </c>
      <c r="B590" t="str">
        <f>HYPERLINK("https://bugs.eclipse.org/bugs/show_bug.cgi?id=23725", "23725")</f>
        <v>23725</v>
      </c>
      <c r="C590" t="s">
        <v>56</v>
      </c>
      <c r="D590" t="s">
        <v>10</v>
      </c>
      <c r="E590" t="s">
        <v>14</v>
      </c>
      <c r="F590" t="s">
        <v>51</v>
      </c>
      <c r="L590" t="s">
        <v>2703</v>
      </c>
      <c r="P590" t="s">
        <v>2704</v>
      </c>
      <c r="S590" t="s">
        <v>2705</v>
      </c>
      <c r="T590" t="s">
        <v>2700</v>
      </c>
      <c r="U590" t="s">
        <v>2706</v>
      </c>
      <c r="V590" t="s">
        <v>2704</v>
      </c>
      <c r="W590" t="s">
        <v>80</v>
      </c>
      <c r="X590" t="s">
        <v>2707</v>
      </c>
      <c r="Y590">
        <v>2</v>
      </c>
      <c r="Z590">
        <v>2538</v>
      </c>
    </row>
    <row r="591" spans="1:26">
      <c r="A591" s="1">
        <v>589</v>
      </c>
      <c r="B591" t="str">
        <f>HYPERLINK("https://bugs.eclipse.org/bugs/show_bug.cgi?id=23727", "23727")</f>
        <v>23727</v>
      </c>
      <c r="C591" t="s">
        <v>2708</v>
      </c>
      <c r="D591" t="s">
        <v>10</v>
      </c>
      <c r="E591" t="s">
        <v>15</v>
      </c>
      <c r="F591" t="s">
        <v>26</v>
      </c>
      <c r="L591" t="s">
        <v>2709</v>
      </c>
      <c r="Q591" t="s">
        <v>2709</v>
      </c>
      <c r="T591" t="s">
        <v>2710</v>
      </c>
      <c r="U591" t="s">
        <v>2711</v>
      </c>
      <c r="V591" t="s">
        <v>2709</v>
      </c>
      <c r="W591" t="s">
        <v>86</v>
      </c>
      <c r="X591" t="s">
        <v>2712</v>
      </c>
      <c r="Y591">
        <v>0</v>
      </c>
      <c r="Z591">
        <v>343</v>
      </c>
    </row>
    <row r="592" spans="1:26">
      <c r="A592" s="1">
        <v>590</v>
      </c>
      <c r="B592" t="str">
        <f>HYPERLINK("https://bugs.eclipse.org/bugs/show_bug.cgi?id=23730", "23730")</f>
        <v>23730</v>
      </c>
      <c r="C592" t="s">
        <v>191</v>
      </c>
      <c r="D592" t="s">
        <v>192</v>
      </c>
      <c r="E592" t="s">
        <v>14</v>
      </c>
      <c r="F592" t="s">
        <v>26</v>
      </c>
      <c r="L592" t="s">
        <v>2713</v>
      </c>
      <c r="P592" t="s">
        <v>2714</v>
      </c>
      <c r="T592" t="s">
        <v>2715</v>
      </c>
      <c r="U592" t="s">
        <v>2716</v>
      </c>
      <c r="V592" t="s">
        <v>2714</v>
      </c>
      <c r="W592" t="s">
        <v>75</v>
      </c>
      <c r="X592" t="s">
        <v>2717</v>
      </c>
      <c r="Y592">
        <v>5</v>
      </c>
      <c r="Z592">
        <v>2538</v>
      </c>
    </row>
    <row r="593" spans="1:26">
      <c r="A593" s="1">
        <v>591</v>
      </c>
      <c r="B593" t="str">
        <f>HYPERLINK("https://bugs.eclipse.org/bugs/show_bug.cgi?id=23752", "23752")</f>
        <v>23752</v>
      </c>
      <c r="C593" t="s">
        <v>56</v>
      </c>
      <c r="D593" t="s">
        <v>10</v>
      </c>
      <c r="E593" t="s">
        <v>14</v>
      </c>
      <c r="F593" t="s">
        <v>26</v>
      </c>
      <c r="L593" t="s">
        <v>2718</v>
      </c>
      <c r="P593" t="s">
        <v>2718</v>
      </c>
      <c r="T593" t="s">
        <v>2719</v>
      </c>
      <c r="U593" t="s">
        <v>2718</v>
      </c>
      <c r="V593" t="s">
        <v>2718</v>
      </c>
      <c r="W593" t="s">
        <v>49</v>
      </c>
      <c r="X593" t="s">
        <v>2720</v>
      </c>
      <c r="Y593">
        <v>2</v>
      </c>
      <c r="Z593">
        <v>2</v>
      </c>
    </row>
    <row r="594" spans="1:26">
      <c r="A594" s="1">
        <v>592</v>
      </c>
      <c r="B594" t="str">
        <f>HYPERLINK("https://bugs.eclipse.org/bugs/show_bug.cgi?id=23828", "23828")</f>
        <v>23828</v>
      </c>
      <c r="C594" t="s">
        <v>56</v>
      </c>
      <c r="D594" t="s">
        <v>10</v>
      </c>
      <c r="E594" t="s">
        <v>14</v>
      </c>
      <c r="F594" t="s">
        <v>51</v>
      </c>
      <c r="L594" t="s">
        <v>2721</v>
      </c>
      <c r="P594" t="s">
        <v>2722</v>
      </c>
      <c r="T594" t="s">
        <v>2723</v>
      </c>
      <c r="U594" t="s">
        <v>2724</v>
      </c>
      <c r="V594" t="s">
        <v>2722</v>
      </c>
      <c r="W594" t="s">
        <v>75</v>
      </c>
      <c r="X594" t="s">
        <v>2725</v>
      </c>
      <c r="Y594">
        <v>0</v>
      </c>
      <c r="Z594">
        <v>2537</v>
      </c>
    </row>
    <row r="595" spans="1:26">
      <c r="A595" s="1">
        <v>593</v>
      </c>
      <c r="B595" t="str">
        <f>HYPERLINK("https://bugs.eclipse.org/bugs/show_bug.cgi?id=23860", "23860")</f>
        <v>23860</v>
      </c>
      <c r="C595" t="s">
        <v>149</v>
      </c>
      <c r="D595" t="s">
        <v>10</v>
      </c>
      <c r="E595" t="s">
        <v>12</v>
      </c>
      <c r="F595" t="s">
        <v>26</v>
      </c>
      <c r="L595" t="s">
        <v>2726</v>
      </c>
      <c r="N595" t="s">
        <v>2726</v>
      </c>
      <c r="T595" t="s">
        <v>2727</v>
      </c>
      <c r="U595" t="s">
        <v>2726</v>
      </c>
      <c r="V595" t="s">
        <v>2728</v>
      </c>
      <c r="W595" t="s">
        <v>60</v>
      </c>
      <c r="X595" t="s">
        <v>2729</v>
      </c>
      <c r="Y595">
        <v>1</v>
      </c>
      <c r="Z595">
        <v>28</v>
      </c>
    </row>
    <row r="596" spans="1:26">
      <c r="A596" s="1">
        <v>594</v>
      </c>
      <c r="B596" t="str">
        <f>HYPERLINK("https://bugs.eclipse.org/bugs/show_bug.cgi?id=23861", "23861")</f>
        <v>23861</v>
      </c>
      <c r="C596" t="s">
        <v>149</v>
      </c>
      <c r="D596" t="s">
        <v>10</v>
      </c>
      <c r="E596" t="s">
        <v>12</v>
      </c>
      <c r="F596" t="s">
        <v>26</v>
      </c>
      <c r="L596" t="s">
        <v>2730</v>
      </c>
      <c r="N596" t="s">
        <v>2730</v>
      </c>
      <c r="T596" t="s">
        <v>2731</v>
      </c>
      <c r="U596" t="s">
        <v>2732</v>
      </c>
      <c r="V596" t="s">
        <v>2733</v>
      </c>
      <c r="W596" t="s">
        <v>60</v>
      </c>
      <c r="X596" t="s">
        <v>2734</v>
      </c>
      <c r="Y596">
        <v>0</v>
      </c>
      <c r="Z596">
        <v>28</v>
      </c>
    </row>
    <row r="597" spans="1:26">
      <c r="A597" s="1">
        <v>595</v>
      </c>
      <c r="B597" t="str">
        <f>HYPERLINK("https://bugs.eclipse.org/bugs/show_bug.cgi?id=23901", "23901")</f>
        <v>23901</v>
      </c>
      <c r="C597" t="s">
        <v>149</v>
      </c>
      <c r="D597" t="s">
        <v>10</v>
      </c>
      <c r="E597" t="s">
        <v>12</v>
      </c>
      <c r="F597" t="s">
        <v>26</v>
      </c>
      <c r="L597" t="s">
        <v>2735</v>
      </c>
      <c r="N597" t="s">
        <v>2735</v>
      </c>
      <c r="T597" t="s">
        <v>2736</v>
      </c>
      <c r="U597" t="s">
        <v>2737</v>
      </c>
      <c r="V597" t="s">
        <v>2735</v>
      </c>
      <c r="W597" t="s">
        <v>2738</v>
      </c>
      <c r="X597" t="s">
        <v>2739</v>
      </c>
      <c r="Y597">
        <v>0</v>
      </c>
      <c r="Z597">
        <v>0</v>
      </c>
    </row>
    <row r="598" spans="1:26">
      <c r="A598" s="1">
        <v>596</v>
      </c>
      <c r="B598" t="str">
        <f>HYPERLINK("https://bugs.eclipse.org/bugs/show_bug.cgi?id=23939", "23939")</f>
        <v>23939</v>
      </c>
      <c r="C598" t="s">
        <v>2740</v>
      </c>
      <c r="D598" t="s">
        <v>11</v>
      </c>
      <c r="E598" t="s">
        <v>15</v>
      </c>
      <c r="F598" t="s">
        <v>26</v>
      </c>
      <c r="L598" t="s">
        <v>2741</v>
      </c>
      <c r="M598" t="s">
        <v>2742</v>
      </c>
      <c r="Q598" t="s">
        <v>2741</v>
      </c>
      <c r="T598" t="s">
        <v>2743</v>
      </c>
      <c r="U598" t="s">
        <v>2741</v>
      </c>
      <c r="V598" t="s">
        <v>2742</v>
      </c>
      <c r="W598" t="s">
        <v>283</v>
      </c>
      <c r="X598" t="s">
        <v>2744</v>
      </c>
      <c r="Y598">
        <v>1</v>
      </c>
      <c r="Z598">
        <v>55.041666666666657</v>
      </c>
    </row>
    <row r="599" spans="1:26">
      <c r="A599" s="1">
        <v>597</v>
      </c>
      <c r="B599" t="str">
        <f>HYPERLINK("https://bugs.eclipse.org/bugs/show_bug.cgi?id=23943", "23943")</f>
        <v>23943</v>
      </c>
      <c r="C599" t="s">
        <v>149</v>
      </c>
      <c r="D599" t="s">
        <v>10</v>
      </c>
      <c r="E599" t="s">
        <v>12</v>
      </c>
      <c r="F599" t="s">
        <v>26</v>
      </c>
      <c r="L599" t="s">
        <v>2745</v>
      </c>
      <c r="N599" t="s">
        <v>2745</v>
      </c>
      <c r="T599" t="s">
        <v>2746</v>
      </c>
      <c r="U599" t="s">
        <v>2747</v>
      </c>
      <c r="V599" t="s">
        <v>2745</v>
      </c>
      <c r="W599" t="s">
        <v>60</v>
      </c>
      <c r="X599" t="s">
        <v>2748</v>
      </c>
      <c r="Y599">
        <v>1</v>
      </c>
      <c r="Z599">
        <v>129.04166666666671</v>
      </c>
    </row>
    <row r="600" spans="1:26">
      <c r="A600" s="1">
        <v>598</v>
      </c>
      <c r="B600" t="str">
        <f>HYPERLINK("https://bugs.eclipse.org/bugs/show_bug.cgi?id=23952", "23952")</f>
        <v>23952</v>
      </c>
      <c r="C600" t="s">
        <v>2749</v>
      </c>
      <c r="D600" t="s">
        <v>10</v>
      </c>
      <c r="E600" t="s">
        <v>15</v>
      </c>
      <c r="F600" t="s">
        <v>26</v>
      </c>
      <c r="L600" t="s">
        <v>2750</v>
      </c>
      <c r="Q600" t="s">
        <v>2750</v>
      </c>
      <c r="T600" t="s">
        <v>2751</v>
      </c>
      <c r="U600" t="s">
        <v>2750</v>
      </c>
      <c r="V600" t="s">
        <v>2750</v>
      </c>
      <c r="W600" t="s">
        <v>60</v>
      </c>
      <c r="X600" t="s">
        <v>2752</v>
      </c>
      <c r="Y600">
        <v>0</v>
      </c>
      <c r="Z600">
        <v>0</v>
      </c>
    </row>
    <row r="601" spans="1:26">
      <c r="A601" s="1">
        <v>599</v>
      </c>
      <c r="B601" t="str">
        <f>HYPERLINK("https://bugs.eclipse.org/bugs/show_bug.cgi?id=23953", "23953")</f>
        <v>23953</v>
      </c>
      <c r="C601" t="s">
        <v>149</v>
      </c>
      <c r="D601" t="s">
        <v>10</v>
      </c>
      <c r="E601" t="s">
        <v>12</v>
      </c>
      <c r="F601" t="s">
        <v>150</v>
      </c>
      <c r="L601" t="s">
        <v>2753</v>
      </c>
      <c r="N601" t="s">
        <v>2753</v>
      </c>
      <c r="T601" t="s">
        <v>2754</v>
      </c>
      <c r="U601" t="s">
        <v>2755</v>
      </c>
      <c r="V601" t="s">
        <v>2753</v>
      </c>
      <c r="W601" t="s">
        <v>60</v>
      </c>
      <c r="X601" t="s">
        <v>2756</v>
      </c>
      <c r="Y601">
        <v>2</v>
      </c>
      <c r="Z601">
        <v>2</v>
      </c>
    </row>
    <row r="602" spans="1:26">
      <c r="A602" s="1">
        <v>600</v>
      </c>
      <c r="B602" t="str">
        <f>HYPERLINK("https://bugs.eclipse.org/bugs/show_bug.cgi?id=24021", "24021")</f>
        <v>24021</v>
      </c>
      <c r="C602" t="s">
        <v>35</v>
      </c>
      <c r="D602" t="s">
        <v>11</v>
      </c>
      <c r="E602" t="s">
        <v>12</v>
      </c>
      <c r="F602" t="s">
        <v>26</v>
      </c>
      <c r="L602" t="s">
        <v>2757</v>
      </c>
      <c r="M602" t="s">
        <v>2758</v>
      </c>
      <c r="N602" t="s">
        <v>2757</v>
      </c>
      <c r="T602" t="s">
        <v>2759</v>
      </c>
      <c r="U602" t="s">
        <v>2760</v>
      </c>
      <c r="V602" t="s">
        <v>2758</v>
      </c>
      <c r="W602" t="s">
        <v>86</v>
      </c>
      <c r="X602" t="s">
        <v>2761</v>
      </c>
      <c r="Y602">
        <v>0</v>
      </c>
      <c r="Z602">
        <v>51.041666666666657</v>
      </c>
    </row>
    <row r="603" spans="1:26">
      <c r="A603" s="1">
        <v>601</v>
      </c>
      <c r="B603" t="str">
        <f>HYPERLINK("https://bugs.eclipse.org/bugs/show_bug.cgi?id=24073", "24073")</f>
        <v>24073</v>
      </c>
      <c r="C603" t="s">
        <v>2762</v>
      </c>
      <c r="D603" t="s">
        <v>10</v>
      </c>
      <c r="E603" t="s">
        <v>15</v>
      </c>
      <c r="F603" t="s">
        <v>26</v>
      </c>
      <c r="L603" t="s">
        <v>2763</v>
      </c>
      <c r="Q603" t="s">
        <v>2763</v>
      </c>
      <c r="S603" t="s">
        <v>2764</v>
      </c>
      <c r="T603" t="s">
        <v>2765</v>
      </c>
      <c r="U603" t="s">
        <v>2766</v>
      </c>
      <c r="V603" t="s">
        <v>2763</v>
      </c>
      <c r="W603" t="s">
        <v>60</v>
      </c>
      <c r="X603" t="s">
        <v>2767</v>
      </c>
      <c r="Y603">
        <v>21</v>
      </c>
      <c r="Z603">
        <v>196</v>
      </c>
    </row>
    <row r="604" spans="1:26">
      <c r="A604" s="1">
        <v>602</v>
      </c>
      <c r="B604" t="str">
        <f>HYPERLINK("https://bugs.eclipse.org/bugs/show_bug.cgi?id=24142", "24142")</f>
        <v>24142</v>
      </c>
      <c r="C604" t="s">
        <v>149</v>
      </c>
      <c r="D604" t="s">
        <v>10</v>
      </c>
      <c r="E604" t="s">
        <v>12</v>
      </c>
      <c r="F604" t="s">
        <v>26</v>
      </c>
      <c r="L604" t="s">
        <v>2768</v>
      </c>
      <c r="N604" t="s">
        <v>2768</v>
      </c>
      <c r="T604" t="s">
        <v>2769</v>
      </c>
      <c r="U604" t="s">
        <v>2770</v>
      </c>
      <c r="V604" t="s">
        <v>2768</v>
      </c>
      <c r="W604" t="s">
        <v>86</v>
      </c>
      <c r="X604" t="s">
        <v>2771</v>
      </c>
      <c r="Y604">
        <v>0</v>
      </c>
      <c r="Z604">
        <v>139.04166666666671</v>
      </c>
    </row>
    <row r="605" spans="1:26">
      <c r="A605" s="1">
        <v>603</v>
      </c>
      <c r="B605" t="str">
        <f>HYPERLINK("https://bugs.eclipse.org/bugs/show_bug.cgi?id=24161", "24161")</f>
        <v>24161</v>
      </c>
      <c r="C605" t="s">
        <v>56</v>
      </c>
      <c r="D605" t="s">
        <v>10</v>
      </c>
      <c r="E605" t="s">
        <v>14</v>
      </c>
      <c r="F605" t="s">
        <v>26</v>
      </c>
      <c r="G605" t="s">
        <v>2772</v>
      </c>
      <c r="L605" t="s">
        <v>2773</v>
      </c>
      <c r="P605" t="s">
        <v>2773</v>
      </c>
      <c r="T605" t="s">
        <v>2774</v>
      </c>
      <c r="U605" t="s">
        <v>2775</v>
      </c>
      <c r="V605" t="s">
        <v>2776</v>
      </c>
      <c r="W605" t="s">
        <v>2777</v>
      </c>
      <c r="X605" t="s">
        <v>2778</v>
      </c>
      <c r="Y605">
        <v>0</v>
      </c>
      <c r="Z605">
        <v>3484</v>
      </c>
    </row>
    <row r="606" spans="1:26">
      <c r="A606" s="1">
        <v>604</v>
      </c>
      <c r="B606" t="str">
        <f>HYPERLINK("https://bugs.eclipse.org/bugs/show_bug.cgi?id=24177", "24177")</f>
        <v>24177</v>
      </c>
      <c r="C606" t="s">
        <v>149</v>
      </c>
      <c r="D606" t="s">
        <v>10</v>
      </c>
      <c r="E606" t="s">
        <v>12</v>
      </c>
      <c r="F606" t="s">
        <v>26</v>
      </c>
      <c r="L606" t="s">
        <v>2779</v>
      </c>
      <c r="N606" t="s">
        <v>2779</v>
      </c>
      <c r="T606" t="s">
        <v>2780</v>
      </c>
      <c r="U606" t="s">
        <v>2781</v>
      </c>
      <c r="V606" t="s">
        <v>2779</v>
      </c>
      <c r="W606" t="s">
        <v>49</v>
      </c>
      <c r="X606" t="s">
        <v>2782</v>
      </c>
      <c r="Y606">
        <v>4</v>
      </c>
      <c r="Z606">
        <v>12</v>
      </c>
    </row>
    <row r="607" spans="1:26">
      <c r="A607" s="1">
        <v>605</v>
      </c>
      <c r="B607" t="str">
        <f>HYPERLINK("https://bugs.eclipse.org/bugs/show_bug.cgi?id=24180", "24180")</f>
        <v>24180</v>
      </c>
      <c r="C607" t="s">
        <v>140</v>
      </c>
      <c r="D607" t="s">
        <v>10</v>
      </c>
      <c r="E607" t="s">
        <v>16</v>
      </c>
      <c r="F607" t="s">
        <v>26</v>
      </c>
      <c r="L607" t="s">
        <v>2783</v>
      </c>
      <c r="R607" t="s">
        <v>2783</v>
      </c>
      <c r="T607" t="s">
        <v>2784</v>
      </c>
      <c r="U607" t="s">
        <v>2785</v>
      </c>
      <c r="V607" t="s">
        <v>2783</v>
      </c>
      <c r="W607" t="s">
        <v>86</v>
      </c>
      <c r="X607" t="s">
        <v>2786</v>
      </c>
      <c r="Y607">
        <v>0</v>
      </c>
      <c r="Z607">
        <v>599</v>
      </c>
    </row>
    <row r="608" spans="1:26">
      <c r="A608" s="1">
        <v>606</v>
      </c>
      <c r="B608" t="str">
        <f>HYPERLINK("https://bugs.eclipse.org/bugs/show_bug.cgi?id=24184", "24184")</f>
        <v>24184</v>
      </c>
      <c r="C608" t="s">
        <v>56</v>
      </c>
      <c r="D608" t="s">
        <v>10</v>
      </c>
      <c r="E608" t="s">
        <v>14</v>
      </c>
      <c r="F608" t="s">
        <v>51</v>
      </c>
      <c r="L608" t="s">
        <v>2787</v>
      </c>
      <c r="P608" t="s">
        <v>2787</v>
      </c>
      <c r="T608" t="s">
        <v>2788</v>
      </c>
      <c r="U608" t="s">
        <v>2789</v>
      </c>
      <c r="V608" t="s">
        <v>2787</v>
      </c>
      <c r="W608" t="s">
        <v>60</v>
      </c>
      <c r="X608" t="s">
        <v>2790</v>
      </c>
      <c r="Y608">
        <v>0</v>
      </c>
      <c r="Z608">
        <v>82.041666666666671</v>
      </c>
    </row>
    <row r="609" spans="1:26">
      <c r="A609" s="1">
        <v>607</v>
      </c>
      <c r="B609" t="str">
        <f>HYPERLINK("https://bugs.eclipse.org/bugs/show_bug.cgi?id=24204", "24204")</f>
        <v>24204</v>
      </c>
      <c r="C609" t="s">
        <v>149</v>
      </c>
      <c r="D609" t="s">
        <v>10</v>
      </c>
      <c r="E609" t="s">
        <v>12</v>
      </c>
      <c r="F609" t="s">
        <v>26</v>
      </c>
      <c r="L609" t="s">
        <v>2791</v>
      </c>
      <c r="N609" t="s">
        <v>2791</v>
      </c>
      <c r="T609" t="s">
        <v>2792</v>
      </c>
      <c r="U609" t="s">
        <v>2793</v>
      </c>
      <c r="V609" t="s">
        <v>2794</v>
      </c>
      <c r="W609" t="s">
        <v>60</v>
      </c>
      <c r="X609" t="s">
        <v>2795</v>
      </c>
      <c r="Y609">
        <v>3</v>
      </c>
      <c r="Z609">
        <v>20</v>
      </c>
    </row>
    <row r="610" spans="1:26">
      <c r="A610" s="1">
        <v>608</v>
      </c>
      <c r="B610" t="str">
        <f>HYPERLINK("https://bugs.eclipse.org/bugs/show_bug.cgi?id=24241", "24241")</f>
        <v>24241</v>
      </c>
      <c r="C610" t="s">
        <v>149</v>
      </c>
      <c r="D610" t="s">
        <v>10</v>
      </c>
      <c r="E610" t="s">
        <v>12</v>
      </c>
      <c r="F610" t="s">
        <v>26</v>
      </c>
      <c r="L610" t="s">
        <v>2796</v>
      </c>
      <c r="N610" t="s">
        <v>2796</v>
      </c>
      <c r="T610" t="s">
        <v>2797</v>
      </c>
      <c r="U610" t="s">
        <v>2796</v>
      </c>
      <c r="V610" t="s">
        <v>2796</v>
      </c>
      <c r="W610" t="s">
        <v>60</v>
      </c>
      <c r="X610" t="s">
        <v>2798</v>
      </c>
      <c r="Y610">
        <v>1</v>
      </c>
      <c r="Z610">
        <v>1</v>
      </c>
    </row>
    <row r="611" spans="1:26">
      <c r="A611" s="1">
        <v>609</v>
      </c>
      <c r="B611" t="str">
        <f>HYPERLINK("https://bugs.eclipse.org/bugs/show_bug.cgi?id=24248", "24248")</f>
        <v>24248</v>
      </c>
      <c r="C611" t="s">
        <v>149</v>
      </c>
      <c r="D611" t="s">
        <v>10</v>
      </c>
      <c r="E611" t="s">
        <v>12</v>
      </c>
      <c r="F611" t="s">
        <v>26</v>
      </c>
      <c r="L611" t="s">
        <v>2799</v>
      </c>
      <c r="N611" t="s">
        <v>2799</v>
      </c>
      <c r="T611" t="s">
        <v>2800</v>
      </c>
      <c r="U611" t="s">
        <v>2801</v>
      </c>
      <c r="V611" t="s">
        <v>2799</v>
      </c>
      <c r="W611" t="s">
        <v>60</v>
      </c>
      <c r="X611" t="s">
        <v>2802</v>
      </c>
      <c r="Y611">
        <v>0</v>
      </c>
      <c r="Z611">
        <v>126.0416666666667</v>
      </c>
    </row>
    <row r="612" spans="1:26">
      <c r="A612" s="1">
        <v>610</v>
      </c>
      <c r="B612" t="str">
        <f>HYPERLINK("https://bugs.eclipse.org/bugs/show_bug.cgi?id=24265", "24265")</f>
        <v>24265</v>
      </c>
      <c r="C612" t="s">
        <v>149</v>
      </c>
      <c r="D612" t="s">
        <v>10</v>
      </c>
      <c r="E612" t="s">
        <v>12</v>
      </c>
      <c r="F612" t="s">
        <v>26</v>
      </c>
      <c r="L612" t="s">
        <v>2803</v>
      </c>
      <c r="N612" t="s">
        <v>2803</v>
      </c>
      <c r="T612" t="s">
        <v>2804</v>
      </c>
      <c r="U612" t="s">
        <v>2803</v>
      </c>
      <c r="V612" t="s">
        <v>2805</v>
      </c>
      <c r="W612" t="s">
        <v>60</v>
      </c>
      <c r="X612" t="s">
        <v>2806</v>
      </c>
      <c r="Y612">
        <v>6</v>
      </c>
      <c r="Z612">
        <v>16</v>
      </c>
    </row>
    <row r="613" spans="1:26">
      <c r="A613" s="1">
        <v>611</v>
      </c>
      <c r="B613" t="str">
        <f>HYPERLINK("https://bugs.eclipse.org/bugs/show_bug.cgi?id=24279", "24279")</f>
        <v>24279</v>
      </c>
      <c r="C613" t="s">
        <v>149</v>
      </c>
      <c r="D613" t="s">
        <v>10</v>
      </c>
      <c r="E613" t="s">
        <v>12</v>
      </c>
      <c r="F613" t="s">
        <v>26</v>
      </c>
      <c r="L613" t="s">
        <v>2807</v>
      </c>
      <c r="N613" t="s">
        <v>2807</v>
      </c>
      <c r="T613" t="s">
        <v>2808</v>
      </c>
      <c r="U613" t="s">
        <v>2807</v>
      </c>
      <c r="V613" t="s">
        <v>2809</v>
      </c>
      <c r="W613" t="s">
        <v>60</v>
      </c>
      <c r="X613" t="s">
        <v>2810</v>
      </c>
      <c r="Y613">
        <v>6</v>
      </c>
      <c r="Z613">
        <v>16</v>
      </c>
    </row>
    <row r="614" spans="1:26">
      <c r="A614" s="1">
        <v>612</v>
      </c>
      <c r="B614" t="str">
        <f>HYPERLINK("https://bugs.eclipse.org/bugs/show_bug.cgi?id=24288", "24288")</f>
        <v>24288</v>
      </c>
      <c r="C614" t="s">
        <v>2811</v>
      </c>
      <c r="D614" t="s">
        <v>10</v>
      </c>
      <c r="E614" t="s">
        <v>15</v>
      </c>
      <c r="F614" t="s">
        <v>26</v>
      </c>
      <c r="L614" t="s">
        <v>2812</v>
      </c>
      <c r="Q614" t="s">
        <v>2812</v>
      </c>
      <c r="T614" t="s">
        <v>2813</v>
      </c>
      <c r="U614" t="s">
        <v>2814</v>
      </c>
      <c r="V614" t="s">
        <v>2812</v>
      </c>
      <c r="W614" t="s">
        <v>60</v>
      </c>
      <c r="X614" t="s">
        <v>2815</v>
      </c>
      <c r="Y614">
        <v>1</v>
      </c>
      <c r="Z614">
        <v>41.041666666666657</v>
      </c>
    </row>
    <row r="615" spans="1:26">
      <c r="A615" s="1">
        <v>613</v>
      </c>
      <c r="B615" t="str">
        <f>HYPERLINK("https://bugs.eclipse.org/bugs/show_bug.cgi?id=24311", "24311")</f>
        <v>24311</v>
      </c>
      <c r="C615" t="s">
        <v>56</v>
      </c>
      <c r="D615" t="s">
        <v>10</v>
      </c>
      <c r="E615" t="s">
        <v>14</v>
      </c>
      <c r="F615" t="s">
        <v>51</v>
      </c>
      <c r="G615" t="s">
        <v>2816</v>
      </c>
      <c r="L615" t="s">
        <v>2817</v>
      </c>
      <c r="P615" t="s">
        <v>2818</v>
      </c>
      <c r="S615" t="s">
        <v>2819</v>
      </c>
      <c r="T615" t="s">
        <v>2820</v>
      </c>
      <c r="U615" t="s">
        <v>2821</v>
      </c>
      <c r="V615" t="s">
        <v>2818</v>
      </c>
      <c r="W615" t="s">
        <v>75</v>
      </c>
      <c r="X615" t="s">
        <v>2822</v>
      </c>
      <c r="Y615">
        <v>0</v>
      </c>
      <c r="Z615">
        <v>2524</v>
      </c>
    </row>
    <row r="616" spans="1:26">
      <c r="A616" s="1">
        <v>614</v>
      </c>
      <c r="B616" t="str">
        <f>HYPERLINK("https://bugs.eclipse.org/bugs/show_bug.cgi?id=24379", "24379")</f>
        <v>24379</v>
      </c>
      <c r="C616" t="s">
        <v>25</v>
      </c>
      <c r="D616" t="s">
        <v>25</v>
      </c>
      <c r="F616" t="s">
        <v>26</v>
      </c>
      <c r="G616" t="s">
        <v>2823</v>
      </c>
      <c r="T616" t="s">
        <v>2824</v>
      </c>
      <c r="U616" t="s">
        <v>2825</v>
      </c>
      <c r="V616" t="s">
        <v>2826</v>
      </c>
      <c r="W616" t="s">
        <v>2827</v>
      </c>
      <c r="X616" t="s">
        <v>2828</v>
      </c>
      <c r="Y616">
        <v>0</v>
      </c>
    </row>
    <row r="617" spans="1:26">
      <c r="A617" s="1">
        <v>615</v>
      </c>
      <c r="B617" t="str">
        <f>HYPERLINK("https://bugs.eclipse.org/bugs/show_bug.cgi?id=24561", "24561")</f>
        <v>24561</v>
      </c>
      <c r="C617" t="s">
        <v>149</v>
      </c>
      <c r="D617" t="s">
        <v>10</v>
      </c>
      <c r="E617" t="s">
        <v>12</v>
      </c>
      <c r="F617" t="s">
        <v>26</v>
      </c>
      <c r="L617" t="s">
        <v>2829</v>
      </c>
      <c r="N617" t="s">
        <v>2829</v>
      </c>
      <c r="T617" t="s">
        <v>2830</v>
      </c>
      <c r="U617" t="s">
        <v>2831</v>
      </c>
      <c r="V617" t="s">
        <v>2832</v>
      </c>
      <c r="W617" t="s">
        <v>60</v>
      </c>
      <c r="X617" t="s">
        <v>2833</v>
      </c>
      <c r="Y617">
        <v>0</v>
      </c>
      <c r="Z617">
        <v>8</v>
      </c>
    </row>
    <row r="618" spans="1:26">
      <c r="A618" s="1">
        <v>616</v>
      </c>
      <c r="B618" t="str">
        <f>HYPERLINK("https://bugs.eclipse.org/bugs/show_bug.cgi?id=24571", "24571")</f>
        <v>24571</v>
      </c>
      <c r="C618" t="s">
        <v>35</v>
      </c>
      <c r="D618" t="s">
        <v>11</v>
      </c>
      <c r="E618" t="s">
        <v>12</v>
      </c>
      <c r="F618" t="s">
        <v>26</v>
      </c>
      <c r="L618" t="s">
        <v>2834</v>
      </c>
      <c r="M618" t="s">
        <v>2835</v>
      </c>
      <c r="N618" t="s">
        <v>2834</v>
      </c>
      <c r="T618" t="s">
        <v>2836</v>
      </c>
      <c r="U618" t="s">
        <v>2837</v>
      </c>
      <c r="V618" t="s">
        <v>2835</v>
      </c>
      <c r="W618" t="s">
        <v>86</v>
      </c>
      <c r="X618" t="s">
        <v>2838</v>
      </c>
      <c r="Y618">
        <v>0</v>
      </c>
      <c r="Z618">
        <v>36.041666666666657</v>
      </c>
    </row>
    <row r="619" spans="1:26">
      <c r="A619" s="1">
        <v>617</v>
      </c>
      <c r="B619" t="str">
        <f>HYPERLINK("https://bugs.eclipse.org/bugs/show_bug.cgi?id=24576", "24576")</f>
        <v>24576</v>
      </c>
      <c r="C619" t="s">
        <v>149</v>
      </c>
      <c r="D619" t="s">
        <v>10</v>
      </c>
      <c r="E619" t="s">
        <v>12</v>
      </c>
      <c r="F619" t="s">
        <v>26</v>
      </c>
      <c r="L619" t="s">
        <v>2839</v>
      </c>
      <c r="N619" t="s">
        <v>2839</v>
      </c>
      <c r="T619" t="s">
        <v>2840</v>
      </c>
      <c r="U619" t="s">
        <v>2841</v>
      </c>
      <c r="V619" t="s">
        <v>2842</v>
      </c>
      <c r="W619" t="s">
        <v>60</v>
      </c>
      <c r="X619" t="s">
        <v>2843</v>
      </c>
      <c r="Y619">
        <v>0</v>
      </c>
      <c r="Z619">
        <v>8</v>
      </c>
    </row>
    <row r="620" spans="1:26">
      <c r="A620" s="1">
        <v>618</v>
      </c>
      <c r="B620" t="str">
        <f>HYPERLINK("https://bugs.eclipse.org/bugs/show_bug.cgi?id=24585", "24585")</f>
        <v>24585</v>
      </c>
      <c r="C620" t="s">
        <v>35</v>
      </c>
      <c r="D620" t="s">
        <v>11</v>
      </c>
      <c r="E620" t="s">
        <v>12</v>
      </c>
      <c r="F620" t="s">
        <v>26</v>
      </c>
      <c r="L620" t="s">
        <v>2844</v>
      </c>
      <c r="M620" t="s">
        <v>2845</v>
      </c>
      <c r="N620" t="s">
        <v>2844</v>
      </c>
      <c r="T620" t="s">
        <v>2846</v>
      </c>
      <c r="U620" t="s">
        <v>2847</v>
      </c>
      <c r="V620" t="s">
        <v>2845</v>
      </c>
      <c r="W620" t="s">
        <v>851</v>
      </c>
      <c r="X620" t="s">
        <v>2848</v>
      </c>
      <c r="Y620">
        <v>0</v>
      </c>
      <c r="Z620">
        <v>8</v>
      </c>
    </row>
    <row r="621" spans="1:26">
      <c r="A621" s="1">
        <v>619</v>
      </c>
      <c r="B621" t="str">
        <f>HYPERLINK("https://bugs.eclipse.org/bugs/show_bug.cgi?id=24681", "24681")</f>
        <v>24681</v>
      </c>
      <c r="C621" t="s">
        <v>2849</v>
      </c>
      <c r="D621" t="s">
        <v>10</v>
      </c>
      <c r="E621" t="s">
        <v>15</v>
      </c>
      <c r="F621" t="s">
        <v>26</v>
      </c>
      <c r="G621" t="s">
        <v>2850</v>
      </c>
      <c r="L621" t="s">
        <v>2851</v>
      </c>
      <c r="Q621" t="s">
        <v>2851</v>
      </c>
      <c r="S621" t="s">
        <v>2852</v>
      </c>
      <c r="T621" t="s">
        <v>2853</v>
      </c>
      <c r="U621" t="s">
        <v>2854</v>
      </c>
      <c r="V621" t="s">
        <v>2851</v>
      </c>
      <c r="W621" t="s">
        <v>49</v>
      </c>
      <c r="X621" t="s">
        <v>2855</v>
      </c>
      <c r="Y621">
        <v>1</v>
      </c>
      <c r="Z621">
        <v>183</v>
      </c>
    </row>
    <row r="622" spans="1:26">
      <c r="A622" s="1">
        <v>620</v>
      </c>
      <c r="B622" t="str">
        <f>HYPERLINK("https://bugs.eclipse.org/bugs/show_bug.cgi?id=24739", "24739")</f>
        <v>24739</v>
      </c>
      <c r="C622" t="s">
        <v>191</v>
      </c>
      <c r="D622" t="s">
        <v>192</v>
      </c>
      <c r="E622" t="s">
        <v>14</v>
      </c>
      <c r="F622" t="s">
        <v>51</v>
      </c>
      <c r="L622" t="s">
        <v>2856</v>
      </c>
      <c r="P622" t="s">
        <v>2857</v>
      </c>
      <c r="T622" t="s">
        <v>2858</v>
      </c>
      <c r="U622" t="s">
        <v>2859</v>
      </c>
      <c r="V622" t="s">
        <v>2857</v>
      </c>
      <c r="W622" t="s">
        <v>75</v>
      </c>
      <c r="X622" t="s">
        <v>2860</v>
      </c>
      <c r="Y622">
        <v>0</v>
      </c>
      <c r="Z622">
        <v>2512</v>
      </c>
    </row>
    <row r="623" spans="1:26">
      <c r="A623" s="1">
        <v>621</v>
      </c>
      <c r="B623" t="str">
        <f>HYPERLINK("https://bugs.eclipse.org/bugs/show_bug.cgi?id=24740", "24740")</f>
        <v>24740</v>
      </c>
      <c r="C623" t="s">
        <v>35</v>
      </c>
      <c r="D623" t="s">
        <v>11</v>
      </c>
      <c r="E623" t="s">
        <v>12</v>
      </c>
      <c r="F623" t="s">
        <v>26</v>
      </c>
      <c r="L623" t="s">
        <v>2861</v>
      </c>
      <c r="M623" t="s">
        <v>2862</v>
      </c>
      <c r="N623" t="s">
        <v>2861</v>
      </c>
      <c r="T623" t="s">
        <v>2863</v>
      </c>
      <c r="U623" t="s">
        <v>2864</v>
      </c>
      <c r="V623" t="s">
        <v>2862</v>
      </c>
      <c r="W623" t="s">
        <v>86</v>
      </c>
      <c r="X623" t="s">
        <v>2865</v>
      </c>
      <c r="Y623">
        <v>0</v>
      </c>
      <c r="Z623">
        <v>31.041666666666671</v>
      </c>
    </row>
    <row r="624" spans="1:26">
      <c r="A624" s="1">
        <v>622</v>
      </c>
      <c r="B624" t="str">
        <f>HYPERLINK("https://bugs.eclipse.org/bugs/show_bug.cgi?id=24746", "24746")</f>
        <v>24746</v>
      </c>
      <c r="C624" t="s">
        <v>149</v>
      </c>
      <c r="D624" t="s">
        <v>10</v>
      </c>
      <c r="E624" t="s">
        <v>12</v>
      </c>
      <c r="F624" t="s">
        <v>150</v>
      </c>
      <c r="L624" t="s">
        <v>2866</v>
      </c>
      <c r="N624" t="s">
        <v>2866</v>
      </c>
      <c r="T624" t="s">
        <v>2867</v>
      </c>
      <c r="U624" t="s">
        <v>2868</v>
      </c>
      <c r="V624" t="s">
        <v>2866</v>
      </c>
      <c r="W624" t="s">
        <v>283</v>
      </c>
      <c r="X624" t="s">
        <v>2869</v>
      </c>
      <c r="Y624">
        <v>0</v>
      </c>
      <c r="Z624">
        <v>49.041666666666657</v>
      </c>
    </row>
    <row r="625" spans="1:26">
      <c r="A625" s="1">
        <v>623</v>
      </c>
      <c r="B625" t="str">
        <f>HYPERLINK("https://bugs.eclipse.org/bugs/show_bug.cgi?id=24768", "24768")</f>
        <v>24768</v>
      </c>
      <c r="C625" t="s">
        <v>56</v>
      </c>
      <c r="D625" t="s">
        <v>10</v>
      </c>
      <c r="E625" t="s">
        <v>14</v>
      </c>
      <c r="F625" t="s">
        <v>51</v>
      </c>
      <c r="L625" t="s">
        <v>2870</v>
      </c>
      <c r="P625" t="s">
        <v>2871</v>
      </c>
      <c r="S625" t="s">
        <v>2872</v>
      </c>
      <c r="T625" t="s">
        <v>2873</v>
      </c>
      <c r="U625" t="s">
        <v>2874</v>
      </c>
      <c r="V625" t="s">
        <v>2871</v>
      </c>
      <c r="W625" t="s">
        <v>80</v>
      </c>
      <c r="X625" t="s">
        <v>2875</v>
      </c>
      <c r="Y625">
        <v>1</v>
      </c>
      <c r="Z625">
        <v>2512</v>
      </c>
    </row>
    <row r="626" spans="1:26">
      <c r="A626" s="1">
        <v>624</v>
      </c>
      <c r="B626" t="str">
        <f>HYPERLINK("https://bugs.eclipse.org/bugs/show_bug.cgi?id=24790", "24790")</f>
        <v>24790</v>
      </c>
      <c r="C626" t="s">
        <v>149</v>
      </c>
      <c r="D626" t="s">
        <v>10</v>
      </c>
      <c r="E626" t="s">
        <v>12</v>
      </c>
      <c r="F626" t="s">
        <v>150</v>
      </c>
      <c r="L626" t="s">
        <v>2876</v>
      </c>
      <c r="N626" t="s">
        <v>2876</v>
      </c>
      <c r="T626" t="s">
        <v>2877</v>
      </c>
      <c r="U626" t="s">
        <v>2878</v>
      </c>
      <c r="V626" t="s">
        <v>2879</v>
      </c>
      <c r="W626" t="s">
        <v>60</v>
      </c>
      <c r="X626" t="s">
        <v>2880</v>
      </c>
      <c r="Y626">
        <v>0</v>
      </c>
      <c r="Z626">
        <v>2</v>
      </c>
    </row>
    <row r="627" spans="1:26">
      <c r="A627" s="1">
        <v>625</v>
      </c>
      <c r="B627" t="str">
        <f>HYPERLINK("https://bugs.eclipse.org/bugs/show_bug.cgi?id=24808", "24808")</f>
        <v>24808</v>
      </c>
      <c r="C627" t="s">
        <v>35</v>
      </c>
      <c r="D627" t="s">
        <v>11</v>
      </c>
      <c r="E627" t="s">
        <v>12</v>
      </c>
      <c r="F627" t="s">
        <v>26</v>
      </c>
      <c r="L627" t="s">
        <v>2881</v>
      </c>
      <c r="M627" t="s">
        <v>2882</v>
      </c>
      <c r="N627" t="s">
        <v>2881</v>
      </c>
      <c r="T627" t="s">
        <v>2883</v>
      </c>
      <c r="U627" t="s">
        <v>2884</v>
      </c>
      <c r="V627" t="s">
        <v>2882</v>
      </c>
      <c r="W627" t="s">
        <v>86</v>
      </c>
      <c r="X627" t="s">
        <v>2885</v>
      </c>
      <c r="Y627">
        <v>1</v>
      </c>
      <c r="Z627">
        <v>30.041666666666671</v>
      </c>
    </row>
    <row r="628" spans="1:26">
      <c r="A628" s="1">
        <v>626</v>
      </c>
      <c r="B628" t="str">
        <f>HYPERLINK("https://bugs.eclipse.org/bugs/show_bug.cgi?id=24827", "24827")</f>
        <v>24827</v>
      </c>
      <c r="C628" t="s">
        <v>2886</v>
      </c>
      <c r="D628" t="s">
        <v>10</v>
      </c>
      <c r="E628" t="s">
        <v>15</v>
      </c>
      <c r="F628" t="s">
        <v>26</v>
      </c>
      <c r="L628" t="s">
        <v>1282</v>
      </c>
      <c r="Q628" t="s">
        <v>1282</v>
      </c>
      <c r="T628" t="s">
        <v>2887</v>
      </c>
      <c r="U628" t="s">
        <v>2888</v>
      </c>
      <c r="V628" t="s">
        <v>1282</v>
      </c>
      <c r="W628" t="s">
        <v>86</v>
      </c>
      <c r="X628" t="s">
        <v>2889</v>
      </c>
      <c r="Y628">
        <v>0</v>
      </c>
      <c r="Z628">
        <v>21.041666666666671</v>
      </c>
    </row>
    <row r="629" spans="1:26">
      <c r="A629" s="1">
        <v>627</v>
      </c>
      <c r="B629" t="str">
        <f>HYPERLINK("https://bugs.eclipse.org/bugs/show_bug.cgi?id=24841", "24841")</f>
        <v>24841</v>
      </c>
      <c r="C629" t="s">
        <v>35</v>
      </c>
      <c r="D629" t="s">
        <v>11</v>
      </c>
      <c r="E629" t="s">
        <v>12</v>
      </c>
      <c r="F629" t="s">
        <v>26</v>
      </c>
      <c r="L629" t="s">
        <v>2890</v>
      </c>
      <c r="M629" t="s">
        <v>2891</v>
      </c>
      <c r="N629" t="s">
        <v>2890</v>
      </c>
      <c r="T629" t="s">
        <v>2892</v>
      </c>
      <c r="U629" t="s">
        <v>2893</v>
      </c>
      <c r="V629" t="s">
        <v>2891</v>
      </c>
      <c r="W629" t="s">
        <v>86</v>
      </c>
      <c r="X629" t="s">
        <v>2894</v>
      </c>
      <c r="Y629">
        <v>0</v>
      </c>
      <c r="Z629">
        <v>29.041666666666671</v>
      </c>
    </row>
    <row r="630" spans="1:26">
      <c r="A630" s="1">
        <v>628</v>
      </c>
      <c r="B630" t="str">
        <f>HYPERLINK("https://bugs.eclipse.org/bugs/show_bug.cgi?id=24892", "24892")</f>
        <v>24892</v>
      </c>
      <c r="C630" t="s">
        <v>149</v>
      </c>
      <c r="D630" t="s">
        <v>10</v>
      </c>
      <c r="E630" t="s">
        <v>12</v>
      </c>
      <c r="F630" t="s">
        <v>26</v>
      </c>
      <c r="L630" t="s">
        <v>2895</v>
      </c>
      <c r="N630" t="s">
        <v>2895</v>
      </c>
      <c r="T630" t="s">
        <v>2896</v>
      </c>
      <c r="U630" t="s">
        <v>2895</v>
      </c>
      <c r="V630" t="s">
        <v>2895</v>
      </c>
      <c r="W630" t="s">
        <v>86</v>
      </c>
      <c r="X630" t="s">
        <v>2897</v>
      </c>
      <c r="Y630">
        <v>36.041666666666657</v>
      </c>
      <c r="Z630">
        <v>36.041666666666657</v>
      </c>
    </row>
    <row r="631" spans="1:26">
      <c r="A631" s="1">
        <v>629</v>
      </c>
      <c r="B631" t="str">
        <f>HYPERLINK("https://bugs.eclipse.org/bugs/show_bug.cgi?id=24902", "24902")</f>
        <v>24902</v>
      </c>
      <c r="C631" t="s">
        <v>35</v>
      </c>
      <c r="D631" t="s">
        <v>11</v>
      </c>
      <c r="E631" t="s">
        <v>12</v>
      </c>
      <c r="F631" t="s">
        <v>150</v>
      </c>
      <c r="L631" t="s">
        <v>2898</v>
      </c>
      <c r="M631" t="s">
        <v>2899</v>
      </c>
      <c r="N631" t="s">
        <v>2898</v>
      </c>
      <c r="T631" t="s">
        <v>2900</v>
      </c>
      <c r="U631" t="s">
        <v>2901</v>
      </c>
      <c r="V631" t="s">
        <v>2899</v>
      </c>
      <c r="W631" t="s">
        <v>283</v>
      </c>
      <c r="X631" t="s">
        <v>2902</v>
      </c>
      <c r="Y631">
        <v>4</v>
      </c>
      <c r="Z631">
        <v>28.041666666666671</v>
      </c>
    </row>
    <row r="632" spans="1:26">
      <c r="A632" s="1">
        <v>630</v>
      </c>
      <c r="B632" t="str">
        <f>HYPERLINK("https://bugs.eclipse.org/bugs/show_bug.cgi?id=24904", "24904")</f>
        <v>24904</v>
      </c>
      <c r="C632" t="s">
        <v>149</v>
      </c>
      <c r="D632" t="s">
        <v>10</v>
      </c>
      <c r="E632" t="s">
        <v>12</v>
      </c>
      <c r="F632" t="s">
        <v>26</v>
      </c>
      <c r="L632" t="s">
        <v>2903</v>
      </c>
      <c r="N632" t="s">
        <v>2903</v>
      </c>
      <c r="S632" t="s">
        <v>2904</v>
      </c>
      <c r="T632" t="s">
        <v>2905</v>
      </c>
      <c r="U632" t="s">
        <v>2906</v>
      </c>
      <c r="V632" t="s">
        <v>2903</v>
      </c>
      <c r="W632" t="s">
        <v>60</v>
      </c>
      <c r="X632" t="s">
        <v>2907</v>
      </c>
      <c r="Y632">
        <v>4</v>
      </c>
      <c r="Z632">
        <v>174</v>
      </c>
    </row>
    <row r="633" spans="1:26">
      <c r="A633" s="1">
        <v>631</v>
      </c>
      <c r="B633" t="str">
        <f>HYPERLINK("https://bugs.eclipse.org/bugs/show_bug.cgi?id=24907", "24907")</f>
        <v>24907</v>
      </c>
      <c r="C633" t="s">
        <v>149</v>
      </c>
      <c r="D633" t="s">
        <v>10</v>
      </c>
      <c r="E633" t="s">
        <v>12</v>
      </c>
      <c r="F633" t="s">
        <v>26</v>
      </c>
      <c r="L633" t="s">
        <v>2908</v>
      </c>
      <c r="N633" t="s">
        <v>2908</v>
      </c>
      <c r="S633" t="s">
        <v>2909</v>
      </c>
      <c r="T633" t="s">
        <v>2910</v>
      </c>
      <c r="U633" t="s">
        <v>2911</v>
      </c>
      <c r="V633" t="s">
        <v>2908</v>
      </c>
      <c r="W633" t="s">
        <v>86</v>
      </c>
      <c r="X633" t="s">
        <v>2912</v>
      </c>
      <c r="Y633">
        <v>4</v>
      </c>
      <c r="Z633">
        <v>666</v>
      </c>
    </row>
    <row r="634" spans="1:26">
      <c r="A634" s="1">
        <v>632</v>
      </c>
      <c r="B634" t="str">
        <f>HYPERLINK("https://bugs.eclipse.org/bugs/show_bug.cgi?id=24908", "24908")</f>
        <v>24908</v>
      </c>
      <c r="C634" t="s">
        <v>35</v>
      </c>
      <c r="D634" t="s">
        <v>11</v>
      </c>
      <c r="E634" t="s">
        <v>12</v>
      </c>
      <c r="F634" t="s">
        <v>26</v>
      </c>
      <c r="L634" t="s">
        <v>2913</v>
      </c>
      <c r="M634" t="s">
        <v>2914</v>
      </c>
      <c r="N634" t="s">
        <v>2913</v>
      </c>
      <c r="T634" t="s">
        <v>2915</v>
      </c>
      <c r="U634" t="s">
        <v>2916</v>
      </c>
      <c r="V634" t="s">
        <v>2914</v>
      </c>
      <c r="W634" t="s">
        <v>283</v>
      </c>
      <c r="X634" t="s">
        <v>2917</v>
      </c>
      <c r="Y634">
        <v>4</v>
      </c>
      <c r="Z634">
        <v>28.041666666666671</v>
      </c>
    </row>
    <row r="635" spans="1:26">
      <c r="A635" s="1">
        <v>633</v>
      </c>
      <c r="B635" t="str">
        <f>HYPERLINK("https://bugs.eclipse.org/bugs/show_bug.cgi?id=24911", "24911")</f>
        <v>24911</v>
      </c>
      <c r="C635" t="s">
        <v>35</v>
      </c>
      <c r="D635" t="s">
        <v>11</v>
      </c>
      <c r="E635" t="s">
        <v>12</v>
      </c>
      <c r="F635" t="s">
        <v>145</v>
      </c>
      <c r="L635" t="s">
        <v>2918</v>
      </c>
      <c r="M635" t="s">
        <v>2919</v>
      </c>
      <c r="N635" t="s">
        <v>2918</v>
      </c>
      <c r="T635" t="s">
        <v>2920</v>
      </c>
      <c r="U635" t="s">
        <v>2921</v>
      </c>
      <c r="V635" t="s">
        <v>2919</v>
      </c>
      <c r="W635" t="s">
        <v>60</v>
      </c>
      <c r="X635" t="s">
        <v>2922</v>
      </c>
      <c r="Y635">
        <v>4</v>
      </c>
      <c r="Z635">
        <v>28.041666666666671</v>
      </c>
    </row>
    <row r="636" spans="1:26">
      <c r="A636" s="1">
        <v>634</v>
      </c>
      <c r="B636" t="str">
        <f>HYPERLINK("https://bugs.eclipse.org/bugs/show_bug.cgi?id=24912", "24912")</f>
        <v>24912</v>
      </c>
      <c r="C636" t="s">
        <v>149</v>
      </c>
      <c r="D636" t="s">
        <v>10</v>
      </c>
      <c r="E636" t="s">
        <v>12</v>
      </c>
      <c r="F636" t="s">
        <v>26</v>
      </c>
      <c r="L636" t="s">
        <v>2923</v>
      </c>
      <c r="N636" t="s">
        <v>2923</v>
      </c>
      <c r="T636" t="s">
        <v>2924</v>
      </c>
      <c r="U636" t="s">
        <v>2925</v>
      </c>
      <c r="V636" t="s">
        <v>2923</v>
      </c>
      <c r="W636" t="s">
        <v>86</v>
      </c>
      <c r="X636" t="s">
        <v>2926</v>
      </c>
      <c r="Y636">
        <v>4</v>
      </c>
      <c r="Z636">
        <v>67.041666666666671</v>
      </c>
    </row>
    <row r="637" spans="1:26">
      <c r="A637" s="1">
        <v>635</v>
      </c>
      <c r="B637" t="str">
        <f>HYPERLINK("https://bugs.eclipse.org/bugs/show_bug.cgi?id=24914", "24914")</f>
        <v>24914</v>
      </c>
      <c r="C637" t="s">
        <v>149</v>
      </c>
      <c r="D637" t="s">
        <v>10</v>
      </c>
      <c r="E637" t="s">
        <v>12</v>
      </c>
      <c r="F637" t="s">
        <v>150</v>
      </c>
      <c r="L637" t="s">
        <v>2927</v>
      </c>
      <c r="N637" t="s">
        <v>2927</v>
      </c>
      <c r="T637" t="s">
        <v>2928</v>
      </c>
      <c r="U637" t="s">
        <v>2929</v>
      </c>
      <c r="V637" t="s">
        <v>2930</v>
      </c>
      <c r="W637" t="s">
        <v>86</v>
      </c>
      <c r="X637" t="s">
        <v>2931</v>
      </c>
      <c r="Y637">
        <v>4</v>
      </c>
      <c r="Z637">
        <v>119.0416666666667</v>
      </c>
    </row>
    <row r="638" spans="1:26">
      <c r="A638" s="1">
        <v>636</v>
      </c>
      <c r="B638" t="str">
        <f>HYPERLINK("https://bugs.eclipse.org/bugs/show_bug.cgi?id=24915", "24915")</f>
        <v>24915</v>
      </c>
      <c r="C638" t="s">
        <v>35</v>
      </c>
      <c r="D638" t="s">
        <v>11</v>
      </c>
      <c r="E638" t="s">
        <v>12</v>
      </c>
      <c r="F638" t="s">
        <v>150</v>
      </c>
      <c r="L638" t="s">
        <v>2932</v>
      </c>
      <c r="M638" t="s">
        <v>2933</v>
      </c>
      <c r="N638" t="s">
        <v>2932</v>
      </c>
      <c r="T638" t="s">
        <v>2934</v>
      </c>
      <c r="U638" t="s">
        <v>2935</v>
      </c>
      <c r="V638" t="s">
        <v>2933</v>
      </c>
      <c r="W638" t="s">
        <v>86</v>
      </c>
      <c r="X638" t="s">
        <v>2936</v>
      </c>
      <c r="Y638">
        <v>0</v>
      </c>
      <c r="Z638">
        <v>28.041666666666671</v>
      </c>
    </row>
    <row r="639" spans="1:26">
      <c r="A639" s="1">
        <v>637</v>
      </c>
      <c r="B639" t="str">
        <f>HYPERLINK("https://bugs.eclipse.org/bugs/show_bug.cgi?id=24921", "24921")</f>
        <v>24921</v>
      </c>
      <c r="C639" t="s">
        <v>56</v>
      </c>
      <c r="D639" t="s">
        <v>10</v>
      </c>
      <c r="E639" t="s">
        <v>14</v>
      </c>
      <c r="F639" t="s">
        <v>51</v>
      </c>
      <c r="L639" t="s">
        <v>2937</v>
      </c>
      <c r="P639" t="s">
        <v>2938</v>
      </c>
      <c r="T639" t="s">
        <v>2939</v>
      </c>
      <c r="U639" t="s">
        <v>2940</v>
      </c>
      <c r="V639" t="s">
        <v>2938</v>
      </c>
      <c r="W639" t="s">
        <v>80</v>
      </c>
      <c r="X639" t="s">
        <v>2941</v>
      </c>
      <c r="Y639">
        <v>4</v>
      </c>
      <c r="Z639">
        <v>2509</v>
      </c>
    </row>
    <row r="640" spans="1:26">
      <c r="A640" s="1">
        <v>638</v>
      </c>
      <c r="B640" t="str">
        <f>HYPERLINK("https://bugs.eclipse.org/bugs/show_bug.cgi?id=24931", "24931")</f>
        <v>24931</v>
      </c>
      <c r="C640" t="s">
        <v>149</v>
      </c>
      <c r="D640" t="s">
        <v>10</v>
      </c>
      <c r="E640" t="s">
        <v>12</v>
      </c>
      <c r="F640" t="s">
        <v>26</v>
      </c>
      <c r="L640" t="s">
        <v>2942</v>
      </c>
      <c r="N640" t="s">
        <v>2942</v>
      </c>
      <c r="T640" t="s">
        <v>2943</v>
      </c>
      <c r="U640" t="s">
        <v>2944</v>
      </c>
      <c r="V640" t="s">
        <v>2945</v>
      </c>
      <c r="W640" t="s">
        <v>86</v>
      </c>
      <c r="X640" t="s">
        <v>2946</v>
      </c>
      <c r="Y640">
        <v>0</v>
      </c>
      <c r="Z640">
        <v>67.041666666666671</v>
      </c>
    </row>
    <row r="641" spans="1:26">
      <c r="A641" s="1">
        <v>639</v>
      </c>
      <c r="B641" t="str">
        <f>HYPERLINK("https://bugs.eclipse.org/bugs/show_bug.cgi?id=24936", "24936")</f>
        <v>24936</v>
      </c>
      <c r="C641" t="s">
        <v>56</v>
      </c>
      <c r="D641" t="s">
        <v>10</v>
      </c>
      <c r="E641" t="s">
        <v>14</v>
      </c>
      <c r="F641" t="s">
        <v>26</v>
      </c>
      <c r="L641" t="s">
        <v>2947</v>
      </c>
      <c r="P641" t="s">
        <v>2947</v>
      </c>
      <c r="S641" t="s">
        <v>2948</v>
      </c>
      <c r="T641" t="s">
        <v>2949</v>
      </c>
      <c r="U641" t="s">
        <v>2950</v>
      </c>
      <c r="V641" t="s">
        <v>2947</v>
      </c>
      <c r="W641" t="s">
        <v>86</v>
      </c>
      <c r="X641" t="s">
        <v>2951</v>
      </c>
      <c r="Y641">
        <v>4</v>
      </c>
      <c r="Z641">
        <v>190</v>
      </c>
    </row>
    <row r="642" spans="1:26">
      <c r="A642" s="1">
        <v>640</v>
      </c>
      <c r="B642" t="str">
        <f>HYPERLINK("https://bugs.eclipse.org/bugs/show_bug.cgi?id=24937", "24937")</f>
        <v>24937</v>
      </c>
      <c r="C642" t="s">
        <v>35</v>
      </c>
      <c r="D642" t="s">
        <v>11</v>
      </c>
      <c r="E642" t="s">
        <v>12</v>
      </c>
      <c r="F642" t="s">
        <v>26</v>
      </c>
      <c r="L642" t="s">
        <v>2952</v>
      </c>
      <c r="M642" t="s">
        <v>2953</v>
      </c>
      <c r="N642" t="s">
        <v>2952</v>
      </c>
      <c r="T642" t="s">
        <v>2954</v>
      </c>
      <c r="U642" t="s">
        <v>2955</v>
      </c>
      <c r="V642" t="s">
        <v>2953</v>
      </c>
      <c r="W642" t="s">
        <v>60</v>
      </c>
      <c r="X642" t="s">
        <v>2956</v>
      </c>
      <c r="Y642">
        <v>4</v>
      </c>
      <c r="Z642">
        <v>28.041666666666671</v>
      </c>
    </row>
    <row r="643" spans="1:26">
      <c r="A643" s="1">
        <v>641</v>
      </c>
      <c r="B643" t="str">
        <f>HYPERLINK("https://bugs.eclipse.org/bugs/show_bug.cgi?id=24941", "24941")</f>
        <v>24941</v>
      </c>
      <c r="C643" t="s">
        <v>149</v>
      </c>
      <c r="D643" t="s">
        <v>10</v>
      </c>
      <c r="E643" t="s">
        <v>12</v>
      </c>
      <c r="F643" t="s">
        <v>26</v>
      </c>
      <c r="L643" t="s">
        <v>2957</v>
      </c>
      <c r="N643" t="s">
        <v>2957</v>
      </c>
      <c r="T643" t="s">
        <v>2958</v>
      </c>
      <c r="U643" t="s">
        <v>2959</v>
      </c>
      <c r="V643" t="s">
        <v>2960</v>
      </c>
      <c r="W643" t="s">
        <v>851</v>
      </c>
      <c r="X643" t="s">
        <v>2961</v>
      </c>
      <c r="Y643">
        <v>4</v>
      </c>
      <c r="Z643">
        <v>4208</v>
      </c>
    </row>
    <row r="644" spans="1:26">
      <c r="A644" s="1">
        <v>642</v>
      </c>
      <c r="B644" t="str">
        <f>HYPERLINK("https://bugs.eclipse.org/bugs/show_bug.cgi?id=24944", "24944")</f>
        <v>24944</v>
      </c>
      <c r="C644" t="s">
        <v>35</v>
      </c>
      <c r="D644" t="s">
        <v>11</v>
      </c>
      <c r="E644" t="s">
        <v>12</v>
      </c>
      <c r="F644" t="s">
        <v>26</v>
      </c>
      <c r="L644" t="s">
        <v>2962</v>
      </c>
      <c r="M644" t="s">
        <v>2963</v>
      </c>
      <c r="N644" t="s">
        <v>2962</v>
      </c>
      <c r="T644" t="s">
        <v>2964</v>
      </c>
      <c r="U644" t="s">
        <v>2965</v>
      </c>
      <c r="V644" t="s">
        <v>2963</v>
      </c>
      <c r="W644" t="s">
        <v>283</v>
      </c>
      <c r="X644" t="s">
        <v>2966</v>
      </c>
      <c r="Y644">
        <v>0</v>
      </c>
      <c r="Z644">
        <v>28.041666666666671</v>
      </c>
    </row>
    <row r="645" spans="1:26">
      <c r="A645" s="1">
        <v>643</v>
      </c>
      <c r="B645" t="str">
        <f>HYPERLINK("https://bugs.eclipse.org/bugs/show_bug.cgi?id=24947", "24947")</f>
        <v>24947</v>
      </c>
      <c r="C645" t="s">
        <v>56</v>
      </c>
      <c r="D645" t="s">
        <v>10</v>
      </c>
      <c r="E645" t="s">
        <v>14</v>
      </c>
      <c r="F645" t="s">
        <v>26</v>
      </c>
      <c r="L645" t="s">
        <v>2967</v>
      </c>
      <c r="P645" t="s">
        <v>2967</v>
      </c>
      <c r="T645" t="s">
        <v>2968</v>
      </c>
      <c r="U645" t="s">
        <v>2969</v>
      </c>
      <c r="V645" t="s">
        <v>2970</v>
      </c>
      <c r="W645" t="s">
        <v>2971</v>
      </c>
      <c r="X645" t="s">
        <v>2972</v>
      </c>
      <c r="Y645">
        <v>0</v>
      </c>
      <c r="Z645">
        <v>27.041666666666671</v>
      </c>
    </row>
    <row r="646" spans="1:26">
      <c r="A646" s="1">
        <v>644</v>
      </c>
      <c r="B646" t="str">
        <f>HYPERLINK("https://bugs.eclipse.org/bugs/show_bug.cgi?id=24953", "24953")</f>
        <v>24953</v>
      </c>
      <c r="C646" t="s">
        <v>56</v>
      </c>
      <c r="D646" t="s">
        <v>10</v>
      </c>
      <c r="E646" t="s">
        <v>14</v>
      </c>
      <c r="F646" t="s">
        <v>26</v>
      </c>
      <c r="L646" t="s">
        <v>2973</v>
      </c>
      <c r="P646" t="s">
        <v>2974</v>
      </c>
      <c r="T646" t="s">
        <v>2975</v>
      </c>
      <c r="U646" t="s">
        <v>2976</v>
      </c>
      <c r="V646" t="s">
        <v>2974</v>
      </c>
      <c r="W646" t="s">
        <v>80</v>
      </c>
      <c r="X646" t="s">
        <v>2977</v>
      </c>
      <c r="Y646">
        <v>0</v>
      </c>
      <c r="Z646">
        <v>2509</v>
      </c>
    </row>
    <row r="647" spans="1:26">
      <c r="A647" s="1">
        <v>645</v>
      </c>
      <c r="B647" t="str">
        <f>HYPERLINK("https://bugs.eclipse.org/bugs/show_bug.cgi?id=24954", "24954")</f>
        <v>24954</v>
      </c>
      <c r="C647" t="s">
        <v>149</v>
      </c>
      <c r="D647" t="s">
        <v>10</v>
      </c>
      <c r="E647" t="s">
        <v>12</v>
      </c>
      <c r="F647" t="s">
        <v>26</v>
      </c>
      <c r="L647" t="s">
        <v>2978</v>
      </c>
      <c r="N647" t="s">
        <v>2978</v>
      </c>
      <c r="T647" t="s">
        <v>2979</v>
      </c>
      <c r="U647" t="s">
        <v>2980</v>
      </c>
      <c r="V647" t="s">
        <v>2978</v>
      </c>
      <c r="W647" t="s">
        <v>86</v>
      </c>
      <c r="X647" t="s">
        <v>2981</v>
      </c>
      <c r="Y647">
        <v>0</v>
      </c>
      <c r="Z647">
        <v>157.04166666666671</v>
      </c>
    </row>
    <row r="648" spans="1:26">
      <c r="A648" s="1">
        <v>646</v>
      </c>
      <c r="B648" t="str">
        <f>HYPERLINK("https://bugs.eclipse.org/bugs/show_bug.cgi?id=24960", "24960")</f>
        <v>24960</v>
      </c>
      <c r="C648" t="s">
        <v>56</v>
      </c>
      <c r="D648" t="s">
        <v>10</v>
      </c>
      <c r="E648" t="s">
        <v>14</v>
      </c>
      <c r="F648" t="s">
        <v>26</v>
      </c>
      <c r="L648" t="s">
        <v>2982</v>
      </c>
      <c r="P648" t="s">
        <v>73</v>
      </c>
      <c r="T648" t="s">
        <v>2983</v>
      </c>
      <c r="U648" t="s">
        <v>2984</v>
      </c>
      <c r="V648" t="s">
        <v>73</v>
      </c>
      <c r="W648" t="s">
        <v>75</v>
      </c>
      <c r="X648" t="s">
        <v>2985</v>
      </c>
      <c r="Y648">
        <v>0</v>
      </c>
      <c r="Z648">
        <v>2509</v>
      </c>
    </row>
    <row r="649" spans="1:26">
      <c r="A649" s="1">
        <v>647</v>
      </c>
      <c r="B649" t="str">
        <f>HYPERLINK("https://bugs.eclipse.org/bugs/show_bug.cgi?id=24964", "24964")</f>
        <v>24964</v>
      </c>
      <c r="C649" t="s">
        <v>88</v>
      </c>
      <c r="D649" t="s">
        <v>10</v>
      </c>
      <c r="E649" t="s">
        <v>13</v>
      </c>
      <c r="F649" t="s">
        <v>26</v>
      </c>
      <c r="L649" t="s">
        <v>2986</v>
      </c>
      <c r="O649" t="s">
        <v>2986</v>
      </c>
      <c r="T649" t="s">
        <v>2987</v>
      </c>
      <c r="U649" t="s">
        <v>2988</v>
      </c>
      <c r="V649" t="s">
        <v>2986</v>
      </c>
      <c r="W649" t="s">
        <v>2971</v>
      </c>
      <c r="X649" t="s">
        <v>2989</v>
      </c>
      <c r="Y649">
        <v>0</v>
      </c>
      <c r="Z649">
        <v>0</v>
      </c>
    </row>
    <row r="650" spans="1:26">
      <c r="A650" s="1">
        <v>648</v>
      </c>
      <c r="B650" t="str">
        <f>HYPERLINK("https://bugs.eclipse.org/bugs/show_bug.cgi?id=24968", "24968")</f>
        <v>24968</v>
      </c>
      <c r="C650" t="s">
        <v>149</v>
      </c>
      <c r="D650" t="s">
        <v>10</v>
      </c>
      <c r="E650" t="s">
        <v>12</v>
      </c>
      <c r="F650" t="s">
        <v>26</v>
      </c>
      <c r="L650" t="s">
        <v>2990</v>
      </c>
      <c r="N650" t="s">
        <v>2990</v>
      </c>
      <c r="T650" t="s">
        <v>2991</v>
      </c>
      <c r="U650" t="s">
        <v>2992</v>
      </c>
      <c r="V650" t="s">
        <v>2993</v>
      </c>
      <c r="W650" t="s">
        <v>2971</v>
      </c>
      <c r="X650" t="s">
        <v>2994</v>
      </c>
      <c r="Y650">
        <v>0</v>
      </c>
      <c r="Z650">
        <v>27.041666666666671</v>
      </c>
    </row>
    <row r="651" spans="1:26">
      <c r="A651" s="1">
        <v>649</v>
      </c>
      <c r="B651" t="str">
        <f>HYPERLINK("https://bugs.eclipse.org/bugs/show_bug.cgi?id=24972", "24972")</f>
        <v>24972</v>
      </c>
      <c r="C651" t="s">
        <v>149</v>
      </c>
      <c r="D651" t="s">
        <v>10</v>
      </c>
      <c r="E651" t="s">
        <v>12</v>
      </c>
      <c r="F651" t="s">
        <v>26</v>
      </c>
      <c r="L651" t="s">
        <v>2995</v>
      </c>
      <c r="N651" t="s">
        <v>2995</v>
      </c>
      <c r="T651" t="s">
        <v>2996</v>
      </c>
      <c r="U651" t="s">
        <v>2997</v>
      </c>
      <c r="V651" t="s">
        <v>2998</v>
      </c>
      <c r="W651" t="s">
        <v>60</v>
      </c>
      <c r="X651" t="s">
        <v>2999</v>
      </c>
      <c r="Y651">
        <v>0</v>
      </c>
      <c r="Z651">
        <v>176</v>
      </c>
    </row>
    <row r="652" spans="1:26">
      <c r="A652" s="1">
        <v>650</v>
      </c>
      <c r="B652" t="str">
        <f>HYPERLINK("https://bugs.eclipse.org/bugs/show_bug.cgi?id=24996", "24996")</f>
        <v>24996</v>
      </c>
      <c r="C652" t="s">
        <v>35</v>
      </c>
      <c r="D652" t="s">
        <v>11</v>
      </c>
      <c r="E652" t="s">
        <v>12</v>
      </c>
      <c r="F652" t="s">
        <v>26</v>
      </c>
      <c r="L652" t="s">
        <v>3000</v>
      </c>
      <c r="M652" t="s">
        <v>3001</v>
      </c>
      <c r="N652" t="s">
        <v>3000</v>
      </c>
      <c r="T652" t="s">
        <v>3002</v>
      </c>
      <c r="U652" t="s">
        <v>3003</v>
      </c>
      <c r="V652" t="s">
        <v>3001</v>
      </c>
      <c r="W652" t="s">
        <v>60</v>
      </c>
      <c r="X652" t="s">
        <v>3004</v>
      </c>
      <c r="Y652">
        <v>0</v>
      </c>
      <c r="Z652">
        <v>28.041666666666671</v>
      </c>
    </row>
    <row r="653" spans="1:26">
      <c r="A653" s="1">
        <v>651</v>
      </c>
      <c r="B653" t="str">
        <f>HYPERLINK("https://bugs.eclipse.org/bugs/show_bug.cgi?id=25020", "25020")</f>
        <v>25020</v>
      </c>
      <c r="C653" t="s">
        <v>149</v>
      </c>
      <c r="D653" t="s">
        <v>10</v>
      </c>
      <c r="E653" t="s">
        <v>12</v>
      </c>
      <c r="F653" t="s">
        <v>26</v>
      </c>
      <c r="L653" t="s">
        <v>3005</v>
      </c>
      <c r="N653" t="s">
        <v>3005</v>
      </c>
      <c r="T653" t="s">
        <v>3006</v>
      </c>
      <c r="U653" t="s">
        <v>3007</v>
      </c>
      <c r="V653" t="s">
        <v>3005</v>
      </c>
      <c r="W653" t="s">
        <v>60</v>
      </c>
      <c r="X653" t="s">
        <v>3008</v>
      </c>
      <c r="Y653">
        <v>0</v>
      </c>
      <c r="Z653">
        <v>62.041666666666657</v>
      </c>
    </row>
    <row r="654" spans="1:26">
      <c r="A654" s="1">
        <v>652</v>
      </c>
      <c r="B654" t="str">
        <f>HYPERLINK("https://bugs.eclipse.org/bugs/show_bug.cgi?id=25097", "25097")</f>
        <v>25097</v>
      </c>
      <c r="C654" t="s">
        <v>25</v>
      </c>
      <c r="D654" t="s">
        <v>25</v>
      </c>
      <c r="F654" t="s">
        <v>460</v>
      </c>
      <c r="G654" t="s">
        <v>3009</v>
      </c>
      <c r="L654" t="s">
        <v>3010</v>
      </c>
      <c r="P654" t="s">
        <v>3011</v>
      </c>
      <c r="S654" t="s">
        <v>3012</v>
      </c>
      <c r="T654" t="s">
        <v>3013</v>
      </c>
      <c r="U654" t="s">
        <v>3014</v>
      </c>
      <c r="V654" t="s">
        <v>3015</v>
      </c>
      <c r="W654" t="s">
        <v>3016</v>
      </c>
      <c r="X654" t="s">
        <v>3017</v>
      </c>
      <c r="Y654">
        <v>2</v>
      </c>
    </row>
    <row r="655" spans="1:26">
      <c r="A655" s="1">
        <v>653</v>
      </c>
      <c r="B655" t="str">
        <f>HYPERLINK("https://bugs.eclipse.org/bugs/show_bug.cgi?id=25125", "25125")</f>
        <v>25125</v>
      </c>
      <c r="C655" t="s">
        <v>149</v>
      </c>
      <c r="D655" t="s">
        <v>10</v>
      </c>
      <c r="E655" t="s">
        <v>12</v>
      </c>
      <c r="F655" t="s">
        <v>150</v>
      </c>
      <c r="H655" t="s">
        <v>3018</v>
      </c>
      <c r="L655" t="s">
        <v>3019</v>
      </c>
      <c r="N655" t="s">
        <v>3019</v>
      </c>
      <c r="S655" t="s">
        <v>3020</v>
      </c>
      <c r="T655" t="s">
        <v>3021</v>
      </c>
      <c r="U655" t="s">
        <v>3022</v>
      </c>
      <c r="V655" t="s">
        <v>3019</v>
      </c>
      <c r="W655" t="s">
        <v>60</v>
      </c>
      <c r="X655" t="s">
        <v>3023</v>
      </c>
      <c r="Y655">
        <v>7.041666666666667</v>
      </c>
      <c r="Z655">
        <v>115.0416666666667</v>
      </c>
    </row>
    <row r="656" spans="1:26">
      <c r="A656" s="1">
        <v>654</v>
      </c>
      <c r="B656" t="str">
        <f>HYPERLINK("https://bugs.eclipse.org/bugs/show_bug.cgi?id=25171", "25171")</f>
        <v>25171</v>
      </c>
      <c r="C656" t="s">
        <v>149</v>
      </c>
      <c r="D656" t="s">
        <v>10</v>
      </c>
      <c r="E656" t="s">
        <v>12</v>
      </c>
      <c r="F656" t="s">
        <v>150</v>
      </c>
      <c r="L656" t="s">
        <v>3024</v>
      </c>
      <c r="N656" t="s">
        <v>3024</v>
      </c>
      <c r="T656" t="s">
        <v>3025</v>
      </c>
      <c r="U656" t="s">
        <v>3026</v>
      </c>
      <c r="V656" t="s">
        <v>3024</v>
      </c>
      <c r="W656" t="s">
        <v>49</v>
      </c>
      <c r="X656" t="s">
        <v>3027</v>
      </c>
      <c r="Y656">
        <v>1</v>
      </c>
      <c r="Z656">
        <v>114.0416666666667</v>
      </c>
    </row>
    <row r="657" spans="1:26">
      <c r="A657" s="1">
        <v>655</v>
      </c>
      <c r="B657" t="str">
        <f>HYPERLINK("https://bugs.eclipse.org/bugs/show_bug.cgi?id=25177", "25177")</f>
        <v>25177</v>
      </c>
      <c r="C657" t="s">
        <v>35</v>
      </c>
      <c r="D657" t="s">
        <v>11</v>
      </c>
      <c r="E657" t="s">
        <v>12</v>
      </c>
      <c r="F657" t="s">
        <v>26</v>
      </c>
      <c r="G657" t="s">
        <v>3028</v>
      </c>
      <c r="L657" t="s">
        <v>3029</v>
      </c>
      <c r="M657" t="s">
        <v>3030</v>
      </c>
      <c r="N657" t="s">
        <v>3029</v>
      </c>
      <c r="T657" t="s">
        <v>3031</v>
      </c>
      <c r="U657" t="s">
        <v>3032</v>
      </c>
      <c r="V657" t="s">
        <v>3030</v>
      </c>
      <c r="W657" t="s">
        <v>49</v>
      </c>
      <c r="X657" t="s">
        <v>3033</v>
      </c>
      <c r="Y657">
        <v>1</v>
      </c>
      <c r="Z657">
        <v>23.041666666666671</v>
      </c>
    </row>
    <row r="658" spans="1:26">
      <c r="A658" s="1">
        <v>656</v>
      </c>
      <c r="B658" t="str">
        <f>HYPERLINK("https://bugs.eclipse.org/bugs/show_bug.cgi?id=25193", "25193")</f>
        <v>25193</v>
      </c>
      <c r="C658" t="s">
        <v>149</v>
      </c>
      <c r="D658" t="s">
        <v>10</v>
      </c>
      <c r="E658" t="s">
        <v>12</v>
      </c>
      <c r="F658" t="s">
        <v>26</v>
      </c>
      <c r="L658" t="s">
        <v>3034</v>
      </c>
      <c r="N658" t="s">
        <v>3034</v>
      </c>
      <c r="T658" t="s">
        <v>3035</v>
      </c>
      <c r="U658" t="s">
        <v>3036</v>
      </c>
      <c r="V658" t="s">
        <v>3034</v>
      </c>
      <c r="W658" t="s">
        <v>60</v>
      </c>
      <c r="X658" t="s">
        <v>3037</v>
      </c>
      <c r="Y658">
        <v>1</v>
      </c>
      <c r="Z658">
        <v>97.041666666666671</v>
      </c>
    </row>
    <row r="659" spans="1:26">
      <c r="A659" s="1">
        <v>657</v>
      </c>
      <c r="B659" t="str">
        <f>HYPERLINK("https://bugs.eclipse.org/bugs/show_bug.cgi?id=25249", "25249")</f>
        <v>25249</v>
      </c>
      <c r="C659" t="s">
        <v>56</v>
      </c>
      <c r="D659" t="s">
        <v>10</v>
      </c>
      <c r="E659" t="s">
        <v>14</v>
      </c>
      <c r="F659" t="s">
        <v>51</v>
      </c>
      <c r="L659" t="s">
        <v>3038</v>
      </c>
      <c r="P659" t="s">
        <v>3039</v>
      </c>
      <c r="T659" t="s">
        <v>3040</v>
      </c>
      <c r="U659" t="s">
        <v>3041</v>
      </c>
      <c r="V659" t="s">
        <v>3039</v>
      </c>
      <c r="W659" t="s">
        <v>75</v>
      </c>
      <c r="X659" t="s">
        <v>3042</v>
      </c>
      <c r="Y659">
        <v>0</v>
      </c>
      <c r="Z659">
        <v>2503</v>
      </c>
    </row>
    <row r="660" spans="1:26">
      <c r="A660" s="1">
        <v>658</v>
      </c>
      <c r="B660" t="str">
        <f>HYPERLINK("https://bugs.eclipse.org/bugs/show_bug.cgi?id=25294", "25294")</f>
        <v>25294</v>
      </c>
      <c r="C660" t="s">
        <v>56</v>
      </c>
      <c r="D660" t="s">
        <v>10</v>
      </c>
      <c r="E660" t="s">
        <v>14</v>
      </c>
      <c r="F660" t="s">
        <v>460</v>
      </c>
      <c r="L660" t="s">
        <v>3043</v>
      </c>
      <c r="P660" t="s">
        <v>3044</v>
      </c>
      <c r="T660" t="s">
        <v>3045</v>
      </c>
      <c r="U660" t="s">
        <v>3046</v>
      </c>
      <c r="V660" t="s">
        <v>3044</v>
      </c>
      <c r="W660" t="s">
        <v>75</v>
      </c>
      <c r="X660" t="s">
        <v>3047</v>
      </c>
      <c r="Y660">
        <v>0</v>
      </c>
      <c r="Z660">
        <v>2502</v>
      </c>
    </row>
    <row r="661" spans="1:26">
      <c r="A661" s="1">
        <v>659</v>
      </c>
      <c r="B661" t="str">
        <f>HYPERLINK("https://bugs.eclipse.org/bugs/show_bug.cgi?id=25309", "25309")</f>
        <v>25309</v>
      </c>
      <c r="C661" t="s">
        <v>149</v>
      </c>
      <c r="D661" t="s">
        <v>10</v>
      </c>
      <c r="E661" t="s">
        <v>12</v>
      </c>
      <c r="F661" t="s">
        <v>26</v>
      </c>
      <c r="G661" t="s">
        <v>2620</v>
      </c>
      <c r="L661" t="s">
        <v>3048</v>
      </c>
      <c r="N661" t="s">
        <v>3048</v>
      </c>
      <c r="S661" t="s">
        <v>3049</v>
      </c>
      <c r="T661" t="s">
        <v>3050</v>
      </c>
      <c r="U661" t="s">
        <v>3051</v>
      </c>
      <c r="V661" t="s">
        <v>3048</v>
      </c>
      <c r="W661" t="s">
        <v>86</v>
      </c>
      <c r="X661" t="s">
        <v>3052</v>
      </c>
      <c r="Y661">
        <v>0</v>
      </c>
      <c r="Z661">
        <v>659</v>
      </c>
    </row>
    <row r="662" spans="1:26">
      <c r="A662" s="1">
        <v>660</v>
      </c>
      <c r="B662" t="str">
        <f>HYPERLINK("https://bugs.eclipse.org/bugs/show_bug.cgi?id=25324", "25324")</f>
        <v>25324</v>
      </c>
      <c r="C662" t="s">
        <v>149</v>
      </c>
      <c r="D662" t="s">
        <v>10</v>
      </c>
      <c r="E662" t="s">
        <v>12</v>
      </c>
      <c r="F662" t="s">
        <v>150</v>
      </c>
      <c r="L662" t="s">
        <v>3053</v>
      </c>
      <c r="N662" t="s">
        <v>3053</v>
      </c>
      <c r="T662" t="s">
        <v>3054</v>
      </c>
      <c r="U662" t="s">
        <v>3055</v>
      </c>
      <c r="V662" t="s">
        <v>3053</v>
      </c>
      <c r="W662" t="s">
        <v>134</v>
      </c>
      <c r="X662" t="s">
        <v>3056</v>
      </c>
      <c r="Y662">
        <v>1</v>
      </c>
      <c r="Z662">
        <v>105.0416666666667</v>
      </c>
    </row>
    <row r="663" spans="1:26">
      <c r="A663" s="1">
        <v>661</v>
      </c>
      <c r="B663" t="str">
        <f>HYPERLINK("https://bugs.eclipse.org/bugs/show_bug.cgi?id=25443", "25443")</f>
        <v>25443</v>
      </c>
      <c r="C663" t="s">
        <v>3057</v>
      </c>
      <c r="D663" t="s">
        <v>10</v>
      </c>
      <c r="E663" t="s">
        <v>15</v>
      </c>
      <c r="F663" t="s">
        <v>26</v>
      </c>
      <c r="L663" t="s">
        <v>3058</v>
      </c>
      <c r="Q663" t="s">
        <v>3058</v>
      </c>
      <c r="T663" t="s">
        <v>3059</v>
      </c>
      <c r="U663" t="s">
        <v>3060</v>
      </c>
      <c r="V663" t="s">
        <v>3058</v>
      </c>
      <c r="W663" t="s">
        <v>60</v>
      </c>
      <c r="X663" t="s">
        <v>3061</v>
      </c>
      <c r="Y663">
        <v>14</v>
      </c>
      <c r="Z663">
        <v>14</v>
      </c>
    </row>
    <row r="664" spans="1:26">
      <c r="A664" s="1">
        <v>662</v>
      </c>
      <c r="B664" t="str">
        <f>HYPERLINK("https://bugs.eclipse.org/bugs/show_bug.cgi?id=25508", "25508")</f>
        <v>25508</v>
      </c>
      <c r="C664" t="s">
        <v>56</v>
      </c>
      <c r="D664" t="s">
        <v>10</v>
      </c>
      <c r="E664" t="s">
        <v>14</v>
      </c>
      <c r="F664" t="s">
        <v>26</v>
      </c>
      <c r="L664" t="s">
        <v>3062</v>
      </c>
      <c r="N664" t="s">
        <v>3063</v>
      </c>
      <c r="P664" t="s">
        <v>3064</v>
      </c>
      <c r="S664" t="s">
        <v>3065</v>
      </c>
      <c r="T664" t="s">
        <v>3066</v>
      </c>
      <c r="U664" t="s">
        <v>3067</v>
      </c>
      <c r="V664" t="s">
        <v>3064</v>
      </c>
      <c r="W664" t="s">
        <v>75</v>
      </c>
      <c r="X664" t="s">
        <v>3068</v>
      </c>
      <c r="Y664">
        <v>0</v>
      </c>
      <c r="Z664">
        <v>2496.958333333333</v>
      </c>
    </row>
    <row r="665" spans="1:26">
      <c r="A665" s="1">
        <v>663</v>
      </c>
      <c r="B665" t="str">
        <f>HYPERLINK("https://bugs.eclipse.org/bugs/show_bug.cgi?id=25517", "25517")</f>
        <v>25517</v>
      </c>
      <c r="C665" t="s">
        <v>149</v>
      </c>
      <c r="D665" t="s">
        <v>10</v>
      </c>
      <c r="E665" t="s">
        <v>12</v>
      </c>
      <c r="F665" t="s">
        <v>150</v>
      </c>
      <c r="L665" t="s">
        <v>3069</v>
      </c>
      <c r="N665" t="s">
        <v>3069</v>
      </c>
      <c r="S665" t="s">
        <v>3070</v>
      </c>
      <c r="T665" t="s">
        <v>3071</v>
      </c>
      <c r="U665" t="s">
        <v>3072</v>
      </c>
      <c r="V665" t="s">
        <v>3069</v>
      </c>
      <c r="W665" t="s">
        <v>86</v>
      </c>
      <c r="X665" t="s">
        <v>3073</v>
      </c>
      <c r="Y665">
        <v>1</v>
      </c>
      <c r="Z665">
        <v>8</v>
      </c>
    </row>
    <row r="666" spans="1:26">
      <c r="A666" s="1">
        <v>664</v>
      </c>
      <c r="B666" t="str">
        <f>HYPERLINK("https://bugs.eclipse.org/bugs/show_bug.cgi?id=25528", "25528")</f>
        <v>25528</v>
      </c>
      <c r="C666" t="s">
        <v>56</v>
      </c>
      <c r="D666" t="s">
        <v>10</v>
      </c>
      <c r="E666" t="s">
        <v>14</v>
      </c>
      <c r="F666" t="s">
        <v>26</v>
      </c>
      <c r="L666" t="s">
        <v>3074</v>
      </c>
      <c r="P666" t="s">
        <v>3074</v>
      </c>
      <c r="T666" t="s">
        <v>3075</v>
      </c>
      <c r="U666" t="s">
        <v>3076</v>
      </c>
      <c r="V666" t="s">
        <v>3074</v>
      </c>
      <c r="W666" t="s">
        <v>60</v>
      </c>
      <c r="X666" t="s">
        <v>3077</v>
      </c>
      <c r="Y666">
        <v>0</v>
      </c>
      <c r="Z666">
        <v>69</v>
      </c>
    </row>
    <row r="667" spans="1:26">
      <c r="A667" s="1">
        <v>665</v>
      </c>
      <c r="B667" t="str">
        <f>HYPERLINK("https://bugs.eclipse.org/bugs/show_bug.cgi?id=25588", "25588")</f>
        <v>25588</v>
      </c>
      <c r="C667" t="s">
        <v>35</v>
      </c>
      <c r="D667" t="s">
        <v>11</v>
      </c>
      <c r="E667" t="s">
        <v>12</v>
      </c>
      <c r="F667" t="s">
        <v>26</v>
      </c>
      <c r="L667" t="s">
        <v>3078</v>
      </c>
      <c r="M667" t="s">
        <v>3079</v>
      </c>
      <c r="N667" t="s">
        <v>3078</v>
      </c>
      <c r="T667" t="s">
        <v>3080</v>
      </c>
      <c r="U667" t="s">
        <v>3081</v>
      </c>
      <c r="V667" t="s">
        <v>3079</v>
      </c>
      <c r="W667" t="s">
        <v>283</v>
      </c>
      <c r="X667" t="s">
        <v>3082</v>
      </c>
      <c r="Y667">
        <v>0</v>
      </c>
      <c r="Z667">
        <v>14</v>
      </c>
    </row>
    <row r="668" spans="1:26">
      <c r="A668" s="1">
        <v>666</v>
      </c>
      <c r="B668" t="str">
        <f>HYPERLINK("https://bugs.eclipse.org/bugs/show_bug.cgi?id=25674", "25674")</f>
        <v>25674</v>
      </c>
      <c r="C668" t="s">
        <v>3083</v>
      </c>
      <c r="D668" t="s">
        <v>10</v>
      </c>
      <c r="E668" t="s">
        <v>15</v>
      </c>
      <c r="F668" t="s">
        <v>26</v>
      </c>
      <c r="L668" t="s">
        <v>3084</v>
      </c>
      <c r="Q668" t="s">
        <v>3084</v>
      </c>
      <c r="T668" t="s">
        <v>3085</v>
      </c>
      <c r="U668" t="s">
        <v>3086</v>
      </c>
      <c r="V668" t="s">
        <v>3084</v>
      </c>
      <c r="W668" t="s">
        <v>86</v>
      </c>
      <c r="X668" t="s">
        <v>3087</v>
      </c>
      <c r="Y668">
        <v>0</v>
      </c>
      <c r="Z668">
        <v>779</v>
      </c>
    </row>
    <row r="669" spans="1:26">
      <c r="A669" s="1">
        <v>667</v>
      </c>
      <c r="B669" t="str">
        <f>HYPERLINK("https://bugs.eclipse.org/bugs/show_bug.cgi?id=25696", "25696")</f>
        <v>25696</v>
      </c>
      <c r="C669" t="s">
        <v>35</v>
      </c>
      <c r="D669" t="s">
        <v>11</v>
      </c>
      <c r="E669" t="s">
        <v>12</v>
      </c>
      <c r="F669" t="s">
        <v>150</v>
      </c>
      <c r="L669" t="s">
        <v>3088</v>
      </c>
      <c r="M669" t="s">
        <v>3089</v>
      </c>
      <c r="N669" t="s">
        <v>3088</v>
      </c>
      <c r="T669" t="s">
        <v>3090</v>
      </c>
      <c r="U669" t="s">
        <v>3091</v>
      </c>
      <c r="V669" t="s">
        <v>3089</v>
      </c>
      <c r="W669" t="s">
        <v>283</v>
      </c>
      <c r="X669" t="s">
        <v>3092</v>
      </c>
      <c r="Y669">
        <v>1</v>
      </c>
      <c r="Z669">
        <v>10</v>
      </c>
    </row>
    <row r="670" spans="1:26">
      <c r="A670" s="1">
        <v>668</v>
      </c>
      <c r="B670" t="str">
        <f>HYPERLINK("https://bugs.eclipse.org/bugs/show_bug.cgi?id=25809", "25809")</f>
        <v>25809</v>
      </c>
      <c r="C670" t="s">
        <v>3093</v>
      </c>
      <c r="D670" t="s">
        <v>10</v>
      </c>
      <c r="E670" t="s">
        <v>15</v>
      </c>
      <c r="F670" t="s">
        <v>26</v>
      </c>
      <c r="L670" t="s">
        <v>3094</v>
      </c>
      <c r="Q670" t="s">
        <v>3094</v>
      </c>
      <c r="S670" t="s">
        <v>3095</v>
      </c>
      <c r="T670" t="s">
        <v>3096</v>
      </c>
      <c r="U670" t="s">
        <v>3097</v>
      </c>
      <c r="V670" t="s">
        <v>3094</v>
      </c>
      <c r="W670" t="s">
        <v>851</v>
      </c>
      <c r="X670" t="s">
        <v>3098</v>
      </c>
      <c r="Y670">
        <v>1</v>
      </c>
      <c r="Z670">
        <v>398</v>
      </c>
    </row>
    <row r="671" spans="1:26">
      <c r="A671" s="1">
        <v>669</v>
      </c>
      <c r="B671" t="str">
        <f>HYPERLINK("https://bugs.eclipse.org/bugs/show_bug.cgi?id=25913", "25913")</f>
        <v>25913</v>
      </c>
      <c r="C671" t="s">
        <v>56</v>
      </c>
      <c r="D671" t="s">
        <v>10</v>
      </c>
      <c r="E671" t="s">
        <v>14</v>
      </c>
      <c r="F671" t="s">
        <v>26</v>
      </c>
      <c r="L671" t="s">
        <v>3099</v>
      </c>
      <c r="P671" t="s">
        <v>3099</v>
      </c>
      <c r="S671" t="s">
        <v>3100</v>
      </c>
      <c r="T671" t="s">
        <v>3101</v>
      </c>
      <c r="U671" t="s">
        <v>3102</v>
      </c>
      <c r="V671" t="s">
        <v>3099</v>
      </c>
      <c r="W671" t="s">
        <v>60</v>
      </c>
      <c r="X671" t="s">
        <v>3103</v>
      </c>
      <c r="Y671">
        <v>3</v>
      </c>
      <c r="Z671">
        <v>167.95833333333329</v>
      </c>
    </row>
    <row r="672" spans="1:26">
      <c r="A672" s="1">
        <v>670</v>
      </c>
      <c r="B672" t="str">
        <f>HYPERLINK("https://bugs.eclipse.org/bugs/show_bug.cgi?id=25914", "25914")</f>
        <v>25914</v>
      </c>
      <c r="C672" t="s">
        <v>35</v>
      </c>
      <c r="D672" t="s">
        <v>11</v>
      </c>
      <c r="E672" t="s">
        <v>12</v>
      </c>
      <c r="F672" t="s">
        <v>145</v>
      </c>
      <c r="G672" t="s">
        <v>3104</v>
      </c>
      <c r="L672" t="s">
        <v>3105</v>
      </c>
      <c r="M672" t="s">
        <v>3106</v>
      </c>
      <c r="N672" t="s">
        <v>3105</v>
      </c>
      <c r="T672" t="s">
        <v>3107</v>
      </c>
      <c r="U672" t="s">
        <v>3108</v>
      </c>
      <c r="V672" t="s">
        <v>3106</v>
      </c>
      <c r="W672" t="s">
        <v>283</v>
      </c>
      <c r="X672" t="s">
        <v>3109</v>
      </c>
      <c r="Y672">
        <v>0</v>
      </c>
      <c r="Z672">
        <v>6</v>
      </c>
    </row>
    <row r="673" spans="1:26">
      <c r="A673" s="1">
        <v>671</v>
      </c>
      <c r="B673" t="str">
        <f>HYPERLINK("https://bugs.eclipse.org/bugs/show_bug.cgi?id=25969", "25969")</f>
        <v>25969</v>
      </c>
      <c r="C673" t="s">
        <v>140</v>
      </c>
      <c r="D673" t="s">
        <v>10</v>
      </c>
      <c r="E673" t="s">
        <v>16</v>
      </c>
      <c r="F673" t="s">
        <v>26</v>
      </c>
      <c r="L673" t="s">
        <v>3110</v>
      </c>
      <c r="R673" t="s">
        <v>3110</v>
      </c>
      <c r="S673" t="s">
        <v>3111</v>
      </c>
      <c r="T673" t="s">
        <v>3112</v>
      </c>
      <c r="U673" t="s">
        <v>3113</v>
      </c>
      <c r="V673" t="s">
        <v>3110</v>
      </c>
      <c r="W673" t="s">
        <v>86</v>
      </c>
      <c r="X673" t="s">
        <v>3114</v>
      </c>
      <c r="Y673">
        <v>0</v>
      </c>
      <c r="Z673">
        <v>640.95833333333337</v>
      </c>
    </row>
    <row r="674" spans="1:26">
      <c r="A674" s="1">
        <v>672</v>
      </c>
      <c r="B674" t="str">
        <f>HYPERLINK("https://bugs.eclipse.org/bugs/show_bug.cgi?id=26002", "26002")</f>
        <v>26002</v>
      </c>
      <c r="C674" t="s">
        <v>140</v>
      </c>
      <c r="D674" t="s">
        <v>10</v>
      </c>
      <c r="E674" t="s">
        <v>16</v>
      </c>
      <c r="F674" t="s">
        <v>26</v>
      </c>
      <c r="L674" t="s">
        <v>3115</v>
      </c>
      <c r="R674" t="s">
        <v>3115</v>
      </c>
      <c r="T674" t="s">
        <v>3116</v>
      </c>
      <c r="U674" t="s">
        <v>3117</v>
      </c>
      <c r="V674" t="s">
        <v>3115</v>
      </c>
      <c r="W674" t="s">
        <v>134</v>
      </c>
      <c r="X674" t="s">
        <v>3118</v>
      </c>
      <c r="Y674">
        <v>0</v>
      </c>
      <c r="Z674">
        <v>0</v>
      </c>
    </row>
    <row r="675" spans="1:26">
      <c r="A675" s="1">
        <v>673</v>
      </c>
      <c r="B675" t="str">
        <f>HYPERLINK("https://bugs.eclipse.org/bugs/show_bug.cgi?id=26009", "26009")</f>
        <v>26009</v>
      </c>
      <c r="C675" t="s">
        <v>149</v>
      </c>
      <c r="D675" t="s">
        <v>10</v>
      </c>
      <c r="E675" t="s">
        <v>12</v>
      </c>
      <c r="F675" t="s">
        <v>150</v>
      </c>
      <c r="L675" t="s">
        <v>3119</v>
      </c>
      <c r="N675" t="s">
        <v>3119</v>
      </c>
      <c r="T675" t="s">
        <v>3120</v>
      </c>
      <c r="U675" t="s">
        <v>3121</v>
      </c>
      <c r="V675" t="s">
        <v>3119</v>
      </c>
      <c r="W675" t="s">
        <v>49</v>
      </c>
      <c r="X675" t="s">
        <v>3122</v>
      </c>
      <c r="Y675">
        <v>0</v>
      </c>
      <c r="Z675">
        <v>7</v>
      </c>
    </row>
    <row r="676" spans="1:26">
      <c r="A676" s="1">
        <v>674</v>
      </c>
      <c r="B676" t="str">
        <f>HYPERLINK("https://bugs.eclipse.org/bugs/show_bug.cgi?id=26036", "26036")</f>
        <v>26036</v>
      </c>
      <c r="C676" t="s">
        <v>140</v>
      </c>
      <c r="D676" t="s">
        <v>10</v>
      </c>
      <c r="E676" t="s">
        <v>16</v>
      </c>
      <c r="F676" t="s">
        <v>26</v>
      </c>
      <c r="L676" t="s">
        <v>3123</v>
      </c>
      <c r="R676" t="s">
        <v>3123</v>
      </c>
      <c r="T676" t="s">
        <v>3124</v>
      </c>
      <c r="U676" t="s">
        <v>3125</v>
      </c>
      <c r="V676" t="s">
        <v>3126</v>
      </c>
      <c r="W676" t="s">
        <v>60</v>
      </c>
      <c r="X676" t="s">
        <v>3127</v>
      </c>
      <c r="Y676">
        <v>0</v>
      </c>
      <c r="Z676">
        <v>0</v>
      </c>
    </row>
    <row r="677" spans="1:26">
      <c r="A677" s="1">
        <v>675</v>
      </c>
      <c r="B677" t="str">
        <f>HYPERLINK("https://bugs.eclipse.org/bugs/show_bug.cgi?id=26047", "26047")</f>
        <v>26047</v>
      </c>
      <c r="C677" t="s">
        <v>149</v>
      </c>
      <c r="D677" t="s">
        <v>10</v>
      </c>
      <c r="E677" t="s">
        <v>12</v>
      </c>
      <c r="F677" t="s">
        <v>26</v>
      </c>
      <c r="G677" t="s">
        <v>3128</v>
      </c>
      <c r="L677" t="s">
        <v>3129</v>
      </c>
      <c r="N677" t="s">
        <v>3129</v>
      </c>
      <c r="T677" t="s">
        <v>3130</v>
      </c>
      <c r="U677" t="s">
        <v>3131</v>
      </c>
      <c r="V677" t="s">
        <v>3129</v>
      </c>
      <c r="W677" t="s">
        <v>147</v>
      </c>
      <c r="X677" t="s">
        <v>3132</v>
      </c>
      <c r="Y677">
        <v>1</v>
      </c>
      <c r="Z677">
        <v>86</v>
      </c>
    </row>
    <row r="678" spans="1:26">
      <c r="A678" s="1">
        <v>676</v>
      </c>
      <c r="B678" t="str">
        <f>HYPERLINK("https://bugs.eclipse.org/bugs/show_bug.cgi?id=26070", "26070")</f>
        <v>26070</v>
      </c>
      <c r="C678" t="s">
        <v>149</v>
      </c>
      <c r="D678" t="s">
        <v>10</v>
      </c>
      <c r="E678" t="s">
        <v>12</v>
      </c>
      <c r="F678" t="s">
        <v>51</v>
      </c>
      <c r="G678" t="s">
        <v>3133</v>
      </c>
      <c r="H678" t="s">
        <v>3134</v>
      </c>
      <c r="L678" t="s">
        <v>3135</v>
      </c>
      <c r="N678" t="s">
        <v>3135</v>
      </c>
      <c r="S678" t="s">
        <v>3136</v>
      </c>
      <c r="T678" t="s">
        <v>3137</v>
      </c>
      <c r="U678" t="s">
        <v>3138</v>
      </c>
      <c r="V678" t="s">
        <v>3139</v>
      </c>
      <c r="W678" t="s">
        <v>851</v>
      </c>
      <c r="X678" t="s">
        <v>3140</v>
      </c>
      <c r="Y678">
        <v>8</v>
      </c>
      <c r="Z678">
        <v>2308.958333333333</v>
      </c>
    </row>
    <row r="679" spans="1:26">
      <c r="A679" s="1">
        <v>677</v>
      </c>
      <c r="B679" t="str">
        <f>HYPERLINK("https://bugs.eclipse.org/bugs/show_bug.cgi?id=26072", "26072")</f>
        <v>26072</v>
      </c>
      <c r="C679" t="s">
        <v>140</v>
      </c>
      <c r="D679" t="s">
        <v>10</v>
      </c>
      <c r="E679" t="s">
        <v>16</v>
      </c>
      <c r="F679" t="s">
        <v>150</v>
      </c>
      <c r="L679" t="s">
        <v>3141</v>
      </c>
      <c r="R679" t="s">
        <v>3141</v>
      </c>
      <c r="T679" t="s">
        <v>3142</v>
      </c>
      <c r="U679" t="s">
        <v>3143</v>
      </c>
      <c r="V679" t="s">
        <v>3141</v>
      </c>
      <c r="W679" t="s">
        <v>60</v>
      </c>
      <c r="X679" t="s">
        <v>3144</v>
      </c>
      <c r="Y679">
        <v>3</v>
      </c>
      <c r="Z679">
        <v>76</v>
      </c>
    </row>
    <row r="680" spans="1:26">
      <c r="A680" s="1">
        <v>678</v>
      </c>
      <c r="B680" t="str">
        <f>HYPERLINK("https://bugs.eclipse.org/bugs/show_bug.cgi?id=26102", "26102")</f>
        <v>26102</v>
      </c>
      <c r="C680" t="s">
        <v>149</v>
      </c>
      <c r="D680" t="s">
        <v>10</v>
      </c>
      <c r="E680" t="s">
        <v>12</v>
      </c>
      <c r="F680" t="s">
        <v>150</v>
      </c>
      <c r="L680" t="s">
        <v>3145</v>
      </c>
      <c r="N680" t="s">
        <v>3145</v>
      </c>
      <c r="T680" t="s">
        <v>3146</v>
      </c>
      <c r="U680" t="s">
        <v>3147</v>
      </c>
      <c r="V680" t="s">
        <v>3145</v>
      </c>
      <c r="W680" t="s">
        <v>86</v>
      </c>
      <c r="X680" t="s">
        <v>3148</v>
      </c>
      <c r="Y680">
        <v>3</v>
      </c>
      <c r="Z680">
        <v>7</v>
      </c>
    </row>
    <row r="681" spans="1:26">
      <c r="A681" s="1">
        <v>679</v>
      </c>
      <c r="B681" t="str">
        <f>HYPERLINK("https://bugs.eclipse.org/bugs/show_bug.cgi?id=26186", "26186")</f>
        <v>26186</v>
      </c>
      <c r="C681" t="s">
        <v>149</v>
      </c>
      <c r="D681" t="s">
        <v>10</v>
      </c>
      <c r="E681" t="s">
        <v>12</v>
      </c>
      <c r="F681" t="s">
        <v>26</v>
      </c>
      <c r="G681" t="s">
        <v>3149</v>
      </c>
      <c r="L681" t="s">
        <v>3150</v>
      </c>
      <c r="N681" t="s">
        <v>3150</v>
      </c>
      <c r="T681" t="s">
        <v>3151</v>
      </c>
      <c r="U681" t="s">
        <v>3152</v>
      </c>
      <c r="V681" t="s">
        <v>3150</v>
      </c>
      <c r="W681" t="s">
        <v>86</v>
      </c>
      <c r="X681" t="s">
        <v>3153</v>
      </c>
      <c r="Y681">
        <v>0</v>
      </c>
      <c r="Z681">
        <v>54</v>
      </c>
    </row>
    <row r="682" spans="1:26">
      <c r="A682" s="1">
        <v>680</v>
      </c>
      <c r="B682" t="str">
        <f>HYPERLINK("https://bugs.eclipse.org/bugs/show_bug.cgi?id=26231", "26231")</f>
        <v>26231</v>
      </c>
      <c r="C682" t="s">
        <v>149</v>
      </c>
      <c r="D682" t="s">
        <v>10</v>
      </c>
      <c r="E682" t="s">
        <v>12</v>
      </c>
      <c r="F682" t="s">
        <v>150</v>
      </c>
      <c r="L682" t="s">
        <v>3154</v>
      </c>
      <c r="N682" t="s">
        <v>3154</v>
      </c>
      <c r="T682" t="s">
        <v>3155</v>
      </c>
      <c r="U682" t="s">
        <v>3156</v>
      </c>
      <c r="V682" t="s">
        <v>3154</v>
      </c>
      <c r="W682" t="s">
        <v>60</v>
      </c>
      <c r="X682" t="s">
        <v>3157</v>
      </c>
      <c r="Y682">
        <v>1</v>
      </c>
      <c r="Z682">
        <v>5</v>
      </c>
    </row>
    <row r="683" spans="1:26">
      <c r="A683" s="1">
        <v>681</v>
      </c>
      <c r="B683" t="str">
        <f>HYPERLINK("https://bugs.eclipse.org/bugs/show_bug.cgi?id=26242", "26242")</f>
        <v>26242</v>
      </c>
      <c r="C683" t="s">
        <v>149</v>
      </c>
      <c r="D683" t="s">
        <v>10</v>
      </c>
      <c r="E683" t="s">
        <v>12</v>
      </c>
      <c r="F683" t="s">
        <v>26</v>
      </c>
      <c r="L683" t="s">
        <v>3158</v>
      </c>
      <c r="N683" t="s">
        <v>3158</v>
      </c>
      <c r="T683" t="s">
        <v>3159</v>
      </c>
      <c r="U683" t="s">
        <v>3160</v>
      </c>
      <c r="V683" t="s">
        <v>3158</v>
      </c>
      <c r="W683" t="s">
        <v>60</v>
      </c>
      <c r="X683" t="s">
        <v>3161</v>
      </c>
      <c r="Y683">
        <v>2</v>
      </c>
      <c r="Z683">
        <v>36</v>
      </c>
    </row>
    <row r="684" spans="1:26">
      <c r="A684" s="1">
        <v>682</v>
      </c>
      <c r="B684" t="str">
        <f>HYPERLINK("https://bugs.eclipse.org/bugs/show_bug.cgi?id=26250", "26250")</f>
        <v>26250</v>
      </c>
      <c r="C684" t="s">
        <v>149</v>
      </c>
      <c r="D684" t="s">
        <v>10</v>
      </c>
      <c r="E684" t="s">
        <v>12</v>
      </c>
      <c r="F684" t="s">
        <v>150</v>
      </c>
      <c r="L684" t="s">
        <v>3162</v>
      </c>
      <c r="N684" t="s">
        <v>3162</v>
      </c>
      <c r="T684" t="s">
        <v>3163</v>
      </c>
      <c r="U684" t="s">
        <v>3164</v>
      </c>
      <c r="V684" t="s">
        <v>3162</v>
      </c>
      <c r="W684" t="s">
        <v>86</v>
      </c>
      <c r="X684" t="s">
        <v>3165</v>
      </c>
      <c r="Y684">
        <v>2</v>
      </c>
      <c r="Z684">
        <v>112</v>
      </c>
    </row>
    <row r="685" spans="1:26">
      <c r="A685" s="1">
        <v>683</v>
      </c>
      <c r="B685" t="str">
        <f>HYPERLINK("https://bugs.eclipse.org/bugs/show_bug.cgi?id=26252", "26252")</f>
        <v>26252</v>
      </c>
      <c r="C685" t="s">
        <v>149</v>
      </c>
      <c r="D685" t="s">
        <v>10</v>
      </c>
      <c r="E685" t="s">
        <v>12</v>
      </c>
      <c r="F685" t="s">
        <v>26</v>
      </c>
      <c r="G685" t="s">
        <v>3166</v>
      </c>
      <c r="L685" t="s">
        <v>3167</v>
      </c>
      <c r="N685" t="s">
        <v>3167</v>
      </c>
      <c r="T685" t="s">
        <v>3168</v>
      </c>
      <c r="U685" t="s">
        <v>3169</v>
      </c>
      <c r="V685" t="s">
        <v>3170</v>
      </c>
      <c r="W685" t="s">
        <v>60</v>
      </c>
      <c r="X685" t="s">
        <v>3171</v>
      </c>
      <c r="Y685">
        <v>0</v>
      </c>
      <c r="Z685">
        <v>5</v>
      </c>
    </row>
    <row r="686" spans="1:26">
      <c r="A686" s="1">
        <v>684</v>
      </c>
      <c r="B686" t="str">
        <f>HYPERLINK("https://bugs.eclipse.org/bugs/show_bug.cgi?id=26263", "26263")</f>
        <v>26263</v>
      </c>
      <c r="C686" t="s">
        <v>56</v>
      </c>
      <c r="D686" t="s">
        <v>10</v>
      </c>
      <c r="E686" t="s">
        <v>14</v>
      </c>
      <c r="F686" t="s">
        <v>26</v>
      </c>
      <c r="G686" t="s">
        <v>3172</v>
      </c>
      <c r="L686" t="s">
        <v>3173</v>
      </c>
      <c r="P686" t="s">
        <v>3174</v>
      </c>
      <c r="T686" t="s">
        <v>3175</v>
      </c>
      <c r="U686" t="s">
        <v>3176</v>
      </c>
      <c r="V686" t="s">
        <v>3174</v>
      </c>
      <c r="W686" t="s">
        <v>75</v>
      </c>
      <c r="X686" t="s">
        <v>3177</v>
      </c>
      <c r="Y686">
        <v>0</v>
      </c>
      <c r="Z686">
        <v>2480.958333333333</v>
      </c>
    </row>
    <row r="687" spans="1:26">
      <c r="A687" s="1">
        <v>685</v>
      </c>
      <c r="B687" t="str">
        <f>HYPERLINK("https://bugs.eclipse.org/bugs/show_bug.cgi?id=26282", "26282")</f>
        <v>26282</v>
      </c>
      <c r="C687" t="s">
        <v>149</v>
      </c>
      <c r="D687" t="s">
        <v>10</v>
      </c>
      <c r="E687" t="s">
        <v>12</v>
      </c>
      <c r="F687" t="s">
        <v>26</v>
      </c>
      <c r="L687" t="s">
        <v>3178</v>
      </c>
      <c r="N687" t="s">
        <v>3178</v>
      </c>
      <c r="T687" t="s">
        <v>3179</v>
      </c>
      <c r="U687" t="s">
        <v>3180</v>
      </c>
      <c r="V687" t="s">
        <v>3178</v>
      </c>
      <c r="W687" t="s">
        <v>60</v>
      </c>
      <c r="X687" t="s">
        <v>3181</v>
      </c>
      <c r="Y687">
        <v>0</v>
      </c>
      <c r="Z687">
        <v>1</v>
      </c>
    </row>
    <row r="688" spans="1:26">
      <c r="A688" s="1">
        <v>686</v>
      </c>
      <c r="B688" t="str">
        <f>HYPERLINK("https://bugs.eclipse.org/bugs/show_bug.cgi?id=26288", "26288")</f>
        <v>26288</v>
      </c>
      <c r="C688" t="s">
        <v>149</v>
      </c>
      <c r="D688" t="s">
        <v>10</v>
      </c>
      <c r="E688" t="s">
        <v>12</v>
      </c>
      <c r="F688" t="s">
        <v>26</v>
      </c>
      <c r="L688" t="s">
        <v>3182</v>
      </c>
      <c r="N688" t="s">
        <v>3182</v>
      </c>
      <c r="T688" t="s">
        <v>3183</v>
      </c>
      <c r="U688" t="s">
        <v>3184</v>
      </c>
      <c r="V688" t="s">
        <v>3182</v>
      </c>
      <c r="W688" t="s">
        <v>60</v>
      </c>
      <c r="X688" t="s">
        <v>3185</v>
      </c>
      <c r="Y688">
        <v>0</v>
      </c>
      <c r="Z688">
        <v>36</v>
      </c>
    </row>
    <row r="689" spans="1:26">
      <c r="A689" s="1">
        <v>687</v>
      </c>
      <c r="B689" t="str">
        <f>HYPERLINK("https://bugs.eclipse.org/bugs/show_bug.cgi?id=26299", "26299")</f>
        <v>26299</v>
      </c>
      <c r="C689" t="s">
        <v>56</v>
      </c>
      <c r="D689" t="s">
        <v>10</v>
      </c>
      <c r="E689" t="s">
        <v>14</v>
      </c>
      <c r="F689" t="s">
        <v>51</v>
      </c>
      <c r="L689" t="s">
        <v>3186</v>
      </c>
      <c r="P689" t="s">
        <v>3187</v>
      </c>
      <c r="S689" t="s">
        <v>3188</v>
      </c>
      <c r="T689" t="s">
        <v>3189</v>
      </c>
      <c r="U689" t="s">
        <v>3190</v>
      </c>
      <c r="V689" t="s">
        <v>3187</v>
      </c>
      <c r="W689" t="s">
        <v>75</v>
      </c>
      <c r="X689" t="s">
        <v>3191</v>
      </c>
      <c r="Y689">
        <v>2</v>
      </c>
      <c r="Z689">
        <v>2480.958333333333</v>
      </c>
    </row>
    <row r="690" spans="1:26">
      <c r="A690" s="1">
        <v>688</v>
      </c>
      <c r="B690" t="str">
        <f>HYPERLINK("https://bugs.eclipse.org/bugs/show_bug.cgi?id=26303", "26303")</f>
        <v>26303</v>
      </c>
      <c r="C690" t="s">
        <v>56</v>
      </c>
      <c r="D690" t="s">
        <v>10</v>
      </c>
      <c r="E690" t="s">
        <v>14</v>
      </c>
      <c r="F690" t="s">
        <v>26</v>
      </c>
      <c r="G690" t="s">
        <v>3192</v>
      </c>
      <c r="L690" t="s">
        <v>3193</v>
      </c>
      <c r="P690" t="s">
        <v>3193</v>
      </c>
      <c r="T690" t="s">
        <v>3194</v>
      </c>
      <c r="U690" t="s">
        <v>3195</v>
      </c>
      <c r="V690" t="s">
        <v>3193</v>
      </c>
      <c r="W690" t="s">
        <v>60</v>
      </c>
      <c r="X690" t="s">
        <v>3196</v>
      </c>
      <c r="Y690">
        <v>0</v>
      </c>
      <c r="Z690">
        <v>35</v>
      </c>
    </row>
    <row r="691" spans="1:26">
      <c r="A691" s="1">
        <v>689</v>
      </c>
      <c r="B691" t="str">
        <f>HYPERLINK("https://bugs.eclipse.org/bugs/show_bug.cgi?id=26315", "26315")</f>
        <v>26315</v>
      </c>
      <c r="C691" t="s">
        <v>140</v>
      </c>
      <c r="D691" t="s">
        <v>10</v>
      </c>
      <c r="E691" t="s">
        <v>16</v>
      </c>
      <c r="F691" t="s">
        <v>26</v>
      </c>
      <c r="L691" t="s">
        <v>3197</v>
      </c>
      <c r="R691" t="s">
        <v>3197</v>
      </c>
      <c r="T691" t="s">
        <v>3198</v>
      </c>
      <c r="U691" t="s">
        <v>3199</v>
      </c>
      <c r="V691" t="s">
        <v>3197</v>
      </c>
      <c r="W691" t="s">
        <v>49</v>
      </c>
      <c r="X691" t="s">
        <v>3200</v>
      </c>
      <c r="Y691">
        <v>2</v>
      </c>
      <c r="Z691">
        <v>82</v>
      </c>
    </row>
    <row r="692" spans="1:26">
      <c r="A692" s="1">
        <v>690</v>
      </c>
      <c r="B692" t="str">
        <f>HYPERLINK("https://bugs.eclipse.org/bugs/show_bug.cgi?id=26318", "26318")</f>
        <v>26318</v>
      </c>
      <c r="C692" t="s">
        <v>149</v>
      </c>
      <c r="D692" t="s">
        <v>10</v>
      </c>
      <c r="E692" t="s">
        <v>12</v>
      </c>
      <c r="F692" t="s">
        <v>26</v>
      </c>
      <c r="L692" t="s">
        <v>3201</v>
      </c>
      <c r="N692" t="s">
        <v>3201</v>
      </c>
      <c r="T692" t="s">
        <v>3202</v>
      </c>
      <c r="U692" t="s">
        <v>3203</v>
      </c>
      <c r="V692" t="s">
        <v>3201</v>
      </c>
      <c r="W692" t="s">
        <v>86</v>
      </c>
      <c r="X692" t="s">
        <v>3204</v>
      </c>
      <c r="Y692">
        <v>2</v>
      </c>
      <c r="Z692">
        <v>39</v>
      </c>
    </row>
    <row r="693" spans="1:26">
      <c r="A693" s="1">
        <v>691</v>
      </c>
      <c r="B693" t="str">
        <f>HYPERLINK("https://bugs.eclipse.org/bugs/show_bug.cgi?id=26338", "26338")</f>
        <v>26338</v>
      </c>
      <c r="C693" t="s">
        <v>149</v>
      </c>
      <c r="D693" t="s">
        <v>10</v>
      </c>
      <c r="E693" t="s">
        <v>12</v>
      </c>
      <c r="F693" t="s">
        <v>26</v>
      </c>
      <c r="L693" t="s">
        <v>3205</v>
      </c>
      <c r="N693" t="s">
        <v>3205</v>
      </c>
      <c r="T693" t="s">
        <v>3206</v>
      </c>
      <c r="U693" t="s">
        <v>3207</v>
      </c>
      <c r="V693" t="s">
        <v>3205</v>
      </c>
      <c r="W693" t="s">
        <v>60</v>
      </c>
      <c r="X693" t="s">
        <v>3208</v>
      </c>
      <c r="Y693">
        <v>0</v>
      </c>
      <c r="Z693">
        <v>1</v>
      </c>
    </row>
    <row r="694" spans="1:26">
      <c r="A694" s="1">
        <v>692</v>
      </c>
      <c r="B694" t="str">
        <f>HYPERLINK("https://bugs.eclipse.org/bugs/show_bug.cgi?id=26341", "26341")</f>
        <v>26341</v>
      </c>
      <c r="C694" t="s">
        <v>149</v>
      </c>
      <c r="D694" t="s">
        <v>10</v>
      </c>
      <c r="E694" t="s">
        <v>12</v>
      </c>
      <c r="F694" t="s">
        <v>150</v>
      </c>
      <c r="L694" t="s">
        <v>3209</v>
      </c>
      <c r="N694" t="s">
        <v>3209</v>
      </c>
      <c r="T694" t="s">
        <v>3210</v>
      </c>
      <c r="U694" t="s">
        <v>3211</v>
      </c>
      <c r="V694" t="s">
        <v>3209</v>
      </c>
      <c r="W694" t="s">
        <v>86</v>
      </c>
      <c r="X694" t="s">
        <v>3212</v>
      </c>
      <c r="Y694">
        <v>2</v>
      </c>
      <c r="Z694">
        <v>91</v>
      </c>
    </row>
    <row r="695" spans="1:26">
      <c r="A695" s="1">
        <v>693</v>
      </c>
      <c r="B695" t="str">
        <f>HYPERLINK("https://bugs.eclipse.org/bugs/show_bug.cgi?id=26351", "26351")</f>
        <v>26351</v>
      </c>
      <c r="C695" t="s">
        <v>56</v>
      </c>
      <c r="D695" t="s">
        <v>10</v>
      </c>
      <c r="E695" t="s">
        <v>14</v>
      </c>
      <c r="F695" t="s">
        <v>26</v>
      </c>
      <c r="L695" t="s">
        <v>3213</v>
      </c>
      <c r="P695" t="s">
        <v>3213</v>
      </c>
      <c r="S695" t="s">
        <v>3214</v>
      </c>
      <c r="T695" t="s">
        <v>3215</v>
      </c>
      <c r="U695" t="s">
        <v>3216</v>
      </c>
      <c r="V695" t="s">
        <v>3213</v>
      </c>
      <c r="W695" t="s">
        <v>86</v>
      </c>
      <c r="X695" t="s">
        <v>3217</v>
      </c>
      <c r="Y695">
        <v>2</v>
      </c>
      <c r="Z695">
        <v>161.95833333333329</v>
      </c>
    </row>
    <row r="696" spans="1:26">
      <c r="A696" s="1">
        <v>694</v>
      </c>
      <c r="B696" t="str">
        <f>HYPERLINK("https://bugs.eclipse.org/bugs/show_bug.cgi?id=26374", "26374")</f>
        <v>26374</v>
      </c>
      <c r="C696" t="s">
        <v>191</v>
      </c>
      <c r="D696" t="s">
        <v>192</v>
      </c>
      <c r="E696" t="s">
        <v>14</v>
      </c>
      <c r="F696" t="s">
        <v>26</v>
      </c>
      <c r="G696" t="s">
        <v>3218</v>
      </c>
      <c r="L696" t="s">
        <v>3219</v>
      </c>
      <c r="P696" t="s">
        <v>3220</v>
      </c>
      <c r="S696" t="s">
        <v>3221</v>
      </c>
      <c r="T696" t="s">
        <v>3222</v>
      </c>
      <c r="U696" t="s">
        <v>3223</v>
      </c>
      <c r="V696" t="s">
        <v>3220</v>
      </c>
      <c r="W696" t="s">
        <v>65</v>
      </c>
      <c r="X696" t="s">
        <v>3224</v>
      </c>
      <c r="Y696">
        <v>0</v>
      </c>
      <c r="Z696">
        <v>6291</v>
      </c>
    </row>
    <row r="697" spans="1:26">
      <c r="A697" s="1">
        <v>695</v>
      </c>
      <c r="B697" t="str">
        <f>HYPERLINK("https://bugs.eclipse.org/bugs/show_bug.cgi?id=26382", "26382")</f>
        <v>26382</v>
      </c>
      <c r="C697" t="s">
        <v>149</v>
      </c>
      <c r="D697" t="s">
        <v>10</v>
      </c>
      <c r="E697" t="s">
        <v>12</v>
      </c>
      <c r="F697" t="s">
        <v>150</v>
      </c>
      <c r="L697" t="s">
        <v>3225</v>
      </c>
      <c r="N697" t="s">
        <v>3225</v>
      </c>
      <c r="T697" t="s">
        <v>3226</v>
      </c>
      <c r="U697" t="s">
        <v>3227</v>
      </c>
      <c r="V697" t="s">
        <v>3225</v>
      </c>
      <c r="W697" t="s">
        <v>60</v>
      </c>
      <c r="X697" t="s">
        <v>3228</v>
      </c>
      <c r="Y697">
        <v>2</v>
      </c>
      <c r="Z697">
        <v>4</v>
      </c>
    </row>
    <row r="698" spans="1:26">
      <c r="A698" s="1">
        <v>696</v>
      </c>
      <c r="B698" t="str">
        <f>HYPERLINK("https://bugs.eclipse.org/bugs/show_bug.cgi?id=26451", "26451")</f>
        <v>26451</v>
      </c>
      <c r="C698" t="s">
        <v>149</v>
      </c>
      <c r="D698" t="s">
        <v>10</v>
      </c>
      <c r="E698" t="s">
        <v>12</v>
      </c>
      <c r="F698" t="s">
        <v>26</v>
      </c>
      <c r="L698" t="s">
        <v>3229</v>
      </c>
      <c r="N698" t="s">
        <v>3229</v>
      </c>
      <c r="T698" t="s">
        <v>3230</v>
      </c>
      <c r="U698" t="s">
        <v>3231</v>
      </c>
      <c r="V698" t="s">
        <v>3229</v>
      </c>
      <c r="W698" t="s">
        <v>60</v>
      </c>
      <c r="X698" t="s">
        <v>3232</v>
      </c>
      <c r="Y698">
        <v>0</v>
      </c>
      <c r="Z698">
        <v>3</v>
      </c>
    </row>
    <row r="699" spans="1:26">
      <c r="A699" s="1">
        <v>697</v>
      </c>
      <c r="B699" t="str">
        <f>HYPERLINK("https://bugs.eclipse.org/bugs/show_bug.cgi?id=26464", "26464")</f>
        <v>26464</v>
      </c>
      <c r="C699" t="s">
        <v>149</v>
      </c>
      <c r="D699" t="s">
        <v>10</v>
      </c>
      <c r="E699" t="s">
        <v>12</v>
      </c>
      <c r="F699" t="s">
        <v>26</v>
      </c>
      <c r="L699" t="s">
        <v>3233</v>
      </c>
      <c r="N699" t="s">
        <v>3233</v>
      </c>
      <c r="T699" t="s">
        <v>3234</v>
      </c>
      <c r="U699" t="s">
        <v>3233</v>
      </c>
      <c r="V699" t="s">
        <v>3233</v>
      </c>
      <c r="W699" t="s">
        <v>86</v>
      </c>
      <c r="X699" t="s">
        <v>3235</v>
      </c>
      <c r="Y699">
        <v>38</v>
      </c>
      <c r="Z699">
        <v>38</v>
      </c>
    </row>
    <row r="700" spans="1:26">
      <c r="A700" s="1">
        <v>698</v>
      </c>
      <c r="B700" t="str">
        <f>HYPERLINK("https://bugs.eclipse.org/bugs/show_bug.cgi?id=26498", "26498")</f>
        <v>26498</v>
      </c>
      <c r="C700" t="s">
        <v>149</v>
      </c>
      <c r="D700" t="s">
        <v>10</v>
      </c>
      <c r="E700" t="s">
        <v>12</v>
      </c>
      <c r="F700" t="s">
        <v>26</v>
      </c>
      <c r="L700" t="s">
        <v>3236</v>
      </c>
      <c r="N700" t="s">
        <v>3236</v>
      </c>
      <c r="T700" t="s">
        <v>3237</v>
      </c>
      <c r="U700" t="s">
        <v>3238</v>
      </c>
      <c r="V700" t="s">
        <v>3236</v>
      </c>
      <c r="W700" t="s">
        <v>60</v>
      </c>
      <c r="X700" t="s">
        <v>3239</v>
      </c>
      <c r="Y700">
        <v>1</v>
      </c>
      <c r="Z700">
        <v>5</v>
      </c>
    </row>
    <row r="701" spans="1:26">
      <c r="A701" s="1">
        <v>699</v>
      </c>
      <c r="B701" t="str">
        <f>HYPERLINK("https://bugs.eclipse.org/bugs/show_bug.cgi?id=26501", "26501")</f>
        <v>26501</v>
      </c>
      <c r="C701" t="s">
        <v>149</v>
      </c>
      <c r="D701" t="s">
        <v>10</v>
      </c>
      <c r="E701" t="s">
        <v>12</v>
      </c>
      <c r="F701" t="s">
        <v>150</v>
      </c>
      <c r="L701" t="s">
        <v>3240</v>
      </c>
      <c r="N701" t="s">
        <v>3240</v>
      </c>
      <c r="T701" t="s">
        <v>3241</v>
      </c>
      <c r="U701" t="s">
        <v>3242</v>
      </c>
      <c r="V701" t="s">
        <v>3240</v>
      </c>
      <c r="W701" t="s">
        <v>86</v>
      </c>
      <c r="X701" t="s">
        <v>3243</v>
      </c>
      <c r="Y701">
        <v>0</v>
      </c>
      <c r="Z701">
        <v>38</v>
      </c>
    </row>
    <row r="702" spans="1:26">
      <c r="A702" s="1">
        <v>700</v>
      </c>
      <c r="B702" t="str">
        <f>HYPERLINK("https://bugs.eclipse.org/bugs/show_bug.cgi?id=26504", "26504")</f>
        <v>26504</v>
      </c>
      <c r="C702" t="s">
        <v>149</v>
      </c>
      <c r="D702" t="s">
        <v>10</v>
      </c>
      <c r="E702" t="s">
        <v>12</v>
      </c>
      <c r="F702" t="s">
        <v>150</v>
      </c>
      <c r="L702" t="s">
        <v>3244</v>
      </c>
      <c r="N702" t="s">
        <v>3244</v>
      </c>
      <c r="T702" t="s">
        <v>3245</v>
      </c>
      <c r="U702" t="s">
        <v>3246</v>
      </c>
      <c r="V702" t="s">
        <v>3244</v>
      </c>
      <c r="W702" t="s">
        <v>86</v>
      </c>
      <c r="X702" t="s">
        <v>3247</v>
      </c>
      <c r="Y702">
        <v>0</v>
      </c>
      <c r="Z702">
        <v>7</v>
      </c>
    </row>
    <row r="703" spans="1:26">
      <c r="A703" s="1">
        <v>701</v>
      </c>
      <c r="B703" t="str">
        <f>HYPERLINK("https://bugs.eclipse.org/bugs/show_bug.cgi?id=26529", "26529")</f>
        <v>26529</v>
      </c>
      <c r="C703" t="s">
        <v>149</v>
      </c>
      <c r="D703" t="s">
        <v>10</v>
      </c>
      <c r="E703" t="s">
        <v>12</v>
      </c>
      <c r="F703" t="s">
        <v>26</v>
      </c>
      <c r="L703" t="s">
        <v>3248</v>
      </c>
      <c r="N703" t="s">
        <v>3248</v>
      </c>
      <c r="T703" t="s">
        <v>3249</v>
      </c>
      <c r="U703" t="s">
        <v>3250</v>
      </c>
      <c r="V703" t="s">
        <v>3248</v>
      </c>
      <c r="W703" t="s">
        <v>49</v>
      </c>
      <c r="X703" t="s">
        <v>3251</v>
      </c>
      <c r="Y703">
        <v>1</v>
      </c>
      <c r="Z703">
        <v>25</v>
      </c>
    </row>
    <row r="704" spans="1:26">
      <c r="A704" s="1">
        <v>702</v>
      </c>
      <c r="B704" t="str">
        <f>HYPERLINK("https://bugs.eclipse.org/bugs/show_bug.cgi?id=26548", "26548")</f>
        <v>26548</v>
      </c>
      <c r="C704" t="s">
        <v>88</v>
      </c>
      <c r="D704" t="s">
        <v>10</v>
      </c>
      <c r="E704" t="s">
        <v>13</v>
      </c>
      <c r="F704" t="s">
        <v>26</v>
      </c>
      <c r="L704" t="s">
        <v>3252</v>
      </c>
      <c r="O704" t="s">
        <v>3252</v>
      </c>
      <c r="T704" t="s">
        <v>3253</v>
      </c>
      <c r="U704" t="s">
        <v>3252</v>
      </c>
      <c r="V704" t="s">
        <v>3254</v>
      </c>
      <c r="W704" t="s">
        <v>60</v>
      </c>
      <c r="X704" t="s">
        <v>3255</v>
      </c>
      <c r="Y704">
        <v>2</v>
      </c>
      <c r="Z704">
        <v>2</v>
      </c>
    </row>
    <row r="705" spans="1:26">
      <c r="A705" s="1">
        <v>703</v>
      </c>
      <c r="B705" t="str">
        <f>HYPERLINK("https://bugs.eclipse.org/bugs/show_bug.cgi?id=26581", "26581")</f>
        <v>26581</v>
      </c>
      <c r="C705" t="s">
        <v>140</v>
      </c>
      <c r="D705" t="s">
        <v>10</v>
      </c>
      <c r="E705" t="s">
        <v>16</v>
      </c>
      <c r="F705" t="s">
        <v>26</v>
      </c>
      <c r="L705" t="s">
        <v>3256</v>
      </c>
      <c r="R705" t="s">
        <v>3256</v>
      </c>
      <c r="T705" t="s">
        <v>3257</v>
      </c>
      <c r="U705" t="s">
        <v>3258</v>
      </c>
      <c r="V705" t="s">
        <v>3256</v>
      </c>
      <c r="W705" t="s">
        <v>60</v>
      </c>
      <c r="X705" t="s">
        <v>3259</v>
      </c>
      <c r="Y705">
        <v>0</v>
      </c>
      <c r="Z705">
        <v>116</v>
      </c>
    </row>
    <row r="706" spans="1:26">
      <c r="A706" s="1">
        <v>704</v>
      </c>
      <c r="B706" t="str">
        <f>HYPERLINK("https://bugs.eclipse.org/bugs/show_bug.cgi?id=26584", "26584")</f>
        <v>26584</v>
      </c>
      <c r="C706" t="s">
        <v>3260</v>
      </c>
      <c r="D706" t="s">
        <v>10</v>
      </c>
      <c r="E706" t="s">
        <v>15</v>
      </c>
      <c r="F706" t="s">
        <v>26</v>
      </c>
      <c r="L706" t="s">
        <v>3261</v>
      </c>
      <c r="Q706" t="s">
        <v>3261</v>
      </c>
      <c r="T706" t="s">
        <v>3262</v>
      </c>
      <c r="U706" t="s">
        <v>3261</v>
      </c>
      <c r="V706" t="s">
        <v>3261</v>
      </c>
      <c r="W706" t="s">
        <v>86</v>
      </c>
      <c r="X706" t="s">
        <v>3263</v>
      </c>
      <c r="Y706">
        <v>35</v>
      </c>
      <c r="Z706">
        <v>35</v>
      </c>
    </row>
    <row r="707" spans="1:26">
      <c r="A707" s="1">
        <v>705</v>
      </c>
      <c r="B707" t="str">
        <f>HYPERLINK("https://bugs.eclipse.org/bugs/show_bug.cgi?id=26618", "26618")</f>
        <v>26618</v>
      </c>
      <c r="C707" t="s">
        <v>25</v>
      </c>
      <c r="D707" t="s">
        <v>25</v>
      </c>
      <c r="F707" t="s">
        <v>51</v>
      </c>
      <c r="G707" t="s">
        <v>3264</v>
      </c>
      <c r="T707" t="s">
        <v>3265</v>
      </c>
      <c r="U707" t="s">
        <v>3266</v>
      </c>
      <c r="V707" t="s">
        <v>3267</v>
      </c>
      <c r="W707" t="s">
        <v>3268</v>
      </c>
      <c r="X707" t="s">
        <v>3269</v>
      </c>
      <c r="Y707">
        <v>1</v>
      </c>
    </row>
    <row r="708" spans="1:26">
      <c r="A708" s="1">
        <v>706</v>
      </c>
      <c r="B708" t="str">
        <f>HYPERLINK("https://bugs.eclipse.org/bugs/show_bug.cgi?id=26644", "26644")</f>
        <v>26644</v>
      </c>
      <c r="C708" t="s">
        <v>3270</v>
      </c>
      <c r="D708" t="s">
        <v>10</v>
      </c>
      <c r="E708" t="s">
        <v>15</v>
      </c>
      <c r="F708" t="s">
        <v>26</v>
      </c>
      <c r="G708" t="s">
        <v>3271</v>
      </c>
      <c r="L708" t="s">
        <v>3170</v>
      </c>
      <c r="Q708" t="s">
        <v>3170</v>
      </c>
      <c r="T708" t="s">
        <v>3272</v>
      </c>
      <c r="U708" t="s">
        <v>3170</v>
      </c>
      <c r="V708" t="s">
        <v>3273</v>
      </c>
      <c r="W708" t="s">
        <v>60</v>
      </c>
      <c r="X708" t="s">
        <v>3274</v>
      </c>
      <c r="Y708">
        <v>0</v>
      </c>
      <c r="Z708">
        <v>0</v>
      </c>
    </row>
    <row r="709" spans="1:26">
      <c r="A709" s="1">
        <v>707</v>
      </c>
      <c r="B709" t="str">
        <f>HYPERLINK("https://bugs.eclipse.org/bugs/show_bug.cgi?id=26645", "26645")</f>
        <v>26645</v>
      </c>
      <c r="C709" t="s">
        <v>3275</v>
      </c>
      <c r="D709" t="s">
        <v>10</v>
      </c>
      <c r="E709" t="s">
        <v>15</v>
      </c>
      <c r="F709" t="s">
        <v>26</v>
      </c>
      <c r="L709" t="s">
        <v>3276</v>
      </c>
      <c r="Q709" t="s">
        <v>3276</v>
      </c>
      <c r="T709" t="s">
        <v>3277</v>
      </c>
      <c r="U709" t="s">
        <v>3276</v>
      </c>
      <c r="V709" t="s">
        <v>3276</v>
      </c>
      <c r="W709" t="s">
        <v>60</v>
      </c>
      <c r="X709" t="s">
        <v>3278</v>
      </c>
      <c r="Y709">
        <v>0</v>
      </c>
      <c r="Z709">
        <v>0</v>
      </c>
    </row>
    <row r="710" spans="1:26">
      <c r="A710" s="1">
        <v>708</v>
      </c>
      <c r="B710" t="str">
        <f>HYPERLINK("https://bugs.eclipse.org/bugs/show_bug.cgi?id=26769", "26769")</f>
        <v>26769</v>
      </c>
      <c r="C710" t="s">
        <v>149</v>
      </c>
      <c r="D710" t="s">
        <v>10</v>
      </c>
      <c r="E710" t="s">
        <v>12</v>
      </c>
      <c r="F710" t="s">
        <v>26</v>
      </c>
      <c r="G710" t="s">
        <v>3279</v>
      </c>
      <c r="L710" t="s">
        <v>3280</v>
      </c>
      <c r="N710" t="s">
        <v>3280</v>
      </c>
      <c r="T710" t="s">
        <v>3281</v>
      </c>
      <c r="U710" t="s">
        <v>3282</v>
      </c>
      <c r="V710" t="s">
        <v>3283</v>
      </c>
      <c r="W710" t="s">
        <v>60</v>
      </c>
      <c r="X710" t="s">
        <v>3284</v>
      </c>
      <c r="Y710">
        <v>0</v>
      </c>
      <c r="Z710">
        <v>5</v>
      </c>
    </row>
    <row r="711" spans="1:26">
      <c r="A711" s="1">
        <v>709</v>
      </c>
      <c r="B711" t="str">
        <f>HYPERLINK("https://bugs.eclipse.org/bugs/show_bug.cgi?id=26844", "26844")</f>
        <v>26844</v>
      </c>
      <c r="C711" t="s">
        <v>56</v>
      </c>
      <c r="D711" t="s">
        <v>10</v>
      </c>
      <c r="E711" t="s">
        <v>14</v>
      </c>
      <c r="F711" t="s">
        <v>26</v>
      </c>
      <c r="L711" t="s">
        <v>3285</v>
      </c>
      <c r="P711" t="s">
        <v>3285</v>
      </c>
      <c r="T711" t="s">
        <v>3286</v>
      </c>
      <c r="U711" t="s">
        <v>3287</v>
      </c>
      <c r="V711" t="s">
        <v>3285</v>
      </c>
      <c r="W711" t="s">
        <v>60</v>
      </c>
      <c r="X711" t="s">
        <v>3288</v>
      </c>
      <c r="Y711">
        <v>0</v>
      </c>
      <c r="Z711">
        <v>91</v>
      </c>
    </row>
    <row r="712" spans="1:26">
      <c r="A712" s="1">
        <v>710</v>
      </c>
      <c r="B712" t="str">
        <f>HYPERLINK("https://bugs.eclipse.org/bugs/show_bug.cgi?id=26865", "26865")</f>
        <v>26865</v>
      </c>
      <c r="C712" t="s">
        <v>149</v>
      </c>
      <c r="D712" t="s">
        <v>10</v>
      </c>
      <c r="E712" t="s">
        <v>12</v>
      </c>
      <c r="F712" t="s">
        <v>145</v>
      </c>
      <c r="L712" t="s">
        <v>3289</v>
      </c>
      <c r="N712" t="s">
        <v>3289</v>
      </c>
      <c r="T712" t="s">
        <v>3290</v>
      </c>
      <c r="U712" t="s">
        <v>3291</v>
      </c>
      <c r="V712" t="s">
        <v>3289</v>
      </c>
      <c r="W712" t="s">
        <v>2971</v>
      </c>
      <c r="X712" t="s">
        <v>3292</v>
      </c>
      <c r="Y712">
        <v>0</v>
      </c>
      <c r="Z712">
        <v>0</v>
      </c>
    </row>
    <row r="713" spans="1:26">
      <c r="A713" s="1">
        <v>711</v>
      </c>
      <c r="B713" t="str">
        <f>HYPERLINK("https://bugs.eclipse.org/bugs/show_bug.cgi?id=26956", "26956")</f>
        <v>26956</v>
      </c>
      <c r="C713" t="s">
        <v>149</v>
      </c>
      <c r="D713" t="s">
        <v>10</v>
      </c>
      <c r="E713" t="s">
        <v>12</v>
      </c>
      <c r="F713" t="s">
        <v>26</v>
      </c>
      <c r="L713" t="s">
        <v>3293</v>
      </c>
      <c r="N713" t="s">
        <v>3293</v>
      </c>
      <c r="T713" t="s">
        <v>3294</v>
      </c>
      <c r="U713" t="s">
        <v>3295</v>
      </c>
      <c r="V713" t="s">
        <v>3293</v>
      </c>
      <c r="W713" t="s">
        <v>60</v>
      </c>
      <c r="X713" t="s">
        <v>3296</v>
      </c>
      <c r="Y713">
        <v>26</v>
      </c>
      <c r="Z713">
        <v>27</v>
      </c>
    </row>
    <row r="714" spans="1:26">
      <c r="A714" s="1">
        <v>712</v>
      </c>
      <c r="B714" t="str">
        <f>HYPERLINK("https://bugs.eclipse.org/bugs/show_bug.cgi?id=26971", "26971")</f>
        <v>26971</v>
      </c>
      <c r="C714" t="s">
        <v>995</v>
      </c>
      <c r="D714" t="s">
        <v>192</v>
      </c>
      <c r="E714" t="s">
        <v>12</v>
      </c>
      <c r="F714" t="s">
        <v>26</v>
      </c>
      <c r="L714" t="s">
        <v>3297</v>
      </c>
      <c r="N714" t="s">
        <v>3297</v>
      </c>
      <c r="T714" t="s">
        <v>3298</v>
      </c>
      <c r="U714" t="s">
        <v>3299</v>
      </c>
      <c r="V714" t="s">
        <v>3300</v>
      </c>
      <c r="W714" t="s">
        <v>3301</v>
      </c>
      <c r="X714" t="s">
        <v>3302</v>
      </c>
      <c r="Y714">
        <v>0</v>
      </c>
      <c r="Z714">
        <v>26</v>
      </c>
    </row>
    <row r="715" spans="1:26">
      <c r="A715" s="1">
        <v>713</v>
      </c>
      <c r="B715" t="str">
        <f>HYPERLINK("https://bugs.eclipse.org/bugs/show_bug.cgi?id=26974", "26974")</f>
        <v>26974</v>
      </c>
      <c r="C715" t="s">
        <v>3303</v>
      </c>
      <c r="D715" t="s">
        <v>10</v>
      </c>
      <c r="E715" t="s">
        <v>15</v>
      </c>
      <c r="F715" t="s">
        <v>150</v>
      </c>
      <c r="L715" t="s">
        <v>3304</v>
      </c>
      <c r="Q715" t="s">
        <v>3304</v>
      </c>
      <c r="T715" t="s">
        <v>3305</v>
      </c>
      <c r="U715" t="s">
        <v>3306</v>
      </c>
      <c r="V715" t="s">
        <v>3304</v>
      </c>
      <c r="W715" t="s">
        <v>60</v>
      </c>
      <c r="X715" t="s">
        <v>3307</v>
      </c>
      <c r="Y715">
        <v>0</v>
      </c>
      <c r="Z715">
        <v>3</v>
      </c>
    </row>
    <row r="716" spans="1:26">
      <c r="A716" s="1">
        <v>714</v>
      </c>
      <c r="B716" t="str">
        <f>HYPERLINK("https://bugs.eclipse.org/bugs/show_bug.cgi?id=27024", "27024")</f>
        <v>27024</v>
      </c>
      <c r="C716" t="s">
        <v>3303</v>
      </c>
      <c r="D716" t="s">
        <v>10</v>
      </c>
      <c r="E716" t="s">
        <v>15</v>
      </c>
      <c r="F716" t="s">
        <v>26</v>
      </c>
      <c r="L716" t="s">
        <v>3283</v>
      </c>
      <c r="Q716" t="s">
        <v>3283</v>
      </c>
      <c r="T716" t="s">
        <v>3308</v>
      </c>
      <c r="U716" t="s">
        <v>3283</v>
      </c>
      <c r="V716" t="s">
        <v>3283</v>
      </c>
      <c r="W716" t="s">
        <v>60</v>
      </c>
      <c r="X716" t="s">
        <v>3309</v>
      </c>
      <c r="Y716">
        <v>2</v>
      </c>
      <c r="Z716">
        <v>2</v>
      </c>
    </row>
    <row r="717" spans="1:26">
      <c r="A717" s="1">
        <v>715</v>
      </c>
      <c r="B717" t="str">
        <f>HYPERLINK("https://bugs.eclipse.org/bugs/show_bug.cgi?id=27035", "27035")</f>
        <v>27035</v>
      </c>
      <c r="C717" t="s">
        <v>3310</v>
      </c>
      <c r="D717" t="s">
        <v>10</v>
      </c>
      <c r="E717" t="s">
        <v>15</v>
      </c>
      <c r="F717" t="s">
        <v>26</v>
      </c>
      <c r="L717" t="s">
        <v>3311</v>
      </c>
      <c r="Q717" t="s">
        <v>3311</v>
      </c>
      <c r="T717" t="s">
        <v>3312</v>
      </c>
      <c r="U717" t="s">
        <v>3311</v>
      </c>
      <c r="V717" t="s">
        <v>3311</v>
      </c>
      <c r="W717" t="s">
        <v>86</v>
      </c>
      <c r="X717" t="s">
        <v>3313</v>
      </c>
      <c r="Y717">
        <v>1</v>
      </c>
      <c r="Z717">
        <v>1</v>
      </c>
    </row>
    <row r="718" spans="1:26">
      <c r="A718" s="1">
        <v>716</v>
      </c>
      <c r="B718" t="str">
        <f>HYPERLINK("https://bugs.eclipse.org/bugs/show_bug.cgi?id=27038", "27038")</f>
        <v>27038</v>
      </c>
      <c r="C718" t="s">
        <v>149</v>
      </c>
      <c r="D718" t="s">
        <v>10</v>
      </c>
      <c r="E718" t="s">
        <v>12</v>
      </c>
      <c r="F718" t="s">
        <v>150</v>
      </c>
      <c r="L718" t="s">
        <v>3314</v>
      </c>
      <c r="N718" t="s">
        <v>3314</v>
      </c>
      <c r="T718" t="s">
        <v>3315</v>
      </c>
      <c r="U718" t="s">
        <v>3316</v>
      </c>
      <c r="V718" t="s">
        <v>3314</v>
      </c>
      <c r="W718" t="s">
        <v>60</v>
      </c>
      <c r="X718" t="s">
        <v>3317</v>
      </c>
      <c r="Y718">
        <v>1</v>
      </c>
      <c r="Z718">
        <v>2</v>
      </c>
    </row>
    <row r="719" spans="1:26">
      <c r="A719" s="1">
        <v>717</v>
      </c>
      <c r="B719" t="str">
        <f>HYPERLINK("https://bugs.eclipse.org/bugs/show_bug.cgi?id=27042", "27042")</f>
        <v>27042</v>
      </c>
      <c r="C719" t="s">
        <v>3318</v>
      </c>
      <c r="D719" t="s">
        <v>10</v>
      </c>
      <c r="E719" t="s">
        <v>15</v>
      </c>
      <c r="F719" t="s">
        <v>26</v>
      </c>
      <c r="L719" t="s">
        <v>3319</v>
      </c>
      <c r="Q719" t="s">
        <v>3319</v>
      </c>
      <c r="S719" t="s">
        <v>3320</v>
      </c>
      <c r="T719" t="s">
        <v>3321</v>
      </c>
      <c r="U719" t="s">
        <v>3322</v>
      </c>
      <c r="V719" t="s">
        <v>3319</v>
      </c>
      <c r="W719" t="s">
        <v>1954</v>
      </c>
      <c r="X719" t="s">
        <v>3323</v>
      </c>
      <c r="Y719">
        <v>1</v>
      </c>
      <c r="Z719">
        <v>1697.958333333333</v>
      </c>
    </row>
    <row r="720" spans="1:26">
      <c r="A720" s="1">
        <v>718</v>
      </c>
      <c r="B720" t="str">
        <f>HYPERLINK("https://bugs.eclipse.org/bugs/show_bug.cgi?id=27080", "27080")</f>
        <v>27080</v>
      </c>
      <c r="C720" t="s">
        <v>149</v>
      </c>
      <c r="D720" t="s">
        <v>10</v>
      </c>
      <c r="E720" t="s">
        <v>12</v>
      </c>
      <c r="F720" t="s">
        <v>150</v>
      </c>
      <c r="L720" t="s">
        <v>3324</v>
      </c>
      <c r="N720" t="s">
        <v>3324</v>
      </c>
      <c r="T720" t="s">
        <v>3325</v>
      </c>
      <c r="U720" t="s">
        <v>3326</v>
      </c>
      <c r="V720" t="s">
        <v>3324</v>
      </c>
      <c r="W720" t="s">
        <v>60</v>
      </c>
      <c r="X720" t="s">
        <v>3327</v>
      </c>
      <c r="Y720">
        <v>0</v>
      </c>
      <c r="Z720">
        <v>3</v>
      </c>
    </row>
    <row r="721" spans="1:26">
      <c r="A721" s="1">
        <v>719</v>
      </c>
      <c r="B721" t="str">
        <f>HYPERLINK("https://bugs.eclipse.org/bugs/show_bug.cgi?id=27098", "27098")</f>
        <v>27098</v>
      </c>
      <c r="C721" t="s">
        <v>149</v>
      </c>
      <c r="D721" t="s">
        <v>10</v>
      </c>
      <c r="E721" t="s">
        <v>12</v>
      </c>
      <c r="F721" t="s">
        <v>150</v>
      </c>
      <c r="L721" t="s">
        <v>3328</v>
      </c>
      <c r="N721" t="s">
        <v>3328</v>
      </c>
      <c r="T721" t="s">
        <v>3329</v>
      </c>
      <c r="U721" t="s">
        <v>3330</v>
      </c>
      <c r="V721" t="s">
        <v>3328</v>
      </c>
      <c r="W721" t="s">
        <v>60</v>
      </c>
      <c r="X721" t="s">
        <v>3331</v>
      </c>
      <c r="Y721">
        <v>0</v>
      </c>
      <c r="Z721">
        <v>1</v>
      </c>
    </row>
    <row r="722" spans="1:26">
      <c r="A722" s="1">
        <v>720</v>
      </c>
      <c r="B722" t="str">
        <f>HYPERLINK("https://bugs.eclipse.org/bugs/show_bug.cgi?id=27148", "27148")</f>
        <v>27148</v>
      </c>
      <c r="C722" t="s">
        <v>149</v>
      </c>
      <c r="D722" t="s">
        <v>10</v>
      </c>
      <c r="E722" t="s">
        <v>12</v>
      </c>
      <c r="F722" t="s">
        <v>150</v>
      </c>
      <c r="L722" t="s">
        <v>3332</v>
      </c>
      <c r="N722" t="s">
        <v>3332</v>
      </c>
      <c r="T722" t="s">
        <v>3333</v>
      </c>
      <c r="U722" t="s">
        <v>3334</v>
      </c>
      <c r="V722" t="s">
        <v>3332</v>
      </c>
      <c r="W722" t="s">
        <v>2971</v>
      </c>
      <c r="X722" t="s">
        <v>3335</v>
      </c>
      <c r="Y722">
        <v>0</v>
      </c>
      <c r="Z722">
        <v>0</v>
      </c>
    </row>
    <row r="723" spans="1:26">
      <c r="A723" s="1">
        <v>721</v>
      </c>
      <c r="B723" t="str">
        <f>HYPERLINK("https://bugs.eclipse.org/bugs/show_bug.cgi?id=27161", "27161")</f>
        <v>27161</v>
      </c>
      <c r="C723" t="s">
        <v>3336</v>
      </c>
      <c r="D723" t="s">
        <v>10</v>
      </c>
      <c r="E723" t="s">
        <v>15</v>
      </c>
      <c r="F723" t="s">
        <v>26</v>
      </c>
      <c r="L723" t="s">
        <v>3337</v>
      </c>
      <c r="Q723" t="s">
        <v>3337</v>
      </c>
      <c r="T723" t="s">
        <v>3338</v>
      </c>
      <c r="U723" t="s">
        <v>3337</v>
      </c>
      <c r="V723" t="s">
        <v>3337</v>
      </c>
      <c r="W723" t="s">
        <v>86</v>
      </c>
      <c r="X723" t="s">
        <v>3339</v>
      </c>
      <c r="Y723">
        <v>0</v>
      </c>
      <c r="Z723">
        <v>0</v>
      </c>
    </row>
    <row r="724" spans="1:26">
      <c r="A724" s="1">
        <v>722</v>
      </c>
      <c r="B724" t="str">
        <f>HYPERLINK("https://bugs.eclipse.org/bugs/show_bug.cgi?id=27205", "27205")</f>
        <v>27205</v>
      </c>
      <c r="C724" t="s">
        <v>149</v>
      </c>
      <c r="D724" t="s">
        <v>10</v>
      </c>
      <c r="E724" t="s">
        <v>12</v>
      </c>
      <c r="F724" t="s">
        <v>26</v>
      </c>
      <c r="G724" t="s">
        <v>3340</v>
      </c>
      <c r="L724" t="s">
        <v>3341</v>
      </c>
      <c r="N724" t="s">
        <v>3341</v>
      </c>
      <c r="T724" t="s">
        <v>3342</v>
      </c>
      <c r="U724" t="s">
        <v>3341</v>
      </c>
      <c r="V724" t="s">
        <v>3341</v>
      </c>
      <c r="W724" t="s">
        <v>86</v>
      </c>
      <c r="X724" t="s">
        <v>3343</v>
      </c>
      <c r="Y724">
        <v>27</v>
      </c>
      <c r="Z724">
        <v>27</v>
      </c>
    </row>
    <row r="725" spans="1:26">
      <c r="A725" s="1">
        <v>723</v>
      </c>
      <c r="B725" t="str">
        <f>HYPERLINK("https://bugs.eclipse.org/bugs/show_bug.cgi?id=27253", "27253")</f>
        <v>27253</v>
      </c>
      <c r="C725" t="s">
        <v>149</v>
      </c>
      <c r="D725" t="s">
        <v>10</v>
      </c>
      <c r="E725" t="s">
        <v>12</v>
      </c>
      <c r="F725" t="s">
        <v>26</v>
      </c>
      <c r="L725" t="s">
        <v>3344</v>
      </c>
      <c r="N725" t="s">
        <v>3344</v>
      </c>
      <c r="T725" t="s">
        <v>3345</v>
      </c>
      <c r="U725" t="s">
        <v>3346</v>
      </c>
      <c r="V725" t="s">
        <v>3347</v>
      </c>
      <c r="W725" t="s">
        <v>2971</v>
      </c>
      <c r="X725" t="s">
        <v>3348</v>
      </c>
      <c r="Y725">
        <v>0</v>
      </c>
      <c r="Z725">
        <v>1</v>
      </c>
    </row>
    <row r="726" spans="1:26">
      <c r="A726" s="1">
        <v>724</v>
      </c>
      <c r="B726" t="str">
        <f>HYPERLINK("https://bugs.eclipse.org/bugs/show_bug.cgi?id=27377", "27377")</f>
        <v>27377</v>
      </c>
      <c r="C726" t="s">
        <v>3349</v>
      </c>
      <c r="D726" t="s">
        <v>10</v>
      </c>
      <c r="E726" t="s">
        <v>15</v>
      </c>
      <c r="F726" t="s">
        <v>26</v>
      </c>
      <c r="L726" t="s">
        <v>3350</v>
      </c>
      <c r="Q726" t="s">
        <v>3350</v>
      </c>
      <c r="T726" t="s">
        <v>3351</v>
      </c>
      <c r="U726" t="s">
        <v>3352</v>
      </c>
      <c r="V726" t="s">
        <v>3350</v>
      </c>
      <c r="W726" t="s">
        <v>86</v>
      </c>
      <c r="X726" t="s">
        <v>3353</v>
      </c>
      <c r="Y726">
        <v>0</v>
      </c>
      <c r="Z726">
        <v>39</v>
      </c>
    </row>
    <row r="727" spans="1:26">
      <c r="A727" s="1">
        <v>725</v>
      </c>
      <c r="B727" t="str">
        <f>HYPERLINK("https://bugs.eclipse.org/bugs/show_bug.cgi?id=27415", "27415")</f>
        <v>27415</v>
      </c>
      <c r="C727" t="s">
        <v>149</v>
      </c>
      <c r="D727" t="s">
        <v>10</v>
      </c>
      <c r="E727" t="s">
        <v>12</v>
      </c>
      <c r="F727" t="s">
        <v>26</v>
      </c>
      <c r="L727" t="s">
        <v>3354</v>
      </c>
      <c r="N727" t="s">
        <v>3354</v>
      </c>
      <c r="T727" t="s">
        <v>3355</v>
      </c>
      <c r="U727" t="s">
        <v>3356</v>
      </c>
      <c r="V727" t="s">
        <v>3354</v>
      </c>
      <c r="W727" t="s">
        <v>86</v>
      </c>
      <c r="X727" t="s">
        <v>3357</v>
      </c>
      <c r="Y727">
        <v>2</v>
      </c>
      <c r="Z727">
        <v>24</v>
      </c>
    </row>
    <row r="728" spans="1:26">
      <c r="A728" s="1">
        <v>726</v>
      </c>
      <c r="B728" t="str">
        <f>HYPERLINK("https://bugs.eclipse.org/bugs/show_bug.cgi?id=27439", "27439")</f>
        <v>27439</v>
      </c>
      <c r="C728" t="s">
        <v>56</v>
      </c>
      <c r="D728" t="s">
        <v>10</v>
      </c>
      <c r="E728" t="s">
        <v>14</v>
      </c>
      <c r="F728" t="s">
        <v>26</v>
      </c>
      <c r="L728" t="s">
        <v>3358</v>
      </c>
      <c r="P728" t="s">
        <v>3359</v>
      </c>
      <c r="T728" t="s">
        <v>3360</v>
      </c>
      <c r="U728" t="s">
        <v>3361</v>
      </c>
      <c r="V728" t="s">
        <v>3359</v>
      </c>
      <c r="W728" t="s">
        <v>80</v>
      </c>
      <c r="X728" t="s">
        <v>3362</v>
      </c>
      <c r="Y728">
        <v>3</v>
      </c>
      <c r="Z728">
        <v>2465.958333333333</v>
      </c>
    </row>
    <row r="729" spans="1:26">
      <c r="A729" s="1">
        <v>727</v>
      </c>
      <c r="B729" t="str">
        <f>HYPERLINK("https://bugs.eclipse.org/bugs/show_bug.cgi?id=27561", "27561")</f>
        <v>27561</v>
      </c>
      <c r="C729" t="s">
        <v>149</v>
      </c>
      <c r="D729" t="s">
        <v>10</v>
      </c>
      <c r="E729" t="s">
        <v>12</v>
      </c>
      <c r="F729" t="s">
        <v>26</v>
      </c>
      <c r="L729" t="s">
        <v>3363</v>
      </c>
      <c r="N729" t="s">
        <v>3363</v>
      </c>
      <c r="T729" t="s">
        <v>3364</v>
      </c>
      <c r="U729" t="s">
        <v>3365</v>
      </c>
      <c r="V729" t="s">
        <v>3363</v>
      </c>
      <c r="W729" t="s">
        <v>49</v>
      </c>
      <c r="X729" t="s">
        <v>3366</v>
      </c>
      <c r="Y729">
        <v>0</v>
      </c>
      <c r="Z729">
        <v>7</v>
      </c>
    </row>
    <row r="730" spans="1:26">
      <c r="A730" s="1">
        <v>728</v>
      </c>
      <c r="B730" t="str">
        <f>HYPERLINK("https://bugs.eclipse.org/bugs/show_bug.cgi?id=27563", "27563")</f>
        <v>27563</v>
      </c>
      <c r="C730" t="s">
        <v>149</v>
      </c>
      <c r="D730" t="s">
        <v>10</v>
      </c>
      <c r="E730" t="s">
        <v>12</v>
      </c>
      <c r="F730" t="s">
        <v>26</v>
      </c>
      <c r="L730" t="s">
        <v>3367</v>
      </c>
      <c r="N730" t="s">
        <v>3367</v>
      </c>
      <c r="T730" t="s">
        <v>3368</v>
      </c>
      <c r="U730" t="s">
        <v>3369</v>
      </c>
      <c r="V730" t="s">
        <v>3367</v>
      </c>
      <c r="W730" t="s">
        <v>60</v>
      </c>
      <c r="X730" t="s">
        <v>3370</v>
      </c>
      <c r="Y730">
        <v>0</v>
      </c>
      <c r="Z730">
        <v>7</v>
      </c>
    </row>
    <row r="731" spans="1:26">
      <c r="A731" s="1">
        <v>729</v>
      </c>
      <c r="B731" t="str">
        <f>HYPERLINK("https://bugs.eclipse.org/bugs/show_bug.cgi?id=27566", "27566")</f>
        <v>27566</v>
      </c>
      <c r="C731" t="s">
        <v>56</v>
      </c>
      <c r="D731" t="s">
        <v>10</v>
      </c>
      <c r="E731" t="s">
        <v>14</v>
      </c>
      <c r="F731" t="s">
        <v>26</v>
      </c>
      <c r="L731" t="s">
        <v>3371</v>
      </c>
      <c r="P731" t="s">
        <v>3371</v>
      </c>
      <c r="T731" t="s">
        <v>3372</v>
      </c>
      <c r="U731" t="s">
        <v>3373</v>
      </c>
      <c r="V731" t="s">
        <v>3371</v>
      </c>
      <c r="W731" t="s">
        <v>60</v>
      </c>
      <c r="X731" t="s">
        <v>3374</v>
      </c>
      <c r="Y731">
        <v>0</v>
      </c>
      <c r="Z731">
        <v>79</v>
      </c>
    </row>
    <row r="732" spans="1:26">
      <c r="A732" s="1">
        <v>730</v>
      </c>
      <c r="B732" t="str">
        <f>HYPERLINK("https://bugs.eclipse.org/bugs/show_bug.cgi?id=27649", "27649")</f>
        <v>27649</v>
      </c>
      <c r="C732" t="s">
        <v>149</v>
      </c>
      <c r="D732" t="s">
        <v>10</v>
      </c>
      <c r="E732" t="s">
        <v>12</v>
      </c>
      <c r="F732" t="s">
        <v>26</v>
      </c>
      <c r="L732" t="s">
        <v>3375</v>
      </c>
      <c r="N732" t="s">
        <v>3375</v>
      </c>
      <c r="T732" t="s">
        <v>3376</v>
      </c>
      <c r="U732" t="s">
        <v>3377</v>
      </c>
      <c r="V732" t="s">
        <v>3375</v>
      </c>
      <c r="W732" t="s">
        <v>60</v>
      </c>
      <c r="X732" t="s">
        <v>3378</v>
      </c>
      <c r="Y732">
        <v>0</v>
      </c>
      <c r="Z732">
        <v>6</v>
      </c>
    </row>
    <row r="733" spans="1:26">
      <c r="A733" s="1">
        <v>731</v>
      </c>
      <c r="B733" t="str">
        <f>HYPERLINK("https://bugs.eclipse.org/bugs/show_bug.cgi?id=27662", "27662")</f>
        <v>27662</v>
      </c>
      <c r="C733" t="s">
        <v>56</v>
      </c>
      <c r="D733" t="s">
        <v>10</v>
      </c>
      <c r="E733" t="s">
        <v>14</v>
      </c>
      <c r="F733" t="s">
        <v>26</v>
      </c>
      <c r="L733" t="s">
        <v>3379</v>
      </c>
      <c r="P733" t="s">
        <v>3380</v>
      </c>
      <c r="T733" t="s">
        <v>3381</v>
      </c>
      <c r="U733" t="s">
        <v>3379</v>
      </c>
      <c r="V733" t="s">
        <v>3380</v>
      </c>
      <c r="W733" t="s">
        <v>80</v>
      </c>
      <c r="X733" t="s">
        <v>3382</v>
      </c>
      <c r="Y733">
        <v>0</v>
      </c>
      <c r="Z733">
        <v>2460.958333333333</v>
      </c>
    </row>
    <row r="734" spans="1:26">
      <c r="A734" s="1">
        <v>732</v>
      </c>
      <c r="B734" t="str">
        <f>HYPERLINK("https://bugs.eclipse.org/bugs/show_bug.cgi?id=27681", "27681")</f>
        <v>27681</v>
      </c>
      <c r="C734" t="s">
        <v>140</v>
      </c>
      <c r="D734" t="s">
        <v>10</v>
      </c>
      <c r="E734" t="s">
        <v>16</v>
      </c>
      <c r="F734" t="s">
        <v>26</v>
      </c>
      <c r="L734" t="s">
        <v>3383</v>
      </c>
      <c r="R734" t="s">
        <v>3383</v>
      </c>
      <c r="T734" t="s">
        <v>3384</v>
      </c>
      <c r="U734" t="s">
        <v>3385</v>
      </c>
      <c r="V734" t="s">
        <v>3383</v>
      </c>
      <c r="W734" t="s">
        <v>60</v>
      </c>
      <c r="X734" t="s">
        <v>3386</v>
      </c>
      <c r="Y734">
        <v>0</v>
      </c>
      <c r="Z734">
        <v>6</v>
      </c>
    </row>
    <row r="735" spans="1:26">
      <c r="A735" s="1">
        <v>733</v>
      </c>
      <c r="B735" t="str">
        <f>HYPERLINK("https://bugs.eclipse.org/bugs/show_bug.cgi?id=27726", "27726")</f>
        <v>27726</v>
      </c>
      <c r="C735" t="s">
        <v>149</v>
      </c>
      <c r="D735" t="s">
        <v>10</v>
      </c>
      <c r="E735" t="s">
        <v>12</v>
      </c>
      <c r="F735" t="s">
        <v>26</v>
      </c>
      <c r="G735" t="s">
        <v>3387</v>
      </c>
      <c r="L735" t="s">
        <v>3388</v>
      </c>
      <c r="N735" t="s">
        <v>3388</v>
      </c>
      <c r="S735" t="s">
        <v>3389</v>
      </c>
      <c r="T735" t="s">
        <v>3390</v>
      </c>
      <c r="U735" t="s">
        <v>3391</v>
      </c>
      <c r="V735" t="s">
        <v>3388</v>
      </c>
      <c r="W735" t="s">
        <v>86</v>
      </c>
      <c r="X735" t="s">
        <v>3392</v>
      </c>
      <c r="Y735">
        <v>4</v>
      </c>
      <c r="Z735">
        <v>616.95833333333337</v>
      </c>
    </row>
    <row r="736" spans="1:26">
      <c r="A736" s="1">
        <v>734</v>
      </c>
      <c r="B736" t="str">
        <f>HYPERLINK("https://bugs.eclipse.org/bugs/show_bug.cgi?id=27732", "27732")</f>
        <v>27732</v>
      </c>
      <c r="C736" t="s">
        <v>56</v>
      </c>
      <c r="D736" t="s">
        <v>10</v>
      </c>
      <c r="E736" t="s">
        <v>14</v>
      </c>
      <c r="F736" t="s">
        <v>26</v>
      </c>
      <c r="L736" t="s">
        <v>3393</v>
      </c>
      <c r="P736" t="s">
        <v>3393</v>
      </c>
      <c r="T736" t="s">
        <v>3394</v>
      </c>
      <c r="U736" t="s">
        <v>3395</v>
      </c>
      <c r="V736" t="s">
        <v>3393</v>
      </c>
      <c r="W736" t="s">
        <v>60</v>
      </c>
      <c r="X736" t="s">
        <v>3396</v>
      </c>
      <c r="Y736">
        <v>0</v>
      </c>
      <c r="Z736">
        <v>13</v>
      </c>
    </row>
    <row r="737" spans="1:26">
      <c r="A737" s="1">
        <v>735</v>
      </c>
      <c r="B737" t="str">
        <f>HYPERLINK("https://bugs.eclipse.org/bugs/show_bug.cgi?id=27740", "27740")</f>
        <v>27740</v>
      </c>
      <c r="C737" t="s">
        <v>25</v>
      </c>
      <c r="D737" t="s">
        <v>25</v>
      </c>
      <c r="F737" t="s">
        <v>150</v>
      </c>
      <c r="G737" t="s">
        <v>3397</v>
      </c>
      <c r="L737" t="s">
        <v>3398</v>
      </c>
      <c r="S737" t="s">
        <v>3399</v>
      </c>
      <c r="T737" t="s">
        <v>3400</v>
      </c>
      <c r="U737" t="s">
        <v>3398</v>
      </c>
      <c r="V737" t="s">
        <v>3401</v>
      </c>
      <c r="W737" t="s">
        <v>3402</v>
      </c>
      <c r="X737" t="s">
        <v>3403</v>
      </c>
      <c r="Y737">
        <v>0</v>
      </c>
    </row>
    <row r="738" spans="1:26">
      <c r="A738" s="1">
        <v>736</v>
      </c>
      <c r="B738" t="str">
        <f>HYPERLINK("https://bugs.eclipse.org/bugs/show_bug.cgi?id=27744", "27744")</f>
        <v>27744</v>
      </c>
      <c r="C738" t="s">
        <v>191</v>
      </c>
      <c r="D738" t="s">
        <v>192</v>
      </c>
      <c r="E738" t="s">
        <v>14</v>
      </c>
      <c r="F738" t="s">
        <v>26</v>
      </c>
      <c r="L738" t="s">
        <v>3404</v>
      </c>
      <c r="P738" t="s">
        <v>3405</v>
      </c>
      <c r="T738" t="s">
        <v>3406</v>
      </c>
      <c r="U738" t="s">
        <v>3407</v>
      </c>
      <c r="V738" t="s">
        <v>3405</v>
      </c>
      <c r="W738" t="s">
        <v>80</v>
      </c>
      <c r="X738" t="s">
        <v>3408</v>
      </c>
      <c r="Y738">
        <v>0</v>
      </c>
      <c r="Z738">
        <v>2459.958333333333</v>
      </c>
    </row>
    <row r="739" spans="1:26">
      <c r="A739" s="1">
        <v>737</v>
      </c>
      <c r="B739" t="str">
        <f>HYPERLINK("https://bugs.eclipse.org/bugs/show_bug.cgi?id=27772", "27772")</f>
        <v>27772</v>
      </c>
      <c r="C739" t="s">
        <v>140</v>
      </c>
      <c r="D739" t="s">
        <v>10</v>
      </c>
      <c r="E739" t="s">
        <v>16</v>
      </c>
      <c r="F739" t="s">
        <v>26</v>
      </c>
      <c r="L739" t="s">
        <v>3409</v>
      </c>
      <c r="R739" t="s">
        <v>3409</v>
      </c>
      <c r="T739" t="s">
        <v>3410</v>
      </c>
      <c r="U739" t="s">
        <v>3411</v>
      </c>
      <c r="V739" t="s">
        <v>3409</v>
      </c>
      <c r="W739" t="s">
        <v>134</v>
      </c>
      <c r="X739" t="s">
        <v>3412</v>
      </c>
      <c r="Y739">
        <v>33</v>
      </c>
      <c r="Z739">
        <v>394</v>
      </c>
    </row>
    <row r="740" spans="1:26">
      <c r="A740" s="1">
        <v>738</v>
      </c>
      <c r="B740" t="str">
        <f>HYPERLINK("https://bugs.eclipse.org/bugs/show_bug.cgi?id=27824", "27824")</f>
        <v>27824</v>
      </c>
      <c r="C740" t="s">
        <v>3413</v>
      </c>
      <c r="D740" t="s">
        <v>10</v>
      </c>
      <c r="E740" t="s">
        <v>15</v>
      </c>
      <c r="F740" t="s">
        <v>26</v>
      </c>
      <c r="G740" t="s">
        <v>3414</v>
      </c>
      <c r="L740" t="s">
        <v>3415</v>
      </c>
      <c r="Q740" t="s">
        <v>3415</v>
      </c>
      <c r="T740" t="s">
        <v>3416</v>
      </c>
      <c r="U740" t="s">
        <v>3415</v>
      </c>
      <c r="V740" t="s">
        <v>3415</v>
      </c>
      <c r="W740" t="s">
        <v>60</v>
      </c>
      <c r="X740" t="s">
        <v>3417</v>
      </c>
      <c r="Y740">
        <v>4</v>
      </c>
      <c r="Z740">
        <v>4</v>
      </c>
    </row>
    <row r="741" spans="1:26">
      <c r="A741" s="1">
        <v>739</v>
      </c>
      <c r="B741" t="str">
        <f>HYPERLINK("https://bugs.eclipse.org/bugs/show_bug.cgi?id=27835", "27835")</f>
        <v>27835</v>
      </c>
      <c r="C741" t="s">
        <v>56</v>
      </c>
      <c r="D741" t="s">
        <v>10</v>
      </c>
      <c r="E741" t="s">
        <v>14</v>
      </c>
      <c r="F741" t="s">
        <v>51</v>
      </c>
      <c r="L741" t="s">
        <v>3418</v>
      </c>
      <c r="P741" t="s">
        <v>3419</v>
      </c>
      <c r="T741" t="s">
        <v>3420</v>
      </c>
      <c r="U741" t="s">
        <v>3421</v>
      </c>
      <c r="V741" t="s">
        <v>3419</v>
      </c>
      <c r="W741" t="s">
        <v>80</v>
      </c>
      <c r="X741" t="s">
        <v>3422</v>
      </c>
      <c r="Y741">
        <v>2</v>
      </c>
      <c r="Z741">
        <v>2458.958333333333</v>
      </c>
    </row>
    <row r="742" spans="1:26">
      <c r="A742" s="1">
        <v>740</v>
      </c>
      <c r="B742" t="str">
        <f>HYPERLINK("https://bugs.eclipse.org/bugs/show_bug.cgi?id=27838", "27838")</f>
        <v>27838</v>
      </c>
      <c r="C742" t="s">
        <v>88</v>
      </c>
      <c r="D742" t="s">
        <v>10</v>
      </c>
      <c r="E742" t="s">
        <v>13</v>
      </c>
      <c r="F742" t="s">
        <v>26</v>
      </c>
      <c r="L742" t="s">
        <v>3423</v>
      </c>
      <c r="O742" t="s">
        <v>3423</v>
      </c>
      <c r="T742" t="s">
        <v>3424</v>
      </c>
      <c r="U742" t="s">
        <v>3425</v>
      </c>
      <c r="V742" t="s">
        <v>3423</v>
      </c>
      <c r="W742" t="s">
        <v>143</v>
      </c>
      <c r="X742" t="s">
        <v>3426</v>
      </c>
      <c r="Y742">
        <v>3</v>
      </c>
      <c r="Z742">
        <v>3</v>
      </c>
    </row>
    <row r="743" spans="1:26">
      <c r="A743" s="1">
        <v>741</v>
      </c>
      <c r="B743" t="str">
        <f>HYPERLINK("https://bugs.eclipse.org/bugs/show_bug.cgi?id=27845", "27845")</f>
        <v>27845</v>
      </c>
      <c r="C743" t="s">
        <v>56</v>
      </c>
      <c r="D743" t="s">
        <v>10</v>
      </c>
      <c r="E743" t="s">
        <v>14</v>
      </c>
      <c r="F743" t="s">
        <v>51</v>
      </c>
      <c r="L743" t="s">
        <v>3427</v>
      </c>
      <c r="P743" t="s">
        <v>3428</v>
      </c>
      <c r="T743" t="s">
        <v>3429</v>
      </c>
      <c r="U743" t="s">
        <v>3427</v>
      </c>
      <c r="V743" t="s">
        <v>3428</v>
      </c>
      <c r="W743" t="s">
        <v>75</v>
      </c>
      <c r="X743" t="s">
        <v>3430</v>
      </c>
      <c r="Y743">
        <v>3</v>
      </c>
      <c r="Z743">
        <v>2458.958333333333</v>
      </c>
    </row>
    <row r="744" spans="1:26">
      <c r="A744" s="1">
        <v>742</v>
      </c>
      <c r="B744" t="str">
        <f>HYPERLINK("https://bugs.eclipse.org/bugs/show_bug.cgi?id=27893", "27893")</f>
        <v>27893</v>
      </c>
      <c r="C744" t="s">
        <v>3413</v>
      </c>
      <c r="D744" t="s">
        <v>10</v>
      </c>
      <c r="E744" t="s">
        <v>15</v>
      </c>
      <c r="F744" t="s">
        <v>145</v>
      </c>
      <c r="L744" t="s">
        <v>3431</v>
      </c>
      <c r="Q744" t="s">
        <v>3431</v>
      </c>
      <c r="T744" t="s">
        <v>3432</v>
      </c>
      <c r="U744" t="s">
        <v>3433</v>
      </c>
      <c r="V744" t="s">
        <v>3431</v>
      </c>
      <c r="W744" t="s">
        <v>86</v>
      </c>
      <c r="X744" t="s">
        <v>3434</v>
      </c>
      <c r="Y744">
        <v>2</v>
      </c>
      <c r="Z744">
        <v>2</v>
      </c>
    </row>
    <row r="745" spans="1:26">
      <c r="A745" s="1">
        <v>743</v>
      </c>
      <c r="B745" t="str">
        <f>HYPERLINK("https://bugs.eclipse.org/bugs/show_bug.cgi?id=27915", "27915")</f>
        <v>27915</v>
      </c>
      <c r="C745" t="s">
        <v>56</v>
      </c>
      <c r="D745" t="s">
        <v>10</v>
      </c>
      <c r="E745" t="s">
        <v>14</v>
      </c>
      <c r="F745" t="s">
        <v>26</v>
      </c>
      <c r="L745" t="s">
        <v>3435</v>
      </c>
      <c r="P745" t="s">
        <v>3435</v>
      </c>
      <c r="S745" t="s">
        <v>3436</v>
      </c>
      <c r="T745" t="s">
        <v>3437</v>
      </c>
      <c r="U745" t="s">
        <v>3438</v>
      </c>
      <c r="V745" t="s">
        <v>3435</v>
      </c>
      <c r="W745" t="s">
        <v>86</v>
      </c>
      <c r="X745" t="s">
        <v>3439</v>
      </c>
      <c r="Y745">
        <v>0</v>
      </c>
      <c r="Z745">
        <v>136.95833333333329</v>
      </c>
    </row>
    <row r="746" spans="1:26">
      <c r="A746" s="1">
        <v>744</v>
      </c>
      <c r="B746" t="str">
        <f>HYPERLINK("https://bugs.eclipse.org/bugs/show_bug.cgi?id=27920", "27920")</f>
        <v>27920</v>
      </c>
      <c r="C746" t="s">
        <v>149</v>
      </c>
      <c r="D746" t="s">
        <v>10</v>
      </c>
      <c r="E746" t="s">
        <v>12</v>
      </c>
      <c r="F746" t="s">
        <v>150</v>
      </c>
      <c r="G746" t="s">
        <v>3440</v>
      </c>
      <c r="L746" t="s">
        <v>3441</v>
      </c>
      <c r="N746" t="s">
        <v>3441</v>
      </c>
      <c r="T746" t="s">
        <v>3442</v>
      </c>
      <c r="U746" t="s">
        <v>3443</v>
      </c>
      <c r="V746" t="s">
        <v>3441</v>
      </c>
      <c r="W746" t="s">
        <v>60</v>
      </c>
      <c r="X746" t="s">
        <v>3444</v>
      </c>
      <c r="Y746">
        <v>2</v>
      </c>
      <c r="Z746">
        <v>28</v>
      </c>
    </row>
    <row r="747" spans="1:26">
      <c r="A747" s="1">
        <v>745</v>
      </c>
      <c r="B747" t="str">
        <f>HYPERLINK("https://bugs.eclipse.org/bugs/show_bug.cgi?id=27940", "27940")</f>
        <v>27940</v>
      </c>
      <c r="C747" t="s">
        <v>149</v>
      </c>
      <c r="D747" t="s">
        <v>10</v>
      </c>
      <c r="E747" t="s">
        <v>12</v>
      </c>
      <c r="F747" t="s">
        <v>26</v>
      </c>
      <c r="L747" t="s">
        <v>3445</v>
      </c>
      <c r="N747" t="s">
        <v>3445</v>
      </c>
      <c r="S747" t="s">
        <v>3446</v>
      </c>
      <c r="T747" t="s">
        <v>3447</v>
      </c>
      <c r="U747" t="s">
        <v>3448</v>
      </c>
      <c r="V747" t="s">
        <v>3449</v>
      </c>
      <c r="W747" t="s">
        <v>953</v>
      </c>
      <c r="X747" t="s">
        <v>3450</v>
      </c>
      <c r="Y747">
        <v>0</v>
      </c>
      <c r="Z747">
        <v>104</v>
      </c>
    </row>
    <row r="748" spans="1:26">
      <c r="A748" s="1">
        <v>746</v>
      </c>
      <c r="B748" t="str">
        <f>HYPERLINK("https://bugs.eclipse.org/bugs/show_bug.cgi?id=27988", "27988")</f>
        <v>27988</v>
      </c>
      <c r="C748" t="s">
        <v>149</v>
      </c>
      <c r="D748" t="s">
        <v>10</v>
      </c>
      <c r="E748" t="s">
        <v>12</v>
      </c>
      <c r="F748" t="s">
        <v>26</v>
      </c>
      <c r="L748" t="s">
        <v>3451</v>
      </c>
      <c r="N748" t="s">
        <v>3451</v>
      </c>
      <c r="T748" t="s">
        <v>3452</v>
      </c>
      <c r="U748" t="s">
        <v>3453</v>
      </c>
      <c r="V748" t="s">
        <v>3451</v>
      </c>
      <c r="W748" t="s">
        <v>86</v>
      </c>
      <c r="X748" t="s">
        <v>3454</v>
      </c>
      <c r="Y748">
        <v>1</v>
      </c>
      <c r="Z748">
        <v>11</v>
      </c>
    </row>
    <row r="749" spans="1:26">
      <c r="A749" s="1">
        <v>747</v>
      </c>
      <c r="B749" t="str">
        <f>HYPERLINK("https://bugs.eclipse.org/bugs/show_bug.cgi?id=28021", "28021")</f>
        <v>28021</v>
      </c>
      <c r="C749" t="s">
        <v>56</v>
      </c>
      <c r="D749" t="s">
        <v>10</v>
      </c>
      <c r="E749" t="s">
        <v>14</v>
      </c>
      <c r="F749" t="s">
        <v>26</v>
      </c>
      <c r="G749" t="s">
        <v>3455</v>
      </c>
      <c r="L749" t="s">
        <v>3456</v>
      </c>
      <c r="P749" t="s">
        <v>3457</v>
      </c>
      <c r="S749" t="s">
        <v>3458</v>
      </c>
      <c r="T749" t="s">
        <v>3459</v>
      </c>
      <c r="U749" t="s">
        <v>3460</v>
      </c>
      <c r="V749" t="s">
        <v>3457</v>
      </c>
      <c r="W749" t="s">
        <v>80</v>
      </c>
      <c r="X749" t="s">
        <v>3461</v>
      </c>
      <c r="Y749">
        <v>0</v>
      </c>
      <c r="Z749">
        <v>2454.958333333333</v>
      </c>
    </row>
    <row r="750" spans="1:26">
      <c r="A750" s="1">
        <v>748</v>
      </c>
      <c r="B750" t="str">
        <f>HYPERLINK("https://bugs.eclipse.org/bugs/show_bug.cgi?id=28022", "28022")</f>
        <v>28022</v>
      </c>
      <c r="C750" t="s">
        <v>35</v>
      </c>
      <c r="D750" t="s">
        <v>11</v>
      </c>
      <c r="E750" t="s">
        <v>12</v>
      </c>
      <c r="F750" t="s">
        <v>150</v>
      </c>
      <c r="G750" t="s">
        <v>3462</v>
      </c>
      <c r="L750" t="s">
        <v>3463</v>
      </c>
      <c r="M750" t="s">
        <v>3464</v>
      </c>
      <c r="N750" t="s">
        <v>3463</v>
      </c>
      <c r="S750" t="s">
        <v>3465</v>
      </c>
      <c r="T750" t="s">
        <v>3466</v>
      </c>
      <c r="U750" t="s">
        <v>3467</v>
      </c>
      <c r="V750" t="s">
        <v>3464</v>
      </c>
      <c r="W750" t="s">
        <v>86</v>
      </c>
      <c r="X750" t="s">
        <v>3468</v>
      </c>
      <c r="Y750">
        <v>0</v>
      </c>
      <c r="Z750">
        <v>301.95833333333331</v>
      </c>
    </row>
    <row r="751" spans="1:26">
      <c r="A751" s="1">
        <v>749</v>
      </c>
      <c r="B751" t="str">
        <f>HYPERLINK("https://bugs.eclipse.org/bugs/show_bug.cgi?id=28024", "28024")</f>
        <v>28024</v>
      </c>
      <c r="C751" t="s">
        <v>56</v>
      </c>
      <c r="D751" t="s">
        <v>10</v>
      </c>
      <c r="E751" t="s">
        <v>14</v>
      </c>
      <c r="F751" t="s">
        <v>26</v>
      </c>
      <c r="L751" t="s">
        <v>3469</v>
      </c>
      <c r="P751" t="s">
        <v>3469</v>
      </c>
      <c r="T751" t="s">
        <v>3470</v>
      </c>
      <c r="U751" t="s">
        <v>3469</v>
      </c>
      <c r="V751" t="s">
        <v>3469</v>
      </c>
      <c r="W751" t="s">
        <v>60</v>
      </c>
      <c r="X751" t="s">
        <v>3471</v>
      </c>
      <c r="Y751">
        <v>0</v>
      </c>
      <c r="Z751">
        <v>0</v>
      </c>
    </row>
    <row r="752" spans="1:26">
      <c r="A752" s="1">
        <v>750</v>
      </c>
      <c r="B752" t="str">
        <f>HYPERLINK("https://bugs.eclipse.org/bugs/show_bug.cgi?id=28068", "28068")</f>
        <v>28068</v>
      </c>
      <c r="C752" t="s">
        <v>35</v>
      </c>
      <c r="D752" t="s">
        <v>11</v>
      </c>
      <c r="E752" t="s">
        <v>12</v>
      </c>
      <c r="F752" t="s">
        <v>26</v>
      </c>
      <c r="G752" t="s">
        <v>3472</v>
      </c>
      <c r="L752" t="s">
        <v>3473</v>
      </c>
      <c r="M752" t="s">
        <v>3474</v>
      </c>
      <c r="N752" t="s">
        <v>3473</v>
      </c>
      <c r="S752" t="s">
        <v>3475</v>
      </c>
      <c r="T752" t="s">
        <v>3476</v>
      </c>
      <c r="U752" t="s">
        <v>3477</v>
      </c>
      <c r="V752" t="s">
        <v>3478</v>
      </c>
      <c r="W752" t="s">
        <v>49</v>
      </c>
      <c r="X752" t="s">
        <v>3479</v>
      </c>
      <c r="Y752">
        <v>1</v>
      </c>
      <c r="Z752">
        <v>1638.958333333333</v>
      </c>
    </row>
    <row r="753" spans="1:26">
      <c r="A753" s="1">
        <v>751</v>
      </c>
      <c r="B753" t="str">
        <f>HYPERLINK("https://bugs.eclipse.org/bugs/show_bug.cgi?id=28113", "28113")</f>
        <v>28113</v>
      </c>
      <c r="C753" t="s">
        <v>3480</v>
      </c>
      <c r="D753" t="s">
        <v>10</v>
      </c>
      <c r="E753" t="s">
        <v>15</v>
      </c>
      <c r="F753" t="s">
        <v>26</v>
      </c>
      <c r="L753" t="s">
        <v>3443</v>
      </c>
      <c r="Q753" t="s">
        <v>3443</v>
      </c>
      <c r="T753" t="s">
        <v>3481</v>
      </c>
      <c r="U753" t="s">
        <v>3482</v>
      </c>
      <c r="V753" t="s">
        <v>3443</v>
      </c>
      <c r="W753" t="s">
        <v>60</v>
      </c>
      <c r="X753" t="s">
        <v>3483</v>
      </c>
      <c r="Y753">
        <v>0</v>
      </c>
      <c r="Z753">
        <v>0</v>
      </c>
    </row>
    <row r="754" spans="1:26">
      <c r="A754" s="1">
        <v>752</v>
      </c>
      <c r="B754" t="str">
        <f>HYPERLINK("https://bugs.eclipse.org/bugs/show_bug.cgi?id=28244", "28244")</f>
        <v>28244</v>
      </c>
      <c r="C754" t="s">
        <v>149</v>
      </c>
      <c r="D754" t="s">
        <v>10</v>
      </c>
      <c r="E754" t="s">
        <v>12</v>
      </c>
      <c r="F754" t="s">
        <v>26</v>
      </c>
      <c r="L754" t="s">
        <v>3484</v>
      </c>
      <c r="N754" t="s">
        <v>3484</v>
      </c>
      <c r="T754" t="s">
        <v>3485</v>
      </c>
      <c r="U754" t="s">
        <v>3486</v>
      </c>
      <c r="V754" t="s">
        <v>3484</v>
      </c>
      <c r="W754" t="s">
        <v>86</v>
      </c>
      <c r="X754" t="s">
        <v>3487</v>
      </c>
      <c r="Y754">
        <v>0</v>
      </c>
      <c r="Z754">
        <v>7</v>
      </c>
    </row>
    <row r="755" spans="1:26">
      <c r="A755" s="1">
        <v>753</v>
      </c>
      <c r="B755" t="str">
        <f>HYPERLINK("https://bugs.eclipse.org/bugs/show_bug.cgi?id=28260", "28260")</f>
        <v>28260</v>
      </c>
      <c r="C755" t="s">
        <v>35</v>
      </c>
      <c r="D755" t="s">
        <v>11</v>
      </c>
      <c r="E755" t="s">
        <v>12</v>
      </c>
      <c r="F755" t="s">
        <v>26</v>
      </c>
      <c r="L755" t="s">
        <v>3488</v>
      </c>
      <c r="M755" t="s">
        <v>3489</v>
      </c>
      <c r="N755" t="s">
        <v>3488</v>
      </c>
      <c r="T755" t="s">
        <v>3490</v>
      </c>
      <c r="U755" t="s">
        <v>3491</v>
      </c>
      <c r="V755" t="s">
        <v>3489</v>
      </c>
      <c r="W755" t="s">
        <v>3492</v>
      </c>
      <c r="X755" t="s">
        <v>3493</v>
      </c>
      <c r="Y755">
        <v>0</v>
      </c>
      <c r="Z755">
        <v>68</v>
      </c>
    </row>
    <row r="756" spans="1:26">
      <c r="A756" s="1">
        <v>754</v>
      </c>
      <c r="B756" t="str">
        <f>HYPERLINK("https://bugs.eclipse.org/bugs/show_bug.cgi?id=28268", "28268")</f>
        <v>28268</v>
      </c>
      <c r="C756" t="s">
        <v>149</v>
      </c>
      <c r="D756" t="s">
        <v>10</v>
      </c>
      <c r="E756" t="s">
        <v>12</v>
      </c>
      <c r="F756" t="s">
        <v>26</v>
      </c>
      <c r="G756" t="s">
        <v>3494</v>
      </c>
      <c r="L756" t="s">
        <v>3495</v>
      </c>
      <c r="N756" t="s">
        <v>3495</v>
      </c>
      <c r="T756" t="s">
        <v>3496</v>
      </c>
      <c r="U756" t="s">
        <v>3497</v>
      </c>
      <c r="V756" t="s">
        <v>3495</v>
      </c>
      <c r="W756" t="s">
        <v>86</v>
      </c>
      <c r="X756" t="s">
        <v>3498</v>
      </c>
      <c r="Y756">
        <v>0</v>
      </c>
      <c r="Z756">
        <v>521.95833333333337</v>
      </c>
    </row>
    <row r="757" spans="1:26">
      <c r="A757" s="1">
        <v>755</v>
      </c>
      <c r="B757" t="str">
        <f>HYPERLINK("https://bugs.eclipse.org/bugs/show_bug.cgi?id=28321", "28321")</f>
        <v>28321</v>
      </c>
      <c r="C757" t="s">
        <v>149</v>
      </c>
      <c r="D757" t="s">
        <v>10</v>
      </c>
      <c r="E757" t="s">
        <v>12</v>
      </c>
      <c r="F757" t="s">
        <v>26</v>
      </c>
      <c r="L757" t="s">
        <v>3499</v>
      </c>
      <c r="N757" t="s">
        <v>3499</v>
      </c>
      <c r="S757" t="s">
        <v>3500</v>
      </c>
      <c r="T757" t="s">
        <v>3501</v>
      </c>
      <c r="U757" t="s">
        <v>3502</v>
      </c>
      <c r="V757" t="s">
        <v>3499</v>
      </c>
      <c r="W757" t="s">
        <v>86</v>
      </c>
      <c r="X757" t="s">
        <v>3503</v>
      </c>
      <c r="Y757">
        <v>2</v>
      </c>
      <c r="Z757">
        <v>109</v>
      </c>
    </row>
    <row r="758" spans="1:26">
      <c r="A758" s="1">
        <v>756</v>
      </c>
      <c r="B758" t="str">
        <f>HYPERLINK("https://bugs.eclipse.org/bugs/show_bug.cgi?id=28332", "28332")</f>
        <v>28332</v>
      </c>
      <c r="C758" t="s">
        <v>56</v>
      </c>
      <c r="D758" t="s">
        <v>10</v>
      </c>
      <c r="E758" t="s">
        <v>14</v>
      </c>
      <c r="F758" t="s">
        <v>26</v>
      </c>
      <c r="L758" t="s">
        <v>3504</v>
      </c>
      <c r="P758" t="s">
        <v>3505</v>
      </c>
      <c r="T758" t="s">
        <v>3506</v>
      </c>
      <c r="U758" t="s">
        <v>3507</v>
      </c>
      <c r="V758" t="s">
        <v>3505</v>
      </c>
      <c r="W758" t="s">
        <v>80</v>
      </c>
      <c r="X758" t="s">
        <v>3508</v>
      </c>
      <c r="Y758">
        <v>2</v>
      </c>
      <c r="Z758">
        <v>2450.958333333333</v>
      </c>
    </row>
    <row r="759" spans="1:26">
      <c r="A759" s="1">
        <v>757</v>
      </c>
      <c r="B759" t="str">
        <f>HYPERLINK("https://bugs.eclipse.org/bugs/show_bug.cgi?id=28457", "28457")</f>
        <v>28457</v>
      </c>
      <c r="C759" t="s">
        <v>149</v>
      </c>
      <c r="D759" t="s">
        <v>10</v>
      </c>
      <c r="E759" t="s">
        <v>12</v>
      </c>
      <c r="F759" t="s">
        <v>150</v>
      </c>
      <c r="L759" t="s">
        <v>3509</v>
      </c>
      <c r="N759" t="s">
        <v>3509</v>
      </c>
      <c r="T759" t="s">
        <v>3510</v>
      </c>
      <c r="U759" t="s">
        <v>3511</v>
      </c>
      <c r="V759" t="s">
        <v>3509</v>
      </c>
      <c r="W759" t="s">
        <v>60</v>
      </c>
      <c r="X759" t="s">
        <v>3512</v>
      </c>
      <c r="Y759">
        <v>0</v>
      </c>
      <c r="Z759">
        <v>35</v>
      </c>
    </row>
    <row r="760" spans="1:26">
      <c r="A760" s="1">
        <v>758</v>
      </c>
      <c r="B760" t="str">
        <f>HYPERLINK("https://bugs.eclipse.org/bugs/show_bug.cgi?id=28486", "28486")</f>
        <v>28486</v>
      </c>
      <c r="C760" t="s">
        <v>88</v>
      </c>
      <c r="D760" t="s">
        <v>10</v>
      </c>
      <c r="E760" t="s">
        <v>13</v>
      </c>
      <c r="F760" t="s">
        <v>26</v>
      </c>
      <c r="L760" t="s">
        <v>3513</v>
      </c>
      <c r="O760" t="s">
        <v>3513</v>
      </c>
      <c r="T760" t="s">
        <v>3514</v>
      </c>
      <c r="U760" t="s">
        <v>3513</v>
      </c>
      <c r="V760" t="s">
        <v>3513</v>
      </c>
      <c r="W760" t="s">
        <v>60</v>
      </c>
      <c r="X760" t="s">
        <v>3515</v>
      </c>
      <c r="Y760">
        <v>1</v>
      </c>
      <c r="Z760">
        <v>1</v>
      </c>
    </row>
    <row r="761" spans="1:26">
      <c r="A761" s="1">
        <v>759</v>
      </c>
      <c r="B761" t="str">
        <f>HYPERLINK("https://bugs.eclipse.org/bugs/show_bug.cgi?id=28494", "28494")</f>
        <v>28494</v>
      </c>
      <c r="C761" t="s">
        <v>140</v>
      </c>
      <c r="D761" t="s">
        <v>10</v>
      </c>
      <c r="E761" t="s">
        <v>16</v>
      </c>
      <c r="F761" t="s">
        <v>150</v>
      </c>
      <c r="L761" t="s">
        <v>3516</v>
      </c>
      <c r="R761" t="s">
        <v>3516</v>
      </c>
      <c r="S761" t="s">
        <v>3517</v>
      </c>
      <c r="T761" t="s">
        <v>3518</v>
      </c>
      <c r="U761" t="s">
        <v>3519</v>
      </c>
      <c r="V761" t="s">
        <v>3516</v>
      </c>
      <c r="W761" t="s">
        <v>60</v>
      </c>
      <c r="X761" t="s">
        <v>3520</v>
      </c>
      <c r="Y761">
        <v>0</v>
      </c>
      <c r="Z761">
        <v>41</v>
      </c>
    </row>
    <row r="762" spans="1:26">
      <c r="A762" s="1">
        <v>760</v>
      </c>
      <c r="B762" t="str">
        <f>HYPERLINK("https://bugs.eclipse.org/bugs/show_bug.cgi?id=28500", "28500")</f>
        <v>28500</v>
      </c>
      <c r="C762" t="s">
        <v>149</v>
      </c>
      <c r="D762" t="s">
        <v>10</v>
      </c>
      <c r="E762" t="s">
        <v>12</v>
      </c>
      <c r="F762" t="s">
        <v>145</v>
      </c>
      <c r="L762" t="s">
        <v>3521</v>
      </c>
      <c r="N762" t="s">
        <v>3521</v>
      </c>
      <c r="T762" t="s">
        <v>3522</v>
      </c>
      <c r="U762" t="s">
        <v>3523</v>
      </c>
      <c r="V762" t="s">
        <v>3521</v>
      </c>
      <c r="W762" t="s">
        <v>134</v>
      </c>
      <c r="X762" t="s">
        <v>3524</v>
      </c>
      <c r="Y762">
        <v>0</v>
      </c>
      <c r="Z762">
        <v>0</v>
      </c>
    </row>
    <row r="763" spans="1:26">
      <c r="A763" s="1">
        <v>761</v>
      </c>
      <c r="B763" t="str">
        <f>HYPERLINK("https://bugs.eclipse.org/bugs/show_bug.cgi?id=28509", "28509")</f>
        <v>28509</v>
      </c>
      <c r="C763" t="s">
        <v>140</v>
      </c>
      <c r="D763" t="s">
        <v>10</v>
      </c>
      <c r="E763" t="s">
        <v>16</v>
      </c>
      <c r="F763" t="s">
        <v>150</v>
      </c>
      <c r="L763" t="s">
        <v>3525</v>
      </c>
      <c r="R763" t="s">
        <v>3525</v>
      </c>
      <c r="T763" t="s">
        <v>3526</v>
      </c>
      <c r="U763" t="s">
        <v>3527</v>
      </c>
      <c r="V763" t="s">
        <v>3525</v>
      </c>
      <c r="W763" t="s">
        <v>60</v>
      </c>
      <c r="X763" t="s">
        <v>3528</v>
      </c>
      <c r="Y763">
        <v>0</v>
      </c>
      <c r="Z763">
        <v>3</v>
      </c>
    </row>
    <row r="764" spans="1:26">
      <c r="A764" s="1">
        <v>762</v>
      </c>
      <c r="B764" t="str">
        <f>HYPERLINK("https://bugs.eclipse.org/bugs/show_bug.cgi?id=28526", "28526")</f>
        <v>28526</v>
      </c>
      <c r="C764" t="s">
        <v>149</v>
      </c>
      <c r="D764" t="s">
        <v>10</v>
      </c>
      <c r="E764" t="s">
        <v>12</v>
      </c>
      <c r="F764" t="s">
        <v>26</v>
      </c>
      <c r="L764" t="s">
        <v>3529</v>
      </c>
      <c r="N764" t="s">
        <v>3529</v>
      </c>
      <c r="T764" t="s">
        <v>3530</v>
      </c>
      <c r="U764" t="s">
        <v>3531</v>
      </c>
      <c r="V764" t="s">
        <v>3529</v>
      </c>
      <c r="W764" t="s">
        <v>60</v>
      </c>
      <c r="X764" t="s">
        <v>3532</v>
      </c>
      <c r="Y764">
        <v>0</v>
      </c>
      <c r="Z764">
        <v>45</v>
      </c>
    </row>
    <row r="765" spans="1:26">
      <c r="A765" s="1">
        <v>763</v>
      </c>
      <c r="B765" t="str">
        <f>HYPERLINK("https://bugs.eclipse.org/bugs/show_bug.cgi?id=28527", "28527")</f>
        <v>28527</v>
      </c>
      <c r="C765" t="s">
        <v>149</v>
      </c>
      <c r="D765" t="s">
        <v>10</v>
      </c>
      <c r="E765" t="s">
        <v>12</v>
      </c>
      <c r="F765" t="s">
        <v>26</v>
      </c>
      <c r="L765" t="s">
        <v>3533</v>
      </c>
      <c r="N765" t="s">
        <v>3533</v>
      </c>
      <c r="T765" t="s">
        <v>3534</v>
      </c>
      <c r="U765" t="s">
        <v>3535</v>
      </c>
      <c r="V765" t="s">
        <v>3533</v>
      </c>
      <c r="W765" t="s">
        <v>60</v>
      </c>
      <c r="X765" t="s">
        <v>3536</v>
      </c>
      <c r="Y765">
        <v>0</v>
      </c>
      <c r="Z765">
        <v>45</v>
      </c>
    </row>
    <row r="766" spans="1:26">
      <c r="A766" s="1">
        <v>764</v>
      </c>
      <c r="B766" t="str">
        <f>HYPERLINK("https://bugs.eclipse.org/bugs/show_bug.cgi?id=28534", "28534")</f>
        <v>28534</v>
      </c>
      <c r="C766" t="s">
        <v>1062</v>
      </c>
      <c r="D766" t="s">
        <v>10</v>
      </c>
      <c r="E766" t="s">
        <v>15</v>
      </c>
      <c r="F766" t="s">
        <v>26</v>
      </c>
      <c r="L766" t="s">
        <v>3537</v>
      </c>
      <c r="Q766" t="s">
        <v>3537</v>
      </c>
      <c r="T766" t="s">
        <v>3538</v>
      </c>
      <c r="U766" t="s">
        <v>3539</v>
      </c>
      <c r="V766" t="s">
        <v>3537</v>
      </c>
      <c r="W766" t="s">
        <v>60</v>
      </c>
      <c r="X766" t="s">
        <v>3540</v>
      </c>
      <c r="Y766">
        <v>0</v>
      </c>
      <c r="Z766">
        <v>0</v>
      </c>
    </row>
    <row r="767" spans="1:26">
      <c r="A767" s="1">
        <v>765</v>
      </c>
      <c r="B767" t="str">
        <f>HYPERLINK("https://bugs.eclipse.org/bugs/show_bug.cgi?id=28793", "28793")</f>
        <v>28793</v>
      </c>
      <c r="C767" t="s">
        <v>149</v>
      </c>
      <c r="D767" t="s">
        <v>10</v>
      </c>
      <c r="E767" t="s">
        <v>12</v>
      </c>
      <c r="F767" t="s">
        <v>26</v>
      </c>
      <c r="L767" t="s">
        <v>3541</v>
      </c>
      <c r="N767" t="s">
        <v>3541</v>
      </c>
      <c r="T767" t="s">
        <v>3542</v>
      </c>
      <c r="U767" t="s">
        <v>3543</v>
      </c>
      <c r="V767" t="s">
        <v>3541</v>
      </c>
      <c r="W767" t="s">
        <v>49</v>
      </c>
      <c r="X767" t="s">
        <v>3544</v>
      </c>
      <c r="Y767">
        <v>1</v>
      </c>
      <c r="Z767">
        <v>58</v>
      </c>
    </row>
    <row r="768" spans="1:26">
      <c r="A768" s="1">
        <v>766</v>
      </c>
      <c r="B768" t="str">
        <f>HYPERLINK("https://bugs.eclipse.org/bugs/show_bug.cgi?id=28808", "28808")</f>
        <v>28808</v>
      </c>
      <c r="C768" t="s">
        <v>149</v>
      </c>
      <c r="D768" t="s">
        <v>10</v>
      </c>
      <c r="E768" t="s">
        <v>12</v>
      </c>
      <c r="F768" t="s">
        <v>26</v>
      </c>
      <c r="L768" t="s">
        <v>3545</v>
      </c>
      <c r="N768" t="s">
        <v>3545</v>
      </c>
      <c r="T768" t="s">
        <v>3546</v>
      </c>
      <c r="U768" t="s">
        <v>3547</v>
      </c>
      <c r="V768" t="s">
        <v>3545</v>
      </c>
      <c r="W768" t="s">
        <v>49</v>
      </c>
      <c r="X768" t="s">
        <v>3548</v>
      </c>
      <c r="Y768">
        <v>2</v>
      </c>
      <c r="Z768">
        <v>44</v>
      </c>
    </row>
    <row r="769" spans="1:26">
      <c r="A769" s="1">
        <v>767</v>
      </c>
      <c r="B769" t="str">
        <f>HYPERLINK("https://bugs.eclipse.org/bugs/show_bug.cgi?id=28810", "28810")</f>
        <v>28810</v>
      </c>
      <c r="C769" t="s">
        <v>56</v>
      </c>
      <c r="D769" t="s">
        <v>10</v>
      </c>
      <c r="E769" t="s">
        <v>14</v>
      </c>
      <c r="F769" t="s">
        <v>26</v>
      </c>
      <c r="L769" t="s">
        <v>3549</v>
      </c>
      <c r="P769" t="s">
        <v>3550</v>
      </c>
      <c r="T769" t="s">
        <v>3551</v>
      </c>
      <c r="U769" t="s">
        <v>3552</v>
      </c>
      <c r="V769" t="s">
        <v>3550</v>
      </c>
      <c r="W769" t="s">
        <v>75</v>
      </c>
      <c r="X769" t="s">
        <v>3553</v>
      </c>
      <c r="Y769">
        <v>0</v>
      </c>
      <c r="Z769">
        <v>2442.958333333333</v>
      </c>
    </row>
    <row r="770" spans="1:26">
      <c r="A770" s="1">
        <v>768</v>
      </c>
      <c r="B770" t="str">
        <f>HYPERLINK("https://bugs.eclipse.org/bugs/show_bug.cgi?id=28816", "28816")</f>
        <v>28816</v>
      </c>
      <c r="C770" t="s">
        <v>149</v>
      </c>
      <c r="D770" t="s">
        <v>10</v>
      </c>
      <c r="E770" t="s">
        <v>12</v>
      </c>
      <c r="F770" t="s">
        <v>26</v>
      </c>
      <c r="L770" t="s">
        <v>3554</v>
      </c>
      <c r="N770" t="s">
        <v>3554</v>
      </c>
      <c r="T770" t="s">
        <v>3555</v>
      </c>
      <c r="U770" t="s">
        <v>3556</v>
      </c>
      <c r="V770" t="s">
        <v>3554</v>
      </c>
      <c r="W770" t="s">
        <v>60</v>
      </c>
      <c r="X770" t="s">
        <v>3557</v>
      </c>
      <c r="Y770">
        <v>2</v>
      </c>
      <c r="Z770">
        <v>15</v>
      </c>
    </row>
    <row r="771" spans="1:26">
      <c r="A771" s="1">
        <v>769</v>
      </c>
      <c r="B771" t="str">
        <f>HYPERLINK("https://bugs.eclipse.org/bugs/show_bug.cgi?id=28875", "28875")</f>
        <v>28875</v>
      </c>
      <c r="C771" t="s">
        <v>149</v>
      </c>
      <c r="D771" t="s">
        <v>10</v>
      </c>
      <c r="E771" t="s">
        <v>12</v>
      </c>
      <c r="F771" t="s">
        <v>26</v>
      </c>
      <c r="L771" t="s">
        <v>3558</v>
      </c>
      <c r="N771" t="s">
        <v>3558</v>
      </c>
      <c r="T771" t="s">
        <v>3559</v>
      </c>
      <c r="U771" t="s">
        <v>3560</v>
      </c>
      <c r="V771" t="s">
        <v>3558</v>
      </c>
      <c r="W771" t="s">
        <v>60</v>
      </c>
      <c r="X771" t="s">
        <v>3561</v>
      </c>
      <c r="Y771">
        <v>7</v>
      </c>
      <c r="Z771">
        <v>12</v>
      </c>
    </row>
    <row r="772" spans="1:26">
      <c r="A772" s="1">
        <v>770</v>
      </c>
      <c r="B772" t="str">
        <f>HYPERLINK("https://bugs.eclipse.org/bugs/show_bug.cgi?id=28942", "28942")</f>
        <v>28942</v>
      </c>
      <c r="C772" t="s">
        <v>149</v>
      </c>
      <c r="D772" t="s">
        <v>10</v>
      </c>
      <c r="E772" t="s">
        <v>12</v>
      </c>
      <c r="F772" t="s">
        <v>150</v>
      </c>
      <c r="G772" t="s">
        <v>3562</v>
      </c>
      <c r="L772" t="s">
        <v>3563</v>
      </c>
      <c r="N772" t="s">
        <v>3563</v>
      </c>
      <c r="T772" t="s">
        <v>3564</v>
      </c>
      <c r="U772" t="s">
        <v>3565</v>
      </c>
      <c r="V772" t="s">
        <v>3563</v>
      </c>
      <c r="W772" t="s">
        <v>86</v>
      </c>
      <c r="X772" t="s">
        <v>3566</v>
      </c>
      <c r="Y772">
        <v>4</v>
      </c>
      <c r="Z772">
        <v>32</v>
      </c>
    </row>
    <row r="773" spans="1:26">
      <c r="A773" s="1">
        <v>771</v>
      </c>
      <c r="B773" t="str">
        <f>HYPERLINK("https://bugs.eclipse.org/bugs/show_bug.cgi?id=29008", "29008")</f>
        <v>29008</v>
      </c>
      <c r="C773" t="s">
        <v>149</v>
      </c>
      <c r="D773" t="s">
        <v>10</v>
      </c>
      <c r="E773" t="s">
        <v>12</v>
      </c>
      <c r="F773" t="s">
        <v>26</v>
      </c>
      <c r="L773" t="s">
        <v>3567</v>
      </c>
      <c r="N773" t="s">
        <v>3567</v>
      </c>
      <c r="T773" t="s">
        <v>3568</v>
      </c>
      <c r="U773" t="s">
        <v>3569</v>
      </c>
      <c r="V773" t="s">
        <v>3567</v>
      </c>
      <c r="W773" t="s">
        <v>86</v>
      </c>
      <c r="X773" t="s">
        <v>3570</v>
      </c>
      <c r="Y773">
        <v>2</v>
      </c>
      <c r="Z773">
        <v>2</v>
      </c>
    </row>
    <row r="774" spans="1:26">
      <c r="A774" s="1">
        <v>772</v>
      </c>
      <c r="B774" t="str">
        <f>HYPERLINK("https://bugs.eclipse.org/bugs/show_bug.cgi?id=29059", "29059")</f>
        <v>29059</v>
      </c>
      <c r="C774" t="s">
        <v>140</v>
      </c>
      <c r="D774" t="s">
        <v>10</v>
      </c>
      <c r="E774" t="s">
        <v>16</v>
      </c>
      <c r="F774" t="s">
        <v>26</v>
      </c>
      <c r="L774" t="s">
        <v>3571</v>
      </c>
      <c r="R774" t="s">
        <v>3571</v>
      </c>
      <c r="T774" t="s">
        <v>3572</v>
      </c>
      <c r="U774" t="s">
        <v>3573</v>
      </c>
      <c r="V774" t="s">
        <v>3571</v>
      </c>
      <c r="W774" t="s">
        <v>60</v>
      </c>
      <c r="X774" t="s">
        <v>3574</v>
      </c>
      <c r="Y774">
        <v>1</v>
      </c>
      <c r="Z774">
        <v>15</v>
      </c>
    </row>
    <row r="775" spans="1:26">
      <c r="A775" s="1">
        <v>773</v>
      </c>
      <c r="B775" t="str">
        <f>HYPERLINK("https://bugs.eclipse.org/bugs/show_bug.cgi?id=29068", "29068")</f>
        <v>29068</v>
      </c>
      <c r="C775" t="s">
        <v>140</v>
      </c>
      <c r="D775" t="s">
        <v>10</v>
      </c>
      <c r="E775" t="s">
        <v>16</v>
      </c>
      <c r="F775" t="s">
        <v>26</v>
      </c>
      <c r="L775" t="s">
        <v>3575</v>
      </c>
      <c r="R775" t="s">
        <v>3575</v>
      </c>
      <c r="T775" t="s">
        <v>3576</v>
      </c>
      <c r="U775" t="s">
        <v>3577</v>
      </c>
      <c r="V775" t="s">
        <v>3575</v>
      </c>
      <c r="W775" t="s">
        <v>60</v>
      </c>
      <c r="X775" t="s">
        <v>3578</v>
      </c>
      <c r="Y775">
        <v>0</v>
      </c>
      <c r="Z775">
        <v>0</v>
      </c>
    </row>
    <row r="776" spans="1:26">
      <c r="A776" s="1">
        <v>774</v>
      </c>
      <c r="B776" t="str">
        <f>HYPERLINK("https://bugs.eclipse.org/bugs/show_bug.cgi?id=29117", "29117")</f>
        <v>29117</v>
      </c>
      <c r="C776" t="s">
        <v>56</v>
      </c>
      <c r="D776" t="s">
        <v>10</v>
      </c>
      <c r="E776" t="s">
        <v>14</v>
      </c>
      <c r="F776" t="s">
        <v>26</v>
      </c>
      <c r="G776" t="s">
        <v>3579</v>
      </c>
      <c r="L776" t="s">
        <v>3580</v>
      </c>
      <c r="P776" t="s">
        <v>3581</v>
      </c>
      <c r="S776" t="s">
        <v>3582</v>
      </c>
      <c r="T776" t="s">
        <v>3583</v>
      </c>
      <c r="U776" t="s">
        <v>3584</v>
      </c>
      <c r="V776" t="s">
        <v>3585</v>
      </c>
      <c r="W776" t="s">
        <v>143</v>
      </c>
      <c r="X776" t="s">
        <v>3586</v>
      </c>
      <c r="Y776">
        <v>1</v>
      </c>
      <c r="Z776">
        <v>3582.958333333333</v>
      </c>
    </row>
    <row r="777" spans="1:26">
      <c r="A777" s="1">
        <v>775</v>
      </c>
      <c r="B777" t="str">
        <f>HYPERLINK("https://bugs.eclipse.org/bugs/show_bug.cgi?id=29167", "29167")</f>
        <v>29167</v>
      </c>
      <c r="C777" t="s">
        <v>149</v>
      </c>
      <c r="D777" t="s">
        <v>10</v>
      </c>
      <c r="E777" t="s">
        <v>12</v>
      </c>
      <c r="F777" t="s">
        <v>26</v>
      </c>
      <c r="G777" t="s">
        <v>3587</v>
      </c>
      <c r="L777" t="s">
        <v>3588</v>
      </c>
      <c r="N777" t="s">
        <v>3588</v>
      </c>
      <c r="T777" t="s">
        <v>3589</v>
      </c>
      <c r="U777" t="s">
        <v>3590</v>
      </c>
      <c r="V777" t="s">
        <v>3591</v>
      </c>
      <c r="W777" t="s">
        <v>86</v>
      </c>
      <c r="X777" t="s">
        <v>3592</v>
      </c>
      <c r="Y777">
        <v>1</v>
      </c>
      <c r="Z777">
        <v>2</v>
      </c>
    </row>
    <row r="778" spans="1:26">
      <c r="A778" s="1">
        <v>776</v>
      </c>
      <c r="B778" t="str">
        <f>HYPERLINK("https://bugs.eclipse.org/bugs/show_bug.cgi?id=29210", "29210")</f>
        <v>29210</v>
      </c>
      <c r="C778" t="s">
        <v>56</v>
      </c>
      <c r="D778" t="s">
        <v>10</v>
      </c>
      <c r="E778" t="s">
        <v>14</v>
      </c>
      <c r="F778" t="s">
        <v>26</v>
      </c>
      <c r="L778" t="s">
        <v>3593</v>
      </c>
      <c r="P778" t="s">
        <v>3594</v>
      </c>
      <c r="T778" t="s">
        <v>3595</v>
      </c>
      <c r="U778" t="s">
        <v>3596</v>
      </c>
      <c r="V778" t="s">
        <v>3594</v>
      </c>
      <c r="W778" t="s">
        <v>75</v>
      </c>
      <c r="X778" t="s">
        <v>3597</v>
      </c>
      <c r="Y778">
        <v>0</v>
      </c>
      <c r="Z778">
        <v>2424.958333333333</v>
      </c>
    </row>
    <row r="779" spans="1:26">
      <c r="A779" s="1">
        <v>777</v>
      </c>
      <c r="B779" t="str">
        <f>HYPERLINK("https://bugs.eclipse.org/bugs/show_bug.cgi?id=29272", "29272")</f>
        <v>29272</v>
      </c>
      <c r="C779" t="s">
        <v>149</v>
      </c>
      <c r="D779" t="s">
        <v>10</v>
      </c>
      <c r="E779" t="s">
        <v>12</v>
      </c>
      <c r="F779" t="s">
        <v>26</v>
      </c>
      <c r="L779" t="s">
        <v>3598</v>
      </c>
      <c r="N779" t="s">
        <v>3598</v>
      </c>
      <c r="T779" t="s">
        <v>3599</v>
      </c>
      <c r="U779" t="s">
        <v>3598</v>
      </c>
      <c r="V779" t="s">
        <v>3598</v>
      </c>
      <c r="W779" t="s">
        <v>60</v>
      </c>
      <c r="X779" t="s">
        <v>3600</v>
      </c>
      <c r="Y779">
        <v>0</v>
      </c>
      <c r="Z779">
        <v>0</v>
      </c>
    </row>
    <row r="780" spans="1:26">
      <c r="A780" s="1">
        <v>778</v>
      </c>
      <c r="B780" t="str">
        <f>HYPERLINK("https://bugs.eclipse.org/bugs/show_bug.cgi?id=29288", "29288")</f>
        <v>29288</v>
      </c>
      <c r="C780" t="s">
        <v>3601</v>
      </c>
      <c r="D780" t="s">
        <v>10</v>
      </c>
      <c r="E780" t="s">
        <v>15</v>
      </c>
      <c r="F780" t="s">
        <v>26</v>
      </c>
      <c r="L780" t="s">
        <v>3591</v>
      </c>
      <c r="Q780" t="s">
        <v>3591</v>
      </c>
      <c r="T780" t="s">
        <v>3602</v>
      </c>
      <c r="U780" t="s">
        <v>3591</v>
      </c>
      <c r="V780" t="s">
        <v>3591</v>
      </c>
      <c r="W780" t="s">
        <v>86</v>
      </c>
      <c r="X780" t="s">
        <v>3603</v>
      </c>
      <c r="Y780">
        <v>0</v>
      </c>
      <c r="Z780">
        <v>0</v>
      </c>
    </row>
    <row r="781" spans="1:26">
      <c r="A781" s="1">
        <v>779</v>
      </c>
      <c r="B781" t="str">
        <f>HYPERLINK("https://bugs.eclipse.org/bugs/show_bug.cgi?id=29391", "29391")</f>
        <v>29391</v>
      </c>
      <c r="C781" t="s">
        <v>149</v>
      </c>
      <c r="D781" t="s">
        <v>10</v>
      </c>
      <c r="E781" t="s">
        <v>12</v>
      </c>
      <c r="F781" t="s">
        <v>26</v>
      </c>
      <c r="L781" t="s">
        <v>3604</v>
      </c>
      <c r="N781" t="s">
        <v>3604</v>
      </c>
      <c r="S781" t="s">
        <v>3605</v>
      </c>
      <c r="T781" t="s">
        <v>3606</v>
      </c>
      <c r="U781" t="s">
        <v>3607</v>
      </c>
      <c r="V781" t="s">
        <v>3604</v>
      </c>
      <c r="W781" t="s">
        <v>2777</v>
      </c>
      <c r="X781" t="s">
        <v>3608</v>
      </c>
      <c r="Y781">
        <v>0</v>
      </c>
      <c r="Z781">
        <v>2732.958333333333</v>
      </c>
    </row>
    <row r="782" spans="1:26">
      <c r="A782" s="1">
        <v>780</v>
      </c>
      <c r="B782" t="str">
        <f>HYPERLINK("https://bugs.eclipse.org/bugs/show_bug.cgi?id=29402", "29402")</f>
        <v>29402</v>
      </c>
      <c r="C782" t="s">
        <v>56</v>
      </c>
      <c r="D782" t="s">
        <v>10</v>
      </c>
      <c r="E782" t="s">
        <v>14</v>
      </c>
      <c r="F782" t="s">
        <v>26</v>
      </c>
      <c r="L782" t="s">
        <v>3609</v>
      </c>
      <c r="P782" t="s">
        <v>3610</v>
      </c>
      <c r="T782" t="s">
        <v>3611</v>
      </c>
      <c r="U782" t="s">
        <v>3609</v>
      </c>
      <c r="V782" t="s">
        <v>3610</v>
      </c>
      <c r="W782" t="s">
        <v>75</v>
      </c>
      <c r="X782" t="s">
        <v>3612</v>
      </c>
      <c r="Y782">
        <v>0</v>
      </c>
      <c r="Z782">
        <v>2420.958333333333</v>
      </c>
    </row>
    <row r="783" spans="1:26">
      <c r="A783" s="1">
        <v>781</v>
      </c>
      <c r="B783" t="str">
        <f>HYPERLINK("https://bugs.eclipse.org/bugs/show_bug.cgi?id=29419", "29419")</f>
        <v>29419</v>
      </c>
      <c r="C783" t="s">
        <v>56</v>
      </c>
      <c r="D783" t="s">
        <v>10</v>
      </c>
      <c r="E783" t="s">
        <v>14</v>
      </c>
      <c r="F783" t="s">
        <v>26</v>
      </c>
      <c r="L783" t="s">
        <v>3613</v>
      </c>
      <c r="P783" t="s">
        <v>3614</v>
      </c>
      <c r="T783" t="s">
        <v>3615</v>
      </c>
      <c r="U783" t="s">
        <v>3616</v>
      </c>
      <c r="V783" t="s">
        <v>3614</v>
      </c>
      <c r="W783" t="s">
        <v>80</v>
      </c>
      <c r="X783" t="s">
        <v>3617</v>
      </c>
      <c r="Y783">
        <v>0</v>
      </c>
      <c r="Z783">
        <v>2419.958333333333</v>
      </c>
    </row>
    <row r="784" spans="1:26">
      <c r="A784" s="1">
        <v>782</v>
      </c>
      <c r="B784" t="str">
        <f>HYPERLINK("https://bugs.eclipse.org/bugs/show_bug.cgi?id=29497", "29497")</f>
        <v>29497</v>
      </c>
      <c r="C784" t="s">
        <v>56</v>
      </c>
      <c r="D784" t="s">
        <v>10</v>
      </c>
      <c r="E784" t="s">
        <v>14</v>
      </c>
      <c r="F784" t="s">
        <v>26</v>
      </c>
      <c r="L784" t="s">
        <v>3618</v>
      </c>
      <c r="P784" t="s">
        <v>3619</v>
      </c>
      <c r="T784" t="s">
        <v>3620</v>
      </c>
      <c r="U784" t="s">
        <v>3621</v>
      </c>
      <c r="V784" t="s">
        <v>3619</v>
      </c>
      <c r="W784" t="s">
        <v>80</v>
      </c>
      <c r="X784" t="s">
        <v>3622</v>
      </c>
      <c r="Y784">
        <v>0</v>
      </c>
      <c r="Z784">
        <v>2419.958333333333</v>
      </c>
    </row>
    <row r="785" spans="1:26">
      <c r="A785" s="1">
        <v>783</v>
      </c>
      <c r="B785" t="str">
        <f>HYPERLINK("https://bugs.eclipse.org/bugs/show_bug.cgi?id=29507", "29507")</f>
        <v>29507</v>
      </c>
      <c r="C785" t="s">
        <v>149</v>
      </c>
      <c r="D785" t="s">
        <v>10</v>
      </c>
      <c r="E785" t="s">
        <v>12</v>
      </c>
      <c r="F785" t="s">
        <v>26</v>
      </c>
      <c r="L785" t="s">
        <v>3623</v>
      </c>
      <c r="N785" t="s">
        <v>3623</v>
      </c>
      <c r="T785" t="s">
        <v>3624</v>
      </c>
      <c r="U785" t="s">
        <v>3625</v>
      </c>
      <c r="V785" t="s">
        <v>3623</v>
      </c>
      <c r="W785" t="s">
        <v>86</v>
      </c>
      <c r="X785" t="s">
        <v>3626</v>
      </c>
      <c r="Y785">
        <v>6</v>
      </c>
      <c r="Z785">
        <v>13</v>
      </c>
    </row>
    <row r="786" spans="1:26">
      <c r="A786" s="1">
        <v>784</v>
      </c>
      <c r="B786" t="str">
        <f>HYPERLINK("https://bugs.eclipse.org/bugs/show_bug.cgi?id=29508", "29508")</f>
        <v>29508</v>
      </c>
      <c r="C786" t="s">
        <v>140</v>
      </c>
      <c r="D786" t="s">
        <v>10</v>
      </c>
      <c r="E786" t="s">
        <v>16</v>
      </c>
      <c r="F786" t="s">
        <v>26</v>
      </c>
      <c r="L786" t="s">
        <v>3627</v>
      </c>
      <c r="R786" t="s">
        <v>3627</v>
      </c>
      <c r="T786" t="s">
        <v>3628</v>
      </c>
      <c r="U786" t="s">
        <v>3629</v>
      </c>
      <c r="V786" t="s">
        <v>3627</v>
      </c>
      <c r="W786" t="s">
        <v>60</v>
      </c>
      <c r="X786" t="s">
        <v>3630</v>
      </c>
      <c r="Y786">
        <v>6</v>
      </c>
      <c r="Z786">
        <v>6</v>
      </c>
    </row>
    <row r="787" spans="1:26">
      <c r="A787" s="1">
        <v>785</v>
      </c>
      <c r="B787" t="str">
        <f>HYPERLINK("https://bugs.eclipse.org/bugs/show_bug.cgi?id=29522", "29522")</f>
        <v>29522</v>
      </c>
      <c r="C787" t="s">
        <v>3631</v>
      </c>
      <c r="D787" t="s">
        <v>192</v>
      </c>
      <c r="E787" t="s">
        <v>15</v>
      </c>
      <c r="F787" t="s">
        <v>26</v>
      </c>
      <c r="L787" t="s">
        <v>3632</v>
      </c>
      <c r="Q787" t="s">
        <v>3633</v>
      </c>
      <c r="S787" t="s">
        <v>3634</v>
      </c>
      <c r="T787" t="s">
        <v>3635</v>
      </c>
      <c r="U787" t="s">
        <v>3632</v>
      </c>
      <c r="V787" t="s">
        <v>3633</v>
      </c>
      <c r="W787" t="s">
        <v>851</v>
      </c>
      <c r="X787" t="s">
        <v>3636</v>
      </c>
      <c r="Y787">
        <v>23</v>
      </c>
      <c r="Z787">
        <v>2455.958333333333</v>
      </c>
    </row>
    <row r="788" spans="1:26">
      <c r="A788" s="1">
        <v>786</v>
      </c>
      <c r="B788" t="str">
        <f>HYPERLINK("https://bugs.eclipse.org/bugs/show_bug.cgi?id=29525", "29525")</f>
        <v>29525</v>
      </c>
      <c r="C788" t="s">
        <v>149</v>
      </c>
      <c r="D788" t="s">
        <v>10</v>
      </c>
      <c r="E788" t="s">
        <v>12</v>
      </c>
      <c r="F788" t="s">
        <v>26</v>
      </c>
      <c r="L788" t="s">
        <v>3637</v>
      </c>
      <c r="N788" t="s">
        <v>3637</v>
      </c>
      <c r="T788" t="s">
        <v>3638</v>
      </c>
      <c r="U788" t="s">
        <v>3639</v>
      </c>
      <c r="V788" t="s">
        <v>3637</v>
      </c>
      <c r="W788" t="s">
        <v>60</v>
      </c>
      <c r="X788" t="s">
        <v>3640</v>
      </c>
      <c r="Y788">
        <v>12</v>
      </c>
      <c r="Z788">
        <v>12</v>
      </c>
    </row>
    <row r="789" spans="1:26">
      <c r="A789" s="1">
        <v>787</v>
      </c>
      <c r="B789" t="str">
        <f>HYPERLINK("https://bugs.eclipse.org/bugs/show_bug.cgi?id=29547", "29547")</f>
        <v>29547</v>
      </c>
      <c r="C789" t="s">
        <v>3641</v>
      </c>
      <c r="D789" t="s">
        <v>10</v>
      </c>
      <c r="E789" t="s">
        <v>15</v>
      </c>
      <c r="F789" t="s">
        <v>150</v>
      </c>
      <c r="L789" t="s">
        <v>3642</v>
      </c>
      <c r="Q789" t="s">
        <v>3642</v>
      </c>
      <c r="T789" t="s">
        <v>3643</v>
      </c>
      <c r="U789" t="s">
        <v>3644</v>
      </c>
      <c r="V789" t="s">
        <v>3642</v>
      </c>
      <c r="W789" t="s">
        <v>86</v>
      </c>
      <c r="X789" t="s">
        <v>3645</v>
      </c>
      <c r="Y789">
        <v>0</v>
      </c>
      <c r="Z789">
        <v>5</v>
      </c>
    </row>
    <row r="790" spans="1:26">
      <c r="A790" s="1">
        <v>788</v>
      </c>
      <c r="B790" t="str">
        <f>HYPERLINK("https://bugs.eclipse.org/bugs/show_bug.cgi?id=29549", "29549")</f>
        <v>29549</v>
      </c>
      <c r="C790" t="s">
        <v>3641</v>
      </c>
      <c r="D790" t="s">
        <v>10</v>
      </c>
      <c r="E790" t="s">
        <v>15</v>
      </c>
      <c r="F790" t="s">
        <v>150</v>
      </c>
      <c r="G790" t="s">
        <v>3646</v>
      </c>
      <c r="L790" t="s">
        <v>3647</v>
      </c>
      <c r="Q790" t="s">
        <v>3647</v>
      </c>
      <c r="T790" t="s">
        <v>3648</v>
      </c>
      <c r="U790" t="s">
        <v>3649</v>
      </c>
      <c r="V790" t="s">
        <v>3647</v>
      </c>
      <c r="W790" t="s">
        <v>86</v>
      </c>
      <c r="X790" t="s">
        <v>3650</v>
      </c>
      <c r="Y790">
        <v>0</v>
      </c>
      <c r="Z790">
        <v>5</v>
      </c>
    </row>
    <row r="791" spans="1:26">
      <c r="A791" s="1">
        <v>789</v>
      </c>
      <c r="B791" t="str">
        <f>HYPERLINK("https://bugs.eclipse.org/bugs/show_bug.cgi?id=29557", "29557")</f>
        <v>29557</v>
      </c>
      <c r="C791" t="s">
        <v>56</v>
      </c>
      <c r="D791" t="s">
        <v>10</v>
      </c>
      <c r="E791" t="s">
        <v>14</v>
      </c>
      <c r="F791" t="s">
        <v>26</v>
      </c>
      <c r="L791" t="s">
        <v>3651</v>
      </c>
      <c r="P791" t="s">
        <v>3652</v>
      </c>
      <c r="T791" t="s">
        <v>3653</v>
      </c>
      <c r="U791" t="s">
        <v>3654</v>
      </c>
      <c r="V791" t="s">
        <v>3652</v>
      </c>
      <c r="W791" t="s">
        <v>80</v>
      </c>
      <c r="X791" t="s">
        <v>3655</v>
      </c>
      <c r="Y791">
        <v>0</v>
      </c>
      <c r="Z791">
        <v>2418.958333333333</v>
      </c>
    </row>
    <row r="792" spans="1:26">
      <c r="A792" s="1">
        <v>790</v>
      </c>
      <c r="B792" t="str">
        <f>HYPERLINK("https://bugs.eclipse.org/bugs/show_bug.cgi?id=29600", "29600")</f>
        <v>29600</v>
      </c>
      <c r="C792" t="s">
        <v>3656</v>
      </c>
      <c r="D792" t="s">
        <v>10</v>
      </c>
      <c r="E792" t="s">
        <v>15</v>
      </c>
      <c r="F792" t="s">
        <v>51</v>
      </c>
      <c r="L792" t="s">
        <v>3657</v>
      </c>
      <c r="Q792" t="s">
        <v>3657</v>
      </c>
      <c r="S792" t="s">
        <v>3658</v>
      </c>
      <c r="T792" t="s">
        <v>3659</v>
      </c>
      <c r="U792" t="s">
        <v>3660</v>
      </c>
      <c r="V792" t="s">
        <v>3657</v>
      </c>
      <c r="W792" t="s">
        <v>851</v>
      </c>
      <c r="X792" t="s">
        <v>3661</v>
      </c>
      <c r="Y792">
        <v>0</v>
      </c>
      <c r="Z792">
        <v>963.95833333333337</v>
      </c>
    </row>
    <row r="793" spans="1:26">
      <c r="A793" s="1">
        <v>791</v>
      </c>
      <c r="B793" t="str">
        <f>HYPERLINK("https://bugs.eclipse.org/bugs/show_bug.cgi?id=29629", "29629")</f>
        <v>29629</v>
      </c>
      <c r="C793" t="s">
        <v>3662</v>
      </c>
      <c r="D793" t="s">
        <v>10</v>
      </c>
      <c r="E793" t="s">
        <v>15</v>
      </c>
      <c r="F793" t="s">
        <v>26</v>
      </c>
      <c r="L793" t="s">
        <v>3663</v>
      </c>
      <c r="Q793" t="s">
        <v>3663</v>
      </c>
      <c r="S793" t="s">
        <v>3664</v>
      </c>
      <c r="T793" t="s">
        <v>3665</v>
      </c>
      <c r="U793" t="s">
        <v>3666</v>
      </c>
      <c r="V793" t="s">
        <v>3663</v>
      </c>
      <c r="W793" t="s">
        <v>60</v>
      </c>
      <c r="X793" t="s">
        <v>3667</v>
      </c>
      <c r="Y793">
        <v>22</v>
      </c>
      <c r="Z793">
        <v>55</v>
      </c>
    </row>
    <row r="794" spans="1:26">
      <c r="A794" s="1">
        <v>792</v>
      </c>
      <c r="B794" t="str">
        <f>HYPERLINK("https://bugs.eclipse.org/bugs/show_bug.cgi?id=29661", "29661")</f>
        <v>29661</v>
      </c>
      <c r="C794" t="s">
        <v>56</v>
      </c>
      <c r="D794" t="s">
        <v>10</v>
      </c>
      <c r="E794" t="s">
        <v>14</v>
      </c>
      <c r="F794" t="s">
        <v>26</v>
      </c>
      <c r="L794" t="s">
        <v>3668</v>
      </c>
      <c r="P794" t="s">
        <v>3669</v>
      </c>
      <c r="T794" t="s">
        <v>3670</v>
      </c>
      <c r="U794" t="s">
        <v>3668</v>
      </c>
      <c r="V794" t="s">
        <v>3669</v>
      </c>
      <c r="W794" t="s">
        <v>80</v>
      </c>
      <c r="X794" t="s">
        <v>3671</v>
      </c>
      <c r="Y794">
        <v>1</v>
      </c>
      <c r="Z794">
        <v>2417.958333333333</v>
      </c>
    </row>
    <row r="795" spans="1:26">
      <c r="A795" s="1">
        <v>793</v>
      </c>
      <c r="B795" t="str">
        <f>HYPERLINK("https://bugs.eclipse.org/bugs/show_bug.cgi?id=29698", "29698")</f>
        <v>29698</v>
      </c>
      <c r="C795" t="s">
        <v>149</v>
      </c>
      <c r="D795" t="s">
        <v>10</v>
      </c>
      <c r="E795" t="s">
        <v>12</v>
      </c>
      <c r="F795" t="s">
        <v>26</v>
      </c>
      <c r="L795" t="s">
        <v>3672</v>
      </c>
      <c r="N795" t="s">
        <v>3672</v>
      </c>
      <c r="T795" t="s">
        <v>3673</v>
      </c>
      <c r="U795" t="s">
        <v>3674</v>
      </c>
      <c r="V795" t="s">
        <v>3672</v>
      </c>
      <c r="W795" t="s">
        <v>86</v>
      </c>
      <c r="X795" t="s">
        <v>3675</v>
      </c>
      <c r="Y795">
        <v>0</v>
      </c>
      <c r="Z795">
        <v>0</v>
      </c>
    </row>
    <row r="796" spans="1:26">
      <c r="A796" s="1">
        <v>794</v>
      </c>
      <c r="B796" t="str">
        <f>HYPERLINK("https://bugs.eclipse.org/bugs/show_bug.cgi?id=29705", "29705")</f>
        <v>29705</v>
      </c>
      <c r="C796" t="s">
        <v>149</v>
      </c>
      <c r="D796" t="s">
        <v>10</v>
      </c>
      <c r="E796" t="s">
        <v>12</v>
      </c>
      <c r="F796" t="s">
        <v>26</v>
      </c>
      <c r="L796" t="s">
        <v>3676</v>
      </c>
      <c r="N796" t="s">
        <v>3676</v>
      </c>
      <c r="T796" t="s">
        <v>3677</v>
      </c>
      <c r="U796" t="s">
        <v>3678</v>
      </c>
      <c r="V796" t="s">
        <v>3676</v>
      </c>
      <c r="W796" t="s">
        <v>60</v>
      </c>
      <c r="X796" t="s">
        <v>3679</v>
      </c>
      <c r="Y796">
        <v>0</v>
      </c>
      <c r="Z796">
        <v>4</v>
      </c>
    </row>
    <row r="797" spans="1:26">
      <c r="A797" s="1">
        <v>795</v>
      </c>
      <c r="B797" t="str">
        <f>HYPERLINK("https://bugs.eclipse.org/bugs/show_bug.cgi?id=29711", "29711")</f>
        <v>29711</v>
      </c>
      <c r="C797" t="s">
        <v>149</v>
      </c>
      <c r="D797" t="s">
        <v>10</v>
      </c>
      <c r="E797" t="s">
        <v>12</v>
      </c>
      <c r="F797" t="s">
        <v>150</v>
      </c>
      <c r="L797" t="s">
        <v>3680</v>
      </c>
      <c r="N797" t="s">
        <v>3680</v>
      </c>
      <c r="T797" t="s">
        <v>3681</v>
      </c>
      <c r="U797" t="s">
        <v>3682</v>
      </c>
      <c r="V797" t="s">
        <v>3680</v>
      </c>
      <c r="W797" t="s">
        <v>60</v>
      </c>
      <c r="X797" t="s">
        <v>3683</v>
      </c>
      <c r="Y797">
        <v>0</v>
      </c>
      <c r="Z797">
        <v>18</v>
      </c>
    </row>
    <row r="798" spans="1:26">
      <c r="A798" s="1">
        <v>796</v>
      </c>
      <c r="B798" t="str">
        <f>HYPERLINK("https://bugs.eclipse.org/bugs/show_bug.cgi?id=29735", "29735")</f>
        <v>29735</v>
      </c>
      <c r="C798" t="s">
        <v>3684</v>
      </c>
      <c r="D798" t="s">
        <v>10</v>
      </c>
      <c r="E798" t="s">
        <v>15</v>
      </c>
      <c r="F798" t="s">
        <v>26</v>
      </c>
      <c r="L798" t="s">
        <v>3685</v>
      </c>
      <c r="Q798" t="s">
        <v>3685</v>
      </c>
      <c r="T798" t="s">
        <v>3686</v>
      </c>
      <c r="U798" t="s">
        <v>3685</v>
      </c>
      <c r="V798" t="s">
        <v>3685</v>
      </c>
      <c r="W798" t="s">
        <v>86</v>
      </c>
      <c r="X798" t="s">
        <v>3687</v>
      </c>
      <c r="Y798">
        <v>3</v>
      </c>
      <c r="Z798">
        <v>3</v>
      </c>
    </row>
    <row r="799" spans="1:26">
      <c r="A799" s="1">
        <v>797</v>
      </c>
      <c r="B799" t="str">
        <f>HYPERLINK("https://bugs.eclipse.org/bugs/show_bug.cgi?id=29745", "29745")</f>
        <v>29745</v>
      </c>
      <c r="C799" t="s">
        <v>140</v>
      </c>
      <c r="D799" t="s">
        <v>10</v>
      </c>
      <c r="E799" t="s">
        <v>16</v>
      </c>
      <c r="F799" t="s">
        <v>26</v>
      </c>
      <c r="L799" t="s">
        <v>3688</v>
      </c>
      <c r="R799" t="s">
        <v>3688</v>
      </c>
      <c r="T799" t="s">
        <v>3689</v>
      </c>
      <c r="U799" t="s">
        <v>3688</v>
      </c>
      <c r="V799" t="s">
        <v>3688</v>
      </c>
      <c r="W799" t="s">
        <v>86</v>
      </c>
      <c r="X799" t="s">
        <v>3690</v>
      </c>
      <c r="Y799">
        <v>3</v>
      </c>
      <c r="Z799">
        <v>3</v>
      </c>
    </row>
    <row r="800" spans="1:26">
      <c r="A800" s="1">
        <v>798</v>
      </c>
      <c r="B800" t="str">
        <f>HYPERLINK("https://bugs.eclipse.org/bugs/show_bug.cgi?id=29749", "29749")</f>
        <v>29749</v>
      </c>
      <c r="C800" t="s">
        <v>1062</v>
      </c>
      <c r="D800" t="s">
        <v>10</v>
      </c>
      <c r="E800" t="s">
        <v>15</v>
      </c>
      <c r="F800" t="s">
        <v>26</v>
      </c>
      <c r="L800" t="s">
        <v>3691</v>
      </c>
      <c r="Q800" t="s">
        <v>3691</v>
      </c>
      <c r="T800" t="s">
        <v>3692</v>
      </c>
      <c r="U800" t="s">
        <v>3693</v>
      </c>
      <c r="V800" t="s">
        <v>3691</v>
      </c>
      <c r="W800" t="s">
        <v>60</v>
      </c>
      <c r="X800" t="s">
        <v>3694</v>
      </c>
      <c r="Y800">
        <v>0</v>
      </c>
      <c r="Z800">
        <v>3</v>
      </c>
    </row>
    <row r="801" spans="1:26">
      <c r="A801" s="1">
        <v>799</v>
      </c>
      <c r="B801" t="str">
        <f>HYPERLINK("https://bugs.eclipse.org/bugs/show_bug.cgi?id=29808", "29808")</f>
        <v>29808</v>
      </c>
      <c r="C801" t="s">
        <v>56</v>
      </c>
      <c r="D801" t="s">
        <v>10</v>
      </c>
      <c r="E801" t="s">
        <v>14</v>
      </c>
      <c r="F801" t="s">
        <v>26</v>
      </c>
      <c r="L801" t="s">
        <v>3695</v>
      </c>
      <c r="P801" t="s">
        <v>3696</v>
      </c>
      <c r="T801" t="s">
        <v>3697</v>
      </c>
      <c r="U801" t="s">
        <v>3698</v>
      </c>
      <c r="V801" t="s">
        <v>3696</v>
      </c>
      <c r="W801" t="s">
        <v>75</v>
      </c>
      <c r="X801" t="s">
        <v>3699</v>
      </c>
      <c r="Y801">
        <v>1</v>
      </c>
      <c r="Z801">
        <v>2413.958333333333</v>
      </c>
    </row>
    <row r="802" spans="1:26">
      <c r="A802" s="1">
        <v>800</v>
      </c>
      <c r="B802" t="str">
        <f>HYPERLINK("https://bugs.eclipse.org/bugs/show_bug.cgi?id=29809", "29809")</f>
        <v>29809</v>
      </c>
      <c r="C802" t="s">
        <v>25</v>
      </c>
      <c r="D802" t="s">
        <v>25</v>
      </c>
      <c r="F802" t="s">
        <v>26</v>
      </c>
      <c r="L802" t="s">
        <v>3700</v>
      </c>
      <c r="O802" t="s">
        <v>3701</v>
      </c>
      <c r="S802" t="s">
        <v>3702</v>
      </c>
      <c r="T802" t="s">
        <v>3703</v>
      </c>
      <c r="U802" t="s">
        <v>3704</v>
      </c>
      <c r="V802" t="s">
        <v>3705</v>
      </c>
      <c r="W802" t="s">
        <v>143</v>
      </c>
      <c r="X802" t="s">
        <v>3706</v>
      </c>
      <c r="Y802">
        <v>1</v>
      </c>
    </row>
    <row r="803" spans="1:26">
      <c r="A803" s="1">
        <v>801</v>
      </c>
      <c r="B803" t="str">
        <f>HYPERLINK("https://bugs.eclipse.org/bugs/show_bug.cgi?id=29903", "29903")</f>
        <v>29903</v>
      </c>
      <c r="C803" t="s">
        <v>3707</v>
      </c>
      <c r="D803" t="s">
        <v>10</v>
      </c>
      <c r="E803" t="s">
        <v>15</v>
      </c>
      <c r="F803" t="s">
        <v>26</v>
      </c>
      <c r="L803" t="s">
        <v>3708</v>
      </c>
      <c r="Q803" t="s">
        <v>3708</v>
      </c>
      <c r="S803" t="s">
        <v>3709</v>
      </c>
      <c r="T803" t="s">
        <v>3710</v>
      </c>
      <c r="U803" t="s">
        <v>3711</v>
      </c>
      <c r="V803" t="s">
        <v>3708</v>
      </c>
      <c r="W803" t="s">
        <v>86</v>
      </c>
      <c r="X803" t="s">
        <v>3712</v>
      </c>
      <c r="Y803">
        <v>0</v>
      </c>
      <c r="Z803">
        <v>686</v>
      </c>
    </row>
    <row r="804" spans="1:26">
      <c r="A804" s="1">
        <v>802</v>
      </c>
      <c r="B804" t="str">
        <f>HYPERLINK("https://bugs.eclipse.org/bugs/show_bug.cgi?id=29967", "29967")</f>
        <v>29967</v>
      </c>
      <c r="C804" t="s">
        <v>149</v>
      </c>
      <c r="D804" t="s">
        <v>10</v>
      </c>
      <c r="E804" t="s">
        <v>12</v>
      </c>
      <c r="F804" t="s">
        <v>26</v>
      </c>
      <c r="G804" t="s">
        <v>3713</v>
      </c>
      <c r="L804" t="s">
        <v>3714</v>
      </c>
      <c r="N804" t="s">
        <v>3714</v>
      </c>
      <c r="S804" t="s">
        <v>3715</v>
      </c>
      <c r="T804" t="s">
        <v>3716</v>
      </c>
      <c r="U804" t="s">
        <v>3717</v>
      </c>
      <c r="V804" t="s">
        <v>3714</v>
      </c>
      <c r="W804" t="s">
        <v>60</v>
      </c>
      <c r="X804" t="s">
        <v>3718</v>
      </c>
      <c r="Y804">
        <v>29</v>
      </c>
      <c r="Z804">
        <v>99.958333333333329</v>
      </c>
    </row>
    <row r="805" spans="1:26">
      <c r="A805" s="1">
        <v>803</v>
      </c>
      <c r="B805" t="str">
        <f>HYPERLINK("https://bugs.eclipse.org/bugs/show_bug.cgi?id=30023", "30023")</f>
        <v>30023</v>
      </c>
      <c r="C805" t="s">
        <v>3641</v>
      </c>
      <c r="D805" t="s">
        <v>10</v>
      </c>
      <c r="E805" t="s">
        <v>15</v>
      </c>
      <c r="F805" t="s">
        <v>26</v>
      </c>
      <c r="L805" t="s">
        <v>3719</v>
      </c>
      <c r="Q805" t="s">
        <v>3719</v>
      </c>
      <c r="T805" t="s">
        <v>3720</v>
      </c>
      <c r="U805" t="s">
        <v>3719</v>
      </c>
      <c r="V805" t="s">
        <v>3719</v>
      </c>
      <c r="W805" t="s">
        <v>86</v>
      </c>
      <c r="X805" t="s">
        <v>3721</v>
      </c>
      <c r="Y805">
        <v>1</v>
      </c>
      <c r="Z805">
        <v>1</v>
      </c>
    </row>
    <row r="806" spans="1:26">
      <c r="A806" s="1">
        <v>804</v>
      </c>
      <c r="B806" t="str">
        <f>HYPERLINK("https://bugs.eclipse.org/bugs/show_bug.cgi?id=30112", "30112")</f>
        <v>30112</v>
      </c>
      <c r="C806" t="s">
        <v>149</v>
      </c>
      <c r="D806" t="s">
        <v>10</v>
      </c>
      <c r="E806" t="s">
        <v>12</v>
      </c>
      <c r="F806" t="s">
        <v>26</v>
      </c>
      <c r="L806" t="s">
        <v>3722</v>
      </c>
      <c r="N806" t="s">
        <v>3722</v>
      </c>
      <c r="T806" t="s">
        <v>3723</v>
      </c>
      <c r="U806" t="s">
        <v>3722</v>
      </c>
      <c r="V806" t="s">
        <v>3722</v>
      </c>
      <c r="W806" t="s">
        <v>60</v>
      </c>
      <c r="X806" t="s">
        <v>3724</v>
      </c>
      <c r="Y806">
        <v>0</v>
      </c>
      <c r="Z806">
        <v>0</v>
      </c>
    </row>
    <row r="807" spans="1:26">
      <c r="A807" s="1">
        <v>805</v>
      </c>
      <c r="B807" t="str">
        <f>HYPERLINK("https://bugs.eclipse.org/bugs/show_bug.cgi?id=30146", "30146")</f>
        <v>30146</v>
      </c>
      <c r="C807" t="s">
        <v>149</v>
      </c>
      <c r="D807" t="s">
        <v>10</v>
      </c>
      <c r="E807" t="s">
        <v>12</v>
      </c>
      <c r="F807" t="s">
        <v>26</v>
      </c>
      <c r="L807" t="s">
        <v>3725</v>
      </c>
      <c r="N807" t="s">
        <v>3725</v>
      </c>
      <c r="S807" t="s">
        <v>3726</v>
      </c>
      <c r="T807" t="s">
        <v>3727</v>
      </c>
      <c r="U807" t="s">
        <v>3728</v>
      </c>
      <c r="V807" t="s">
        <v>3725</v>
      </c>
      <c r="W807" t="s">
        <v>60</v>
      </c>
      <c r="X807" t="s">
        <v>3729</v>
      </c>
      <c r="Y807">
        <v>0</v>
      </c>
      <c r="Z807">
        <v>208.95833333333329</v>
      </c>
    </row>
    <row r="808" spans="1:26">
      <c r="A808" s="1">
        <v>806</v>
      </c>
      <c r="B808" t="str">
        <f>HYPERLINK("https://bugs.eclipse.org/bugs/show_bug.cgi?id=30161", "30161")</f>
        <v>30161</v>
      </c>
      <c r="C808" t="s">
        <v>56</v>
      </c>
      <c r="D808" t="s">
        <v>10</v>
      </c>
      <c r="E808" t="s">
        <v>14</v>
      </c>
      <c r="F808" t="s">
        <v>26</v>
      </c>
      <c r="L808" t="s">
        <v>3730</v>
      </c>
      <c r="N808" t="s">
        <v>3731</v>
      </c>
      <c r="P808" t="s">
        <v>3732</v>
      </c>
      <c r="S808" t="s">
        <v>3733</v>
      </c>
      <c r="T808" t="s">
        <v>3734</v>
      </c>
      <c r="U808" t="s">
        <v>3735</v>
      </c>
      <c r="V808" t="s">
        <v>3732</v>
      </c>
      <c r="W808" t="s">
        <v>80</v>
      </c>
      <c r="X808" t="s">
        <v>3736</v>
      </c>
      <c r="Y808">
        <v>0</v>
      </c>
      <c r="Z808">
        <v>2409.958333333333</v>
      </c>
    </row>
    <row r="809" spans="1:26">
      <c r="A809" s="1">
        <v>807</v>
      </c>
      <c r="B809" t="str">
        <f>HYPERLINK("https://bugs.eclipse.org/bugs/show_bug.cgi?id=30234", "30234")</f>
        <v>30234</v>
      </c>
      <c r="C809" t="s">
        <v>149</v>
      </c>
      <c r="D809" t="s">
        <v>10</v>
      </c>
      <c r="E809" t="s">
        <v>12</v>
      </c>
      <c r="F809" t="s">
        <v>26</v>
      </c>
      <c r="L809" t="s">
        <v>3737</v>
      </c>
      <c r="N809" t="s">
        <v>3737</v>
      </c>
      <c r="T809" t="s">
        <v>3738</v>
      </c>
      <c r="U809" t="s">
        <v>3737</v>
      </c>
      <c r="V809" t="s">
        <v>3737</v>
      </c>
      <c r="W809" t="s">
        <v>60</v>
      </c>
      <c r="X809" t="s">
        <v>3739</v>
      </c>
      <c r="Y809">
        <v>2</v>
      </c>
      <c r="Z809">
        <v>2</v>
      </c>
    </row>
    <row r="810" spans="1:26">
      <c r="A810" s="1">
        <v>808</v>
      </c>
      <c r="B810" t="str">
        <f>HYPERLINK("https://bugs.eclipse.org/bugs/show_bug.cgi?id=30235", "30235")</f>
        <v>30235</v>
      </c>
      <c r="C810" t="s">
        <v>149</v>
      </c>
      <c r="D810" t="s">
        <v>10</v>
      </c>
      <c r="E810" t="s">
        <v>12</v>
      </c>
      <c r="F810" t="s">
        <v>26</v>
      </c>
      <c r="L810" t="s">
        <v>3740</v>
      </c>
      <c r="N810" t="s">
        <v>3740</v>
      </c>
      <c r="T810" t="s">
        <v>3741</v>
      </c>
      <c r="U810" t="s">
        <v>3742</v>
      </c>
      <c r="V810" t="s">
        <v>3740</v>
      </c>
      <c r="W810" t="s">
        <v>60</v>
      </c>
      <c r="X810" t="s">
        <v>3743</v>
      </c>
      <c r="Y810">
        <v>2</v>
      </c>
      <c r="Z810">
        <v>2</v>
      </c>
    </row>
    <row r="811" spans="1:26">
      <c r="A811" s="1">
        <v>809</v>
      </c>
      <c r="B811" t="str">
        <f>HYPERLINK("https://bugs.eclipse.org/bugs/show_bug.cgi?id=30253", "30253")</f>
        <v>30253</v>
      </c>
      <c r="C811" t="s">
        <v>3744</v>
      </c>
      <c r="D811" t="s">
        <v>10</v>
      </c>
      <c r="E811" t="s">
        <v>15</v>
      </c>
      <c r="F811" t="s">
        <v>26</v>
      </c>
      <c r="L811" t="s">
        <v>3745</v>
      </c>
      <c r="Q811" t="s">
        <v>3745</v>
      </c>
      <c r="T811" t="s">
        <v>3746</v>
      </c>
      <c r="U811" t="s">
        <v>3745</v>
      </c>
      <c r="V811" t="s">
        <v>3745</v>
      </c>
      <c r="W811" t="s">
        <v>86</v>
      </c>
      <c r="X811" t="s">
        <v>3747</v>
      </c>
      <c r="Y811">
        <v>11</v>
      </c>
      <c r="Z811">
        <v>11</v>
      </c>
    </row>
    <row r="812" spans="1:26">
      <c r="A812" s="1">
        <v>810</v>
      </c>
      <c r="B812" t="str">
        <f>HYPERLINK("https://bugs.eclipse.org/bugs/show_bug.cgi?id=30260", "30260")</f>
        <v>30260</v>
      </c>
      <c r="C812" t="s">
        <v>56</v>
      </c>
      <c r="D812" t="s">
        <v>10</v>
      </c>
      <c r="E812" t="s">
        <v>14</v>
      </c>
      <c r="F812" t="s">
        <v>26</v>
      </c>
      <c r="L812" t="s">
        <v>3748</v>
      </c>
      <c r="P812" t="s">
        <v>3748</v>
      </c>
      <c r="S812" t="s">
        <v>3749</v>
      </c>
      <c r="T812" t="s">
        <v>3750</v>
      </c>
      <c r="U812" t="s">
        <v>3751</v>
      </c>
      <c r="V812" t="s">
        <v>3748</v>
      </c>
      <c r="W812" t="s">
        <v>86</v>
      </c>
      <c r="X812" t="s">
        <v>3752</v>
      </c>
      <c r="Y812">
        <v>0</v>
      </c>
      <c r="Z812">
        <v>87.958333333333329</v>
      </c>
    </row>
    <row r="813" spans="1:26">
      <c r="A813" s="1">
        <v>811</v>
      </c>
      <c r="B813" t="str">
        <f>HYPERLINK("https://bugs.eclipse.org/bugs/show_bug.cgi?id=30261", "30261")</f>
        <v>30261</v>
      </c>
      <c r="C813" t="s">
        <v>56</v>
      </c>
      <c r="D813" t="s">
        <v>10</v>
      </c>
      <c r="E813" t="s">
        <v>14</v>
      </c>
      <c r="F813" t="s">
        <v>26</v>
      </c>
      <c r="L813" t="s">
        <v>3753</v>
      </c>
      <c r="P813" t="s">
        <v>3753</v>
      </c>
      <c r="S813" t="s">
        <v>3754</v>
      </c>
      <c r="T813" t="s">
        <v>3755</v>
      </c>
      <c r="U813" t="s">
        <v>3756</v>
      </c>
      <c r="V813" t="s">
        <v>3753</v>
      </c>
      <c r="W813" t="s">
        <v>49</v>
      </c>
      <c r="X813" t="s">
        <v>3757</v>
      </c>
      <c r="Y813">
        <v>0</v>
      </c>
      <c r="Z813">
        <v>1221.958333333333</v>
      </c>
    </row>
    <row r="814" spans="1:26">
      <c r="A814" s="1">
        <v>812</v>
      </c>
      <c r="B814" t="str">
        <f>HYPERLINK("https://bugs.eclipse.org/bugs/show_bug.cgi?id=30267", "30267")</f>
        <v>30267</v>
      </c>
      <c r="C814" t="s">
        <v>3758</v>
      </c>
      <c r="D814" t="s">
        <v>10</v>
      </c>
      <c r="E814" t="s">
        <v>15</v>
      </c>
      <c r="F814" t="s">
        <v>51</v>
      </c>
      <c r="L814" t="s">
        <v>3759</v>
      </c>
      <c r="Q814" t="s">
        <v>3759</v>
      </c>
      <c r="S814" t="s">
        <v>3760</v>
      </c>
      <c r="T814" t="s">
        <v>3761</v>
      </c>
      <c r="U814" t="s">
        <v>3762</v>
      </c>
      <c r="V814" t="s">
        <v>3763</v>
      </c>
      <c r="W814" t="s">
        <v>953</v>
      </c>
      <c r="X814" t="s">
        <v>3764</v>
      </c>
      <c r="Y814">
        <v>1</v>
      </c>
      <c r="Z814">
        <v>212.95833333333329</v>
      </c>
    </row>
    <row r="815" spans="1:26">
      <c r="A815" s="1">
        <v>813</v>
      </c>
      <c r="B815" t="str">
        <f>HYPERLINK("https://bugs.eclipse.org/bugs/show_bug.cgi?id=30304", "30304")</f>
        <v>30304</v>
      </c>
      <c r="C815" t="s">
        <v>149</v>
      </c>
      <c r="D815" t="s">
        <v>10</v>
      </c>
      <c r="E815" t="s">
        <v>12</v>
      </c>
      <c r="F815" t="s">
        <v>150</v>
      </c>
      <c r="L815" t="s">
        <v>3765</v>
      </c>
      <c r="N815" t="s">
        <v>3765</v>
      </c>
      <c r="T815" t="s">
        <v>3766</v>
      </c>
      <c r="U815" t="s">
        <v>3767</v>
      </c>
      <c r="V815" t="s">
        <v>3765</v>
      </c>
      <c r="W815" t="s">
        <v>60</v>
      </c>
      <c r="X815" t="s">
        <v>3768</v>
      </c>
      <c r="Y815">
        <v>0</v>
      </c>
      <c r="Z815">
        <v>1</v>
      </c>
    </row>
    <row r="816" spans="1:26">
      <c r="A816" s="1">
        <v>814</v>
      </c>
      <c r="B816" t="str">
        <f>HYPERLINK("https://bugs.eclipse.org/bugs/show_bug.cgi?id=30312", "30312")</f>
        <v>30312</v>
      </c>
      <c r="C816" t="s">
        <v>56</v>
      </c>
      <c r="D816" t="s">
        <v>10</v>
      </c>
      <c r="E816" t="s">
        <v>14</v>
      </c>
      <c r="F816" t="s">
        <v>26</v>
      </c>
      <c r="L816" t="s">
        <v>3769</v>
      </c>
      <c r="P816" t="s">
        <v>3770</v>
      </c>
      <c r="T816" t="s">
        <v>3771</v>
      </c>
      <c r="U816" t="s">
        <v>3769</v>
      </c>
      <c r="V816" t="s">
        <v>3770</v>
      </c>
      <c r="W816" t="s">
        <v>75</v>
      </c>
      <c r="X816" t="s">
        <v>3772</v>
      </c>
      <c r="Y816">
        <v>0</v>
      </c>
      <c r="Z816">
        <v>2406.958333333333</v>
      </c>
    </row>
    <row r="817" spans="1:26">
      <c r="A817" s="1">
        <v>815</v>
      </c>
      <c r="B817" t="str">
        <f>HYPERLINK("https://bugs.eclipse.org/bugs/show_bug.cgi?id=30378", "30378")</f>
        <v>30378</v>
      </c>
      <c r="C817" t="s">
        <v>56</v>
      </c>
      <c r="D817" t="s">
        <v>10</v>
      </c>
      <c r="E817" t="s">
        <v>14</v>
      </c>
      <c r="F817" t="s">
        <v>26</v>
      </c>
      <c r="L817" t="s">
        <v>3773</v>
      </c>
      <c r="P817" t="s">
        <v>3774</v>
      </c>
      <c r="T817" t="s">
        <v>3775</v>
      </c>
      <c r="U817" t="s">
        <v>3776</v>
      </c>
      <c r="V817" t="s">
        <v>3774</v>
      </c>
      <c r="W817" t="s">
        <v>80</v>
      </c>
      <c r="X817" t="s">
        <v>3777</v>
      </c>
      <c r="Y817">
        <v>0</v>
      </c>
      <c r="Z817">
        <v>2405.958333333333</v>
      </c>
    </row>
    <row r="818" spans="1:26">
      <c r="A818" s="1">
        <v>816</v>
      </c>
      <c r="B818" t="str">
        <f>HYPERLINK("https://bugs.eclipse.org/bugs/show_bug.cgi?id=30410", "30410")</f>
        <v>30410</v>
      </c>
      <c r="C818" t="s">
        <v>149</v>
      </c>
      <c r="D818" t="s">
        <v>10</v>
      </c>
      <c r="E818" t="s">
        <v>12</v>
      </c>
      <c r="F818" t="s">
        <v>26</v>
      </c>
      <c r="L818" t="s">
        <v>3778</v>
      </c>
      <c r="N818" t="s">
        <v>3778</v>
      </c>
      <c r="T818" t="s">
        <v>3779</v>
      </c>
      <c r="U818" t="s">
        <v>3780</v>
      </c>
      <c r="V818" t="s">
        <v>3778</v>
      </c>
      <c r="W818" t="s">
        <v>60</v>
      </c>
      <c r="X818" t="s">
        <v>3781</v>
      </c>
      <c r="Y818">
        <v>6</v>
      </c>
      <c r="Z818">
        <v>8</v>
      </c>
    </row>
    <row r="819" spans="1:26">
      <c r="A819" s="1">
        <v>817</v>
      </c>
      <c r="B819" t="str">
        <f>HYPERLINK("https://bugs.eclipse.org/bugs/show_bug.cgi?id=30509", "30509")</f>
        <v>30509</v>
      </c>
      <c r="C819" t="s">
        <v>56</v>
      </c>
      <c r="D819" t="s">
        <v>10</v>
      </c>
      <c r="E819" t="s">
        <v>14</v>
      </c>
      <c r="F819" t="s">
        <v>26</v>
      </c>
      <c r="L819" t="s">
        <v>3782</v>
      </c>
      <c r="P819" t="s">
        <v>3783</v>
      </c>
      <c r="T819" t="s">
        <v>3784</v>
      </c>
      <c r="U819" t="s">
        <v>3782</v>
      </c>
      <c r="V819" t="s">
        <v>3783</v>
      </c>
      <c r="W819" t="s">
        <v>75</v>
      </c>
      <c r="X819" t="s">
        <v>3785</v>
      </c>
      <c r="Y819">
        <v>0</v>
      </c>
      <c r="Z819">
        <v>2404.958333333333</v>
      </c>
    </row>
    <row r="820" spans="1:26">
      <c r="A820" s="1">
        <v>818</v>
      </c>
      <c r="B820" t="str">
        <f>HYPERLINK("https://bugs.eclipse.org/bugs/show_bug.cgi?id=30524", "30524")</f>
        <v>30524</v>
      </c>
      <c r="C820" t="s">
        <v>140</v>
      </c>
      <c r="D820" t="s">
        <v>10</v>
      </c>
      <c r="E820" t="s">
        <v>16</v>
      </c>
      <c r="F820" t="s">
        <v>26</v>
      </c>
      <c r="L820" t="s">
        <v>3786</v>
      </c>
      <c r="R820" t="s">
        <v>3786</v>
      </c>
      <c r="T820" t="s">
        <v>3787</v>
      </c>
      <c r="U820" t="s">
        <v>3788</v>
      </c>
      <c r="V820" t="s">
        <v>3786</v>
      </c>
      <c r="W820" t="s">
        <v>60</v>
      </c>
      <c r="X820" t="s">
        <v>3789</v>
      </c>
      <c r="Y820">
        <v>0</v>
      </c>
      <c r="Z820">
        <v>0</v>
      </c>
    </row>
    <row r="821" spans="1:26">
      <c r="A821" s="1">
        <v>819</v>
      </c>
      <c r="B821" t="str">
        <f>HYPERLINK("https://bugs.eclipse.org/bugs/show_bug.cgi?id=30577", "30577")</f>
        <v>30577</v>
      </c>
      <c r="C821" t="s">
        <v>140</v>
      </c>
      <c r="D821" t="s">
        <v>10</v>
      </c>
      <c r="E821" t="s">
        <v>16</v>
      </c>
      <c r="F821" t="s">
        <v>26</v>
      </c>
      <c r="G821" t="s">
        <v>3790</v>
      </c>
      <c r="H821" t="s">
        <v>3791</v>
      </c>
      <c r="L821" t="s">
        <v>3792</v>
      </c>
      <c r="R821" t="s">
        <v>3792</v>
      </c>
      <c r="S821" t="s">
        <v>3793</v>
      </c>
      <c r="T821" t="s">
        <v>3794</v>
      </c>
      <c r="U821" t="s">
        <v>3795</v>
      </c>
      <c r="V821" t="s">
        <v>3792</v>
      </c>
      <c r="W821" t="s">
        <v>86</v>
      </c>
      <c r="X821" t="s">
        <v>3796</v>
      </c>
      <c r="Y821">
        <v>0</v>
      </c>
      <c r="Z821">
        <v>1069</v>
      </c>
    </row>
    <row r="822" spans="1:26">
      <c r="A822" s="1">
        <v>820</v>
      </c>
      <c r="B822" t="str">
        <f>HYPERLINK("https://bugs.eclipse.org/bugs/show_bug.cgi?id=30597", "30597")</f>
        <v>30597</v>
      </c>
      <c r="C822" t="s">
        <v>149</v>
      </c>
      <c r="D822" t="s">
        <v>10</v>
      </c>
      <c r="E822" t="s">
        <v>12</v>
      </c>
      <c r="F822" t="s">
        <v>150</v>
      </c>
      <c r="L822" t="s">
        <v>3797</v>
      </c>
      <c r="N822" t="s">
        <v>3797</v>
      </c>
      <c r="T822" t="s">
        <v>3798</v>
      </c>
      <c r="U822" t="s">
        <v>3799</v>
      </c>
      <c r="V822" t="s">
        <v>3797</v>
      </c>
      <c r="W822" t="s">
        <v>49</v>
      </c>
      <c r="X822" t="s">
        <v>3800</v>
      </c>
      <c r="Y822">
        <v>0</v>
      </c>
      <c r="Z822">
        <v>13</v>
      </c>
    </row>
    <row r="823" spans="1:26">
      <c r="A823" s="1">
        <v>821</v>
      </c>
      <c r="B823" t="str">
        <f>HYPERLINK("https://bugs.eclipse.org/bugs/show_bug.cgi?id=30690", "30690")</f>
        <v>30690</v>
      </c>
      <c r="C823" t="s">
        <v>149</v>
      </c>
      <c r="D823" t="s">
        <v>10</v>
      </c>
      <c r="E823" t="s">
        <v>12</v>
      </c>
      <c r="F823" t="s">
        <v>26</v>
      </c>
      <c r="L823" t="s">
        <v>3801</v>
      </c>
      <c r="N823" t="s">
        <v>3801</v>
      </c>
      <c r="T823" t="s">
        <v>3802</v>
      </c>
      <c r="U823" t="s">
        <v>3803</v>
      </c>
      <c r="V823" t="s">
        <v>3801</v>
      </c>
      <c r="W823" t="s">
        <v>49</v>
      </c>
      <c r="X823" t="s">
        <v>3804</v>
      </c>
      <c r="Y823">
        <v>0</v>
      </c>
      <c r="Z823">
        <v>13</v>
      </c>
    </row>
    <row r="824" spans="1:26">
      <c r="A824" s="1">
        <v>822</v>
      </c>
      <c r="B824" t="str">
        <f>HYPERLINK("https://bugs.eclipse.org/bugs/show_bug.cgi?id=30703", "30703")</f>
        <v>30703</v>
      </c>
      <c r="C824" t="s">
        <v>3805</v>
      </c>
      <c r="D824" t="s">
        <v>10</v>
      </c>
      <c r="E824" t="s">
        <v>15</v>
      </c>
      <c r="F824" t="s">
        <v>26</v>
      </c>
      <c r="L824" t="s">
        <v>3806</v>
      </c>
      <c r="O824" t="s">
        <v>3807</v>
      </c>
      <c r="Q824" t="s">
        <v>3806</v>
      </c>
      <c r="S824" t="s">
        <v>3808</v>
      </c>
      <c r="T824" t="s">
        <v>3809</v>
      </c>
      <c r="U824" t="s">
        <v>3807</v>
      </c>
      <c r="V824" t="s">
        <v>3806</v>
      </c>
      <c r="W824" t="s">
        <v>851</v>
      </c>
      <c r="X824" t="s">
        <v>3810</v>
      </c>
      <c r="Y824">
        <v>19</v>
      </c>
      <c r="Z824">
        <v>664</v>
      </c>
    </row>
    <row r="825" spans="1:26">
      <c r="A825" s="1">
        <v>823</v>
      </c>
      <c r="B825" t="str">
        <f>HYPERLINK("https://bugs.eclipse.org/bugs/show_bug.cgi?id=30706", "30706")</f>
        <v>30706</v>
      </c>
      <c r="C825" t="s">
        <v>149</v>
      </c>
      <c r="D825" t="s">
        <v>10</v>
      </c>
      <c r="E825" t="s">
        <v>12</v>
      </c>
      <c r="F825" t="s">
        <v>26</v>
      </c>
      <c r="L825" t="s">
        <v>3811</v>
      </c>
      <c r="N825" t="s">
        <v>3811</v>
      </c>
      <c r="T825" t="s">
        <v>3812</v>
      </c>
      <c r="U825" t="s">
        <v>3813</v>
      </c>
      <c r="V825" t="s">
        <v>3811</v>
      </c>
      <c r="W825" t="s">
        <v>60</v>
      </c>
      <c r="X825" t="s">
        <v>3814</v>
      </c>
      <c r="Y825">
        <v>0</v>
      </c>
      <c r="Z825">
        <v>13</v>
      </c>
    </row>
    <row r="826" spans="1:26">
      <c r="A826" s="1">
        <v>824</v>
      </c>
      <c r="B826" t="str">
        <f>HYPERLINK("https://bugs.eclipse.org/bugs/show_bug.cgi?id=30724", "30724")</f>
        <v>30724</v>
      </c>
      <c r="C826" t="s">
        <v>149</v>
      </c>
      <c r="D826" t="s">
        <v>10</v>
      </c>
      <c r="E826" t="s">
        <v>12</v>
      </c>
      <c r="F826" t="s">
        <v>150</v>
      </c>
      <c r="L826" t="s">
        <v>3815</v>
      </c>
      <c r="N826" t="s">
        <v>3815</v>
      </c>
      <c r="T826" t="s">
        <v>3816</v>
      </c>
      <c r="U826" t="s">
        <v>3817</v>
      </c>
      <c r="V826" t="s">
        <v>3815</v>
      </c>
      <c r="W826" t="s">
        <v>60</v>
      </c>
      <c r="X826" t="s">
        <v>3818</v>
      </c>
      <c r="Y826">
        <v>1</v>
      </c>
      <c r="Z826">
        <v>3</v>
      </c>
    </row>
    <row r="827" spans="1:26">
      <c r="A827" s="1">
        <v>825</v>
      </c>
      <c r="B827" t="str">
        <f>HYPERLINK("https://bugs.eclipse.org/bugs/show_bug.cgi?id=30747", "30747")</f>
        <v>30747</v>
      </c>
      <c r="C827" t="s">
        <v>149</v>
      </c>
      <c r="D827" t="s">
        <v>10</v>
      </c>
      <c r="E827" t="s">
        <v>12</v>
      </c>
      <c r="F827" t="s">
        <v>26</v>
      </c>
      <c r="G827" t="s">
        <v>3819</v>
      </c>
      <c r="L827" t="s">
        <v>3820</v>
      </c>
      <c r="N827" t="s">
        <v>3820</v>
      </c>
      <c r="S827" t="s">
        <v>3821</v>
      </c>
      <c r="T827" t="s">
        <v>3822</v>
      </c>
      <c r="U827" t="s">
        <v>3823</v>
      </c>
      <c r="V827" t="s">
        <v>3820</v>
      </c>
      <c r="W827" t="s">
        <v>60</v>
      </c>
      <c r="X827" t="s">
        <v>3824</v>
      </c>
      <c r="Y827">
        <v>1</v>
      </c>
      <c r="Z827">
        <v>157.95833333333329</v>
      </c>
    </row>
    <row r="828" spans="1:26">
      <c r="A828" s="1">
        <v>826</v>
      </c>
      <c r="B828" t="str">
        <f>HYPERLINK("https://bugs.eclipse.org/bugs/show_bug.cgi?id=30749", "30749")</f>
        <v>30749</v>
      </c>
      <c r="C828" t="s">
        <v>149</v>
      </c>
      <c r="D828" t="s">
        <v>10</v>
      </c>
      <c r="E828" t="s">
        <v>12</v>
      </c>
      <c r="F828" t="s">
        <v>26</v>
      </c>
      <c r="L828" t="s">
        <v>3825</v>
      </c>
      <c r="N828" t="s">
        <v>3825</v>
      </c>
      <c r="T828" t="s">
        <v>3826</v>
      </c>
      <c r="U828" t="s">
        <v>3827</v>
      </c>
      <c r="V828" t="s">
        <v>3825</v>
      </c>
      <c r="W828" t="s">
        <v>60</v>
      </c>
      <c r="X828" t="s">
        <v>3828</v>
      </c>
      <c r="Y828">
        <v>0</v>
      </c>
      <c r="Z828">
        <v>3</v>
      </c>
    </row>
    <row r="829" spans="1:26">
      <c r="A829" s="1">
        <v>827</v>
      </c>
      <c r="B829" t="str">
        <f>HYPERLINK("https://bugs.eclipse.org/bugs/show_bug.cgi?id=30811", "30811")</f>
        <v>30811</v>
      </c>
      <c r="C829" t="s">
        <v>149</v>
      </c>
      <c r="D829" t="s">
        <v>10</v>
      </c>
      <c r="E829" t="s">
        <v>12</v>
      </c>
      <c r="F829" t="s">
        <v>26</v>
      </c>
      <c r="G829" t="s">
        <v>3829</v>
      </c>
      <c r="L829" t="s">
        <v>3830</v>
      </c>
      <c r="N829" t="s">
        <v>3830</v>
      </c>
      <c r="T829" t="s">
        <v>3831</v>
      </c>
      <c r="U829" t="s">
        <v>3832</v>
      </c>
      <c r="V829" t="s">
        <v>3830</v>
      </c>
      <c r="W829" t="s">
        <v>60</v>
      </c>
      <c r="X829" t="s">
        <v>3833</v>
      </c>
      <c r="Y829">
        <v>0</v>
      </c>
      <c r="Z829">
        <v>14</v>
      </c>
    </row>
    <row r="830" spans="1:26">
      <c r="A830" s="1">
        <v>828</v>
      </c>
      <c r="B830" t="str">
        <f>HYPERLINK("https://bugs.eclipse.org/bugs/show_bug.cgi?id=30812", "30812")</f>
        <v>30812</v>
      </c>
      <c r="C830" t="s">
        <v>149</v>
      </c>
      <c r="D830" t="s">
        <v>10</v>
      </c>
      <c r="E830" t="s">
        <v>12</v>
      </c>
      <c r="F830" t="s">
        <v>26</v>
      </c>
      <c r="L830" t="s">
        <v>3834</v>
      </c>
      <c r="N830" t="s">
        <v>3834</v>
      </c>
      <c r="T830" t="s">
        <v>3835</v>
      </c>
      <c r="U830" t="s">
        <v>3836</v>
      </c>
      <c r="V830" t="s">
        <v>3834</v>
      </c>
      <c r="W830" t="s">
        <v>60</v>
      </c>
      <c r="X830" t="s">
        <v>3837</v>
      </c>
      <c r="Y830">
        <v>0</v>
      </c>
      <c r="Z830">
        <v>0</v>
      </c>
    </row>
    <row r="831" spans="1:26">
      <c r="A831" s="1">
        <v>829</v>
      </c>
      <c r="B831" t="str">
        <f>HYPERLINK("https://bugs.eclipse.org/bugs/show_bug.cgi?id=30813", "30813")</f>
        <v>30813</v>
      </c>
      <c r="C831" t="s">
        <v>149</v>
      </c>
      <c r="D831" t="s">
        <v>10</v>
      </c>
      <c r="E831" t="s">
        <v>12</v>
      </c>
      <c r="F831" t="s">
        <v>26</v>
      </c>
      <c r="L831" t="s">
        <v>3838</v>
      </c>
      <c r="N831" t="s">
        <v>3838</v>
      </c>
      <c r="S831" t="s">
        <v>3839</v>
      </c>
      <c r="T831" t="s">
        <v>3840</v>
      </c>
      <c r="U831" t="s">
        <v>3841</v>
      </c>
      <c r="V831" t="s">
        <v>3838</v>
      </c>
      <c r="W831" t="s">
        <v>86</v>
      </c>
      <c r="X831" t="s">
        <v>3842</v>
      </c>
      <c r="Y831">
        <v>0</v>
      </c>
      <c r="Z831">
        <v>80.958333333333329</v>
      </c>
    </row>
    <row r="832" spans="1:26">
      <c r="A832" s="1">
        <v>830</v>
      </c>
      <c r="B832" t="str">
        <f>HYPERLINK("https://bugs.eclipse.org/bugs/show_bug.cgi?id=30826", "30826")</f>
        <v>30826</v>
      </c>
      <c r="C832" t="s">
        <v>149</v>
      </c>
      <c r="D832" t="s">
        <v>10</v>
      </c>
      <c r="E832" t="s">
        <v>12</v>
      </c>
      <c r="F832" t="s">
        <v>26</v>
      </c>
      <c r="G832" t="s">
        <v>3843</v>
      </c>
      <c r="L832" t="s">
        <v>3844</v>
      </c>
      <c r="N832" t="s">
        <v>3844</v>
      </c>
      <c r="S832" t="s">
        <v>3845</v>
      </c>
      <c r="T832" t="s">
        <v>3846</v>
      </c>
      <c r="U832" t="s">
        <v>3847</v>
      </c>
      <c r="V832" t="s">
        <v>3844</v>
      </c>
      <c r="W832" t="s">
        <v>2668</v>
      </c>
      <c r="X832" t="s">
        <v>3848</v>
      </c>
      <c r="Y832">
        <v>0</v>
      </c>
      <c r="Z832">
        <v>1171.958333333333</v>
      </c>
    </row>
    <row r="833" spans="1:26">
      <c r="A833" s="1">
        <v>831</v>
      </c>
      <c r="B833" t="str">
        <f>HYPERLINK("https://bugs.eclipse.org/bugs/show_bug.cgi?id=30827", "30827")</f>
        <v>30827</v>
      </c>
      <c r="C833" t="s">
        <v>149</v>
      </c>
      <c r="D833" t="s">
        <v>10</v>
      </c>
      <c r="E833" t="s">
        <v>12</v>
      </c>
      <c r="F833" t="s">
        <v>26</v>
      </c>
      <c r="G833" t="s">
        <v>3849</v>
      </c>
      <c r="L833" t="s">
        <v>3850</v>
      </c>
      <c r="N833" t="s">
        <v>3850</v>
      </c>
      <c r="T833" t="s">
        <v>3851</v>
      </c>
      <c r="U833" t="s">
        <v>3852</v>
      </c>
      <c r="V833" t="s">
        <v>3850</v>
      </c>
      <c r="W833" t="s">
        <v>86</v>
      </c>
      <c r="X833" t="s">
        <v>3853</v>
      </c>
      <c r="Y833">
        <v>0</v>
      </c>
      <c r="Z833">
        <v>8</v>
      </c>
    </row>
    <row r="834" spans="1:26">
      <c r="A834" s="1">
        <v>832</v>
      </c>
      <c r="B834" t="str">
        <f>HYPERLINK("https://bugs.eclipse.org/bugs/show_bug.cgi?id=30880", "30880")</f>
        <v>30880</v>
      </c>
      <c r="C834" t="s">
        <v>3854</v>
      </c>
      <c r="D834" t="s">
        <v>10</v>
      </c>
      <c r="E834" t="s">
        <v>15</v>
      </c>
      <c r="F834" t="s">
        <v>150</v>
      </c>
      <c r="L834" t="s">
        <v>3855</v>
      </c>
      <c r="O834" t="s">
        <v>3856</v>
      </c>
      <c r="Q834" t="s">
        <v>3855</v>
      </c>
      <c r="S834" t="s">
        <v>3857</v>
      </c>
      <c r="T834" t="s">
        <v>3858</v>
      </c>
      <c r="U834" t="s">
        <v>3859</v>
      </c>
      <c r="V834" t="s">
        <v>3855</v>
      </c>
      <c r="W834" t="s">
        <v>49</v>
      </c>
      <c r="X834" t="s">
        <v>3860</v>
      </c>
      <c r="Y834">
        <v>0</v>
      </c>
      <c r="Z834">
        <v>3</v>
      </c>
    </row>
    <row r="835" spans="1:26">
      <c r="A835" s="1">
        <v>833</v>
      </c>
      <c r="B835" t="str">
        <f>HYPERLINK("https://bugs.eclipse.org/bugs/show_bug.cgi?id=30904", "30904")</f>
        <v>30904</v>
      </c>
      <c r="C835" t="s">
        <v>140</v>
      </c>
      <c r="D835" t="s">
        <v>10</v>
      </c>
      <c r="E835" t="s">
        <v>16</v>
      </c>
      <c r="F835" t="s">
        <v>26</v>
      </c>
      <c r="G835" t="s">
        <v>3861</v>
      </c>
      <c r="L835" t="s">
        <v>3862</v>
      </c>
      <c r="R835" t="s">
        <v>3862</v>
      </c>
      <c r="S835" t="s">
        <v>3863</v>
      </c>
      <c r="T835" t="s">
        <v>3864</v>
      </c>
      <c r="U835" t="s">
        <v>3865</v>
      </c>
      <c r="V835" t="s">
        <v>3862</v>
      </c>
      <c r="W835" t="s">
        <v>851</v>
      </c>
      <c r="X835" t="s">
        <v>3866</v>
      </c>
      <c r="Y835">
        <v>2</v>
      </c>
      <c r="Z835">
        <v>1473</v>
      </c>
    </row>
    <row r="836" spans="1:26">
      <c r="A836" s="1">
        <v>834</v>
      </c>
      <c r="B836" t="str">
        <f>HYPERLINK("https://bugs.eclipse.org/bugs/show_bug.cgi?id=30906", "30906")</f>
        <v>30906</v>
      </c>
      <c r="C836" t="s">
        <v>149</v>
      </c>
      <c r="D836" t="s">
        <v>10</v>
      </c>
      <c r="E836" t="s">
        <v>12</v>
      </c>
      <c r="F836" t="s">
        <v>150</v>
      </c>
      <c r="L836" t="s">
        <v>3867</v>
      </c>
      <c r="N836" t="s">
        <v>3867</v>
      </c>
      <c r="T836" t="s">
        <v>3868</v>
      </c>
      <c r="U836" t="s">
        <v>3869</v>
      </c>
      <c r="V836" t="s">
        <v>3867</v>
      </c>
      <c r="W836" t="s">
        <v>60</v>
      </c>
      <c r="X836" t="s">
        <v>3870</v>
      </c>
      <c r="Y836">
        <v>1</v>
      </c>
      <c r="Z836">
        <v>8</v>
      </c>
    </row>
    <row r="837" spans="1:26">
      <c r="A837" s="1">
        <v>835</v>
      </c>
      <c r="B837" t="str">
        <f>HYPERLINK("https://bugs.eclipse.org/bugs/show_bug.cgi?id=30923", "30923")</f>
        <v>30923</v>
      </c>
      <c r="C837" t="s">
        <v>149</v>
      </c>
      <c r="D837" t="s">
        <v>10</v>
      </c>
      <c r="E837" t="s">
        <v>12</v>
      </c>
      <c r="F837" t="s">
        <v>26</v>
      </c>
      <c r="L837" t="s">
        <v>3871</v>
      </c>
      <c r="N837" t="s">
        <v>3871</v>
      </c>
      <c r="T837" t="s">
        <v>3872</v>
      </c>
      <c r="U837" t="s">
        <v>3873</v>
      </c>
      <c r="V837" t="s">
        <v>3871</v>
      </c>
      <c r="W837" t="s">
        <v>60</v>
      </c>
      <c r="X837" t="s">
        <v>3874</v>
      </c>
      <c r="Y837">
        <v>0</v>
      </c>
      <c r="Z837">
        <v>1</v>
      </c>
    </row>
    <row r="838" spans="1:26">
      <c r="A838" s="1">
        <v>836</v>
      </c>
      <c r="B838" t="str">
        <f>HYPERLINK("https://bugs.eclipse.org/bugs/show_bug.cgi?id=30940", "30940")</f>
        <v>30940</v>
      </c>
      <c r="C838" t="s">
        <v>149</v>
      </c>
      <c r="D838" t="s">
        <v>10</v>
      </c>
      <c r="E838" t="s">
        <v>12</v>
      </c>
      <c r="F838" t="s">
        <v>150</v>
      </c>
      <c r="G838" t="s">
        <v>3875</v>
      </c>
      <c r="L838" t="s">
        <v>3876</v>
      </c>
      <c r="N838" t="s">
        <v>3876</v>
      </c>
      <c r="T838" t="s">
        <v>3877</v>
      </c>
      <c r="U838" t="s">
        <v>3878</v>
      </c>
      <c r="V838" t="s">
        <v>3876</v>
      </c>
      <c r="W838" t="s">
        <v>60</v>
      </c>
      <c r="X838" t="s">
        <v>3879</v>
      </c>
      <c r="Y838">
        <v>1</v>
      </c>
      <c r="Z838">
        <v>8</v>
      </c>
    </row>
    <row r="839" spans="1:26">
      <c r="A839" s="1">
        <v>837</v>
      </c>
      <c r="B839" t="str">
        <f>HYPERLINK("https://bugs.eclipse.org/bugs/show_bug.cgi?id=30959", "30959")</f>
        <v>30959</v>
      </c>
      <c r="C839" t="s">
        <v>149</v>
      </c>
      <c r="D839" t="s">
        <v>10</v>
      </c>
      <c r="E839" t="s">
        <v>12</v>
      </c>
      <c r="F839" t="s">
        <v>26</v>
      </c>
      <c r="G839" t="s">
        <v>3880</v>
      </c>
      <c r="L839" t="s">
        <v>3881</v>
      </c>
      <c r="N839" t="s">
        <v>3881</v>
      </c>
      <c r="T839" t="s">
        <v>3882</v>
      </c>
      <c r="U839" t="s">
        <v>3881</v>
      </c>
      <c r="V839" t="s">
        <v>3883</v>
      </c>
      <c r="W839" t="s">
        <v>60</v>
      </c>
      <c r="X839" t="s">
        <v>3884</v>
      </c>
      <c r="Y839">
        <v>0</v>
      </c>
      <c r="Z839">
        <v>1</v>
      </c>
    </row>
    <row r="840" spans="1:26">
      <c r="A840" s="1">
        <v>838</v>
      </c>
      <c r="B840" t="str">
        <f>HYPERLINK("https://bugs.eclipse.org/bugs/show_bug.cgi?id=30967", "30967")</f>
        <v>30967</v>
      </c>
      <c r="C840" t="s">
        <v>149</v>
      </c>
      <c r="D840" t="s">
        <v>10</v>
      </c>
      <c r="E840" t="s">
        <v>12</v>
      </c>
      <c r="F840" t="s">
        <v>26</v>
      </c>
      <c r="L840" t="s">
        <v>3885</v>
      </c>
      <c r="N840" t="s">
        <v>3885</v>
      </c>
      <c r="T840" t="s">
        <v>3886</v>
      </c>
      <c r="U840" t="s">
        <v>3887</v>
      </c>
      <c r="V840" t="s">
        <v>3885</v>
      </c>
      <c r="W840" t="s">
        <v>86</v>
      </c>
      <c r="X840" t="s">
        <v>3888</v>
      </c>
      <c r="Y840">
        <v>1</v>
      </c>
      <c r="Z840">
        <v>686</v>
      </c>
    </row>
    <row r="841" spans="1:26">
      <c r="A841" s="1">
        <v>839</v>
      </c>
      <c r="B841" t="str">
        <f>HYPERLINK("https://bugs.eclipse.org/bugs/show_bug.cgi?id=31049", "31049")</f>
        <v>31049</v>
      </c>
      <c r="C841" t="s">
        <v>140</v>
      </c>
      <c r="D841" t="s">
        <v>10</v>
      </c>
      <c r="E841" t="s">
        <v>16</v>
      </c>
      <c r="F841" t="s">
        <v>26</v>
      </c>
      <c r="L841" t="s">
        <v>3889</v>
      </c>
      <c r="R841" t="s">
        <v>3889</v>
      </c>
      <c r="T841" t="s">
        <v>3890</v>
      </c>
      <c r="U841" t="s">
        <v>3889</v>
      </c>
      <c r="V841" t="s">
        <v>3889</v>
      </c>
      <c r="W841" t="s">
        <v>86</v>
      </c>
      <c r="X841" t="s">
        <v>3891</v>
      </c>
      <c r="Y841">
        <v>1</v>
      </c>
      <c r="Z841">
        <v>1</v>
      </c>
    </row>
    <row r="842" spans="1:26">
      <c r="A842" s="1">
        <v>840</v>
      </c>
      <c r="B842" t="str">
        <f>HYPERLINK("https://bugs.eclipse.org/bugs/show_bug.cgi?id=31061", "31061")</f>
        <v>31061</v>
      </c>
      <c r="C842" t="s">
        <v>56</v>
      </c>
      <c r="D842" t="s">
        <v>10</v>
      </c>
      <c r="E842" t="s">
        <v>14</v>
      </c>
      <c r="F842" t="s">
        <v>26</v>
      </c>
      <c r="L842" t="s">
        <v>3892</v>
      </c>
      <c r="P842" t="s">
        <v>3893</v>
      </c>
      <c r="T842" t="s">
        <v>3894</v>
      </c>
      <c r="U842" t="s">
        <v>3892</v>
      </c>
      <c r="V842" t="s">
        <v>3893</v>
      </c>
      <c r="W842" t="s">
        <v>80</v>
      </c>
      <c r="X842" t="s">
        <v>3895</v>
      </c>
      <c r="Y842">
        <v>1</v>
      </c>
      <c r="Z842">
        <v>2397.958333333333</v>
      </c>
    </row>
    <row r="843" spans="1:26">
      <c r="A843" s="1">
        <v>841</v>
      </c>
      <c r="B843" t="str">
        <f>HYPERLINK("https://bugs.eclipse.org/bugs/show_bug.cgi?id=31069", "31069")</f>
        <v>31069</v>
      </c>
      <c r="C843" t="s">
        <v>56</v>
      </c>
      <c r="D843" t="s">
        <v>10</v>
      </c>
      <c r="E843" t="s">
        <v>14</v>
      </c>
      <c r="F843" t="s">
        <v>51</v>
      </c>
      <c r="L843" t="s">
        <v>3896</v>
      </c>
      <c r="P843" t="s">
        <v>3897</v>
      </c>
      <c r="S843" t="s">
        <v>3898</v>
      </c>
      <c r="T843" t="s">
        <v>3899</v>
      </c>
      <c r="U843" t="s">
        <v>3900</v>
      </c>
      <c r="V843" t="s">
        <v>3901</v>
      </c>
      <c r="W843" t="s">
        <v>3902</v>
      </c>
      <c r="X843" t="s">
        <v>3903</v>
      </c>
      <c r="Y843">
        <v>1</v>
      </c>
      <c r="Z843">
        <v>2638.958333333333</v>
      </c>
    </row>
    <row r="844" spans="1:26">
      <c r="A844" s="1">
        <v>842</v>
      </c>
      <c r="B844" t="str">
        <f>HYPERLINK("https://bugs.eclipse.org/bugs/show_bug.cgi?id=31082", "31082")</f>
        <v>31082</v>
      </c>
      <c r="C844" t="s">
        <v>3904</v>
      </c>
      <c r="D844" t="s">
        <v>10</v>
      </c>
      <c r="E844" t="s">
        <v>15</v>
      </c>
      <c r="F844" t="s">
        <v>145</v>
      </c>
      <c r="L844" t="s">
        <v>3883</v>
      </c>
      <c r="Q844" t="s">
        <v>3883</v>
      </c>
      <c r="T844" t="s">
        <v>3905</v>
      </c>
      <c r="U844" t="s">
        <v>3906</v>
      </c>
      <c r="V844" t="s">
        <v>3883</v>
      </c>
      <c r="W844" t="s">
        <v>60</v>
      </c>
      <c r="X844" t="s">
        <v>3907</v>
      </c>
      <c r="Y844">
        <v>0</v>
      </c>
      <c r="Z844">
        <v>0</v>
      </c>
    </row>
    <row r="845" spans="1:26">
      <c r="A845" s="1">
        <v>843</v>
      </c>
      <c r="B845" t="str">
        <f>HYPERLINK("https://bugs.eclipse.org/bugs/show_bug.cgi?id=31089", "31089")</f>
        <v>31089</v>
      </c>
      <c r="C845" t="s">
        <v>88</v>
      </c>
      <c r="D845" t="s">
        <v>10</v>
      </c>
      <c r="E845" t="s">
        <v>13</v>
      </c>
      <c r="F845" t="s">
        <v>150</v>
      </c>
      <c r="L845" t="s">
        <v>3908</v>
      </c>
      <c r="O845" t="s">
        <v>3908</v>
      </c>
      <c r="S845" t="s">
        <v>3909</v>
      </c>
      <c r="T845" t="s">
        <v>3910</v>
      </c>
      <c r="U845" t="s">
        <v>3911</v>
      </c>
      <c r="V845" t="s">
        <v>3908</v>
      </c>
      <c r="W845" t="s">
        <v>86</v>
      </c>
      <c r="X845" t="s">
        <v>3912</v>
      </c>
      <c r="Y845">
        <v>0</v>
      </c>
      <c r="Z845">
        <v>77.958333333333329</v>
      </c>
    </row>
    <row r="846" spans="1:26">
      <c r="A846" s="1">
        <v>844</v>
      </c>
      <c r="B846" t="str">
        <f>HYPERLINK("https://bugs.eclipse.org/bugs/show_bug.cgi?id=31124", "31124")</f>
        <v>31124</v>
      </c>
      <c r="C846" t="s">
        <v>149</v>
      </c>
      <c r="D846" t="s">
        <v>10</v>
      </c>
      <c r="E846" t="s">
        <v>12</v>
      </c>
      <c r="F846" t="s">
        <v>150</v>
      </c>
      <c r="G846" t="s">
        <v>3913</v>
      </c>
      <c r="L846" t="s">
        <v>3914</v>
      </c>
      <c r="N846" t="s">
        <v>3914</v>
      </c>
      <c r="T846" t="s">
        <v>3915</v>
      </c>
      <c r="U846" t="s">
        <v>3916</v>
      </c>
      <c r="V846" t="s">
        <v>3917</v>
      </c>
      <c r="W846" t="s">
        <v>60</v>
      </c>
      <c r="X846" t="s">
        <v>3918</v>
      </c>
      <c r="Y846">
        <v>1</v>
      </c>
      <c r="Z846">
        <v>5</v>
      </c>
    </row>
    <row r="847" spans="1:26">
      <c r="A847" s="1">
        <v>845</v>
      </c>
      <c r="B847" t="str">
        <f>HYPERLINK("https://bugs.eclipse.org/bugs/show_bug.cgi?id=31125", "31125")</f>
        <v>31125</v>
      </c>
      <c r="C847" t="s">
        <v>149</v>
      </c>
      <c r="D847" t="s">
        <v>10</v>
      </c>
      <c r="E847" t="s">
        <v>12</v>
      </c>
      <c r="F847" t="s">
        <v>26</v>
      </c>
      <c r="L847" t="s">
        <v>3919</v>
      </c>
      <c r="N847" t="s">
        <v>3919</v>
      </c>
      <c r="S847" t="s">
        <v>3920</v>
      </c>
      <c r="T847" t="s">
        <v>3921</v>
      </c>
      <c r="U847" t="s">
        <v>3922</v>
      </c>
      <c r="V847" t="s">
        <v>3919</v>
      </c>
      <c r="W847" t="s">
        <v>1954</v>
      </c>
      <c r="X847" t="s">
        <v>3923</v>
      </c>
      <c r="Y847">
        <v>1</v>
      </c>
      <c r="Z847">
        <v>1637.958333333333</v>
      </c>
    </row>
    <row r="848" spans="1:26">
      <c r="A848" s="1">
        <v>846</v>
      </c>
      <c r="B848" t="str">
        <f>HYPERLINK("https://bugs.eclipse.org/bugs/show_bug.cgi?id=31227", "31227")</f>
        <v>31227</v>
      </c>
      <c r="C848" t="s">
        <v>3924</v>
      </c>
      <c r="D848" t="s">
        <v>10</v>
      </c>
      <c r="E848" t="s">
        <v>15</v>
      </c>
      <c r="F848" t="s">
        <v>26</v>
      </c>
      <c r="L848" t="s">
        <v>3925</v>
      </c>
      <c r="Q848" t="s">
        <v>3925</v>
      </c>
      <c r="T848" t="s">
        <v>3926</v>
      </c>
      <c r="U848" t="s">
        <v>3927</v>
      </c>
      <c r="V848" t="s">
        <v>3925</v>
      </c>
      <c r="W848" t="s">
        <v>60</v>
      </c>
      <c r="X848" t="s">
        <v>3928</v>
      </c>
      <c r="Y848">
        <v>0</v>
      </c>
      <c r="Z848">
        <v>0</v>
      </c>
    </row>
    <row r="849" spans="1:26">
      <c r="A849" s="1">
        <v>847</v>
      </c>
      <c r="B849" t="str">
        <f>HYPERLINK("https://bugs.eclipse.org/bugs/show_bug.cgi?id=31233", "31233")</f>
        <v>31233</v>
      </c>
      <c r="C849" t="s">
        <v>56</v>
      </c>
      <c r="D849" t="s">
        <v>10</v>
      </c>
      <c r="E849" t="s">
        <v>14</v>
      </c>
      <c r="F849" t="s">
        <v>26</v>
      </c>
      <c r="L849" t="s">
        <v>3929</v>
      </c>
      <c r="P849" t="s">
        <v>3930</v>
      </c>
      <c r="T849" t="s">
        <v>3931</v>
      </c>
      <c r="U849" t="s">
        <v>3929</v>
      </c>
      <c r="V849" t="s">
        <v>3930</v>
      </c>
      <c r="W849" t="s">
        <v>80</v>
      </c>
      <c r="X849" t="s">
        <v>3932</v>
      </c>
      <c r="Y849">
        <v>0</v>
      </c>
      <c r="Z849">
        <v>2395.958333333333</v>
      </c>
    </row>
    <row r="850" spans="1:26">
      <c r="A850" s="1">
        <v>848</v>
      </c>
      <c r="B850" t="str">
        <f>HYPERLINK("https://bugs.eclipse.org/bugs/show_bug.cgi?id=31241", "31241")</f>
        <v>31241</v>
      </c>
      <c r="C850" t="s">
        <v>149</v>
      </c>
      <c r="D850" t="s">
        <v>10</v>
      </c>
      <c r="E850" t="s">
        <v>12</v>
      </c>
      <c r="F850" t="s">
        <v>26</v>
      </c>
      <c r="L850" t="s">
        <v>3933</v>
      </c>
      <c r="N850" t="s">
        <v>3933</v>
      </c>
      <c r="S850" t="s">
        <v>3934</v>
      </c>
      <c r="T850" t="s">
        <v>3935</v>
      </c>
      <c r="U850" t="s">
        <v>3936</v>
      </c>
      <c r="V850" t="s">
        <v>3933</v>
      </c>
      <c r="W850" t="s">
        <v>60</v>
      </c>
      <c r="X850" t="s">
        <v>3937</v>
      </c>
      <c r="Y850">
        <v>0</v>
      </c>
      <c r="Z850">
        <v>4</v>
      </c>
    </row>
    <row r="851" spans="1:26">
      <c r="A851" s="1">
        <v>849</v>
      </c>
      <c r="B851" t="str">
        <f>HYPERLINK("https://bugs.eclipse.org/bugs/show_bug.cgi?id=31252", "31252")</f>
        <v>31252</v>
      </c>
      <c r="C851" t="s">
        <v>149</v>
      </c>
      <c r="D851" t="s">
        <v>10</v>
      </c>
      <c r="E851" t="s">
        <v>12</v>
      </c>
      <c r="F851" t="s">
        <v>150</v>
      </c>
      <c r="L851" t="s">
        <v>3938</v>
      </c>
      <c r="N851" t="s">
        <v>3938</v>
      </c>
      <c r="T851" t="s">
        <v>3939</v>
      </c>
      <c r="U851" t="s">
        <v>3940</v>
      </c>
      <c r="V851" t="s">
        <v>3938</v>
      </c>
      <c r="W851" t="s">
        <v>86</v>
      </c>
      <c r="X851" t="s">
        <v>3941</v>
      </c>
      <c r="Y851">
        <v>2</v>
      </c>
      <c r="Z851">
        <v>4</v>
      </c>
    </row>
    <row r="852" spans="1:26">
      <c r="A852" s="1">
        <v>850</v>
      </c>
      <c r="B852" t="str">
        <f>HYPERLINK("https://bugs.eclipse.org/bugs/show_bug.cgi?id=31254", "31254")</f>
        <v>31254</v>
      </c>
      <c r="C852" t="s">
        <v>149</v>
      </c>
      <c r="D852" t="s">
        <v>10</v>
      </c>
      <c r="E852" t="s">
        <v>12</v>
      </c>
      <c r="F852" t="s">
        <v>150</v>
      </c>
      <c r="L852" t="s">
        <v>3942</v>
      </c>
      <c r="N852" t="s">
        <v>3942</v>
      </c>
      <c r="T852" t="s">
        <v>3943</v>
      </c>
      <c r="U852" t="s">
        <v>3944</v>
      </c>
      <c r="V852" t="s">
        <v>3942</v>
      </c>
      <c r="W852" t="s">
        <v>86</v>
      </c>
      <c r="X852" t="s">
        <v>3945</v>
      </c>
      <c r="Y852">
        <v>0</v>
      </c>
      <c r="Z852">
        <v>5</v>
      </c>
    </row>
    <row r="853" spans="1:26">
      <c r="A853" s="1">
        <v>851</v>
      </c>
      <c r="B853" t="str">
        <f>HYPERLINK("https://bugs.eclipse.org/bugs/show_bug.cgi?id=31257", "31257")</f>
        <v>31257</v>
      </c>
      <c r="C853" t="s">
        <v>149</v>
      </c>
      <c r="D853" t="s">
        <v>10</v>
      </c>
      <c r="E853" t="s">
        <v>12</v>
      </c>
      <c r="F853" t="s">
        <v>26</v>
      </c>
      <c r="L853" t="s">
        <v>3946</v>
      </c>
      <c r="N853" t="s">
        <v>3946</v>
      </c>
      <c r="T853" t="s">
        <v>3947</v>
      </c>
      <c r="U853" t="s">
        <v>3948</v>
      </c>
      <c r="V853" t="s">
        <v>3946</v>
      </c>
      <c r="W853" t="s">
        <v>60</v>
      </c>
      <c r="X853" t="s">
        <v>3949</v>
      </c>
      <c r="Y853">
        <v>0</v>
      </c>
      <c r="Z853">
        <v>5</v>
      </c>
    </row>
    <row r="854" spans="1:26">
      <c r="A854" s="1">
        <v>852</v>
      </c>
      <c r="B854" t="str">
        <f>HYPERLINK("https://bugs.eclipse.org/bugs/show_bug.cgi?id=31273", "31273")</f>
        <v>31273</v>
      </c>
      <c r="C854" t="s">
        <v>56</v>
      </c>
      <c r="D854" t="s">
        <v>10</v>
      </c>
      <c r="E854" t="s">
        <v>14</v>
      </c>
      <c r="F854" t="s">
        <v>26</v>
      </c>
      <c r="L854" t="s">
        <v>3950</v>
      </c>
      <c r="P854" t="s">
        <v>3951</v>
      </c>
      <c r="T854" t="s">
        <v>3952</v>
      </c>
      <c r="U854" t="s">
        <v>3953</v>
      </c>
      <c r="V854" t="s">
        <v>3951</v>
      </c>
      <c r="W854" t="s">
        <v>75</v>
      </c>
      <c r="X854" t="s">
        <v>3954</v>
      </c>
      <c r="Y854">
        <v>2</v>
      </c>
      <c r="Z854">
        <v>2395.958333333333</v>
      </c>
    </row>
    <row r="855" spans="1:26">
      <c r="A855" s="1">
        <v>853</v>
      </c>
      <c r="B855" t="str">
        <f>HYPERLINK("https://bugs.eclipse.org/bugs/show_bug.cgi?id=31281", "31281")</f>
        <v>31281</v>
      </c>
      <c r="C855" t="s">
        <v>149</v>
      </c>
      <c r="D855" t="s">
        <v>10</v>
      </c>
      <c r="E855" t="s">
        <v>12</v>
      </c>
      <c r="F855" t="s">
        <v>150</v>
      </c>
      <c r="L855" t="s">
        <v>3955</v>
      </c>
      <c r="N855" t="s">
        <v>3955</v>
      </c>
      <c r="T855" t="s">
        <v>3956</v>
      </c>
      <c r="U855" t="s">
        <v>3957</v>
      </c>
      <c r="V855" t="s">
        <v>3955</v>
      </c>
      <c r="W855" t="s">
        <v>60</v>
      </c>
      <c r="X855" t="s">
        <v>3958</v>
      </c>
      <c r="Y855">
        <v>0</v>
      </c>
      <c r="Z855">
        <v>4</v>
      </c>
    </row>
    <row r="856" spans="1:26">
      <c r="A856" s="1">
        <v>854</v>
      </c>
      <c r="B856" t="str">
        <f>HYPERLINK("https://bugs.eclipse.org/bugs/show_bug.cgi?id=31283", "31283")</f>
        <v>31283</v>
      </c>
      <c r="C856" t="s">
        <v>149</v>
      </c>
      <c r="D856" t="s">
        <v>10</v>
      </c>
      <c r="E856" t="s">
        <v>12</v>
      </c>
      <c r="F856" t="s">
        <v>150</v>
      </c>
      <c r="L856" t="s">
        <v>3959</v>
      </c>
      <c r="N856" t="s">
        <v>3959</v>
      </c>
      <c r="T856" t="s">
        <v>3960</v>
      </c>
      <c r="U856" t="s">
        <v>3961</v>
      </c>
      <c r="V856" t="s">
        <v>3959</v>
      </c>
      <c r="W856" t="s">
        <v>86</v>
      </c>
      <c r="X856" t="s">
        <v>3962</v>
      </c>
      <c r="Y856">
        <v>0</v>
      </c>
      <c r="Z856">
        <v>11</v>
      </c>
    </row>
    <row r="857" spans="1:26">
      <c r="A857" s="1">
        <v>855</v>
      </c>
      <c r="B857" t="str">
        <f>HYPERLINK("https://bugs.eclipse.org/bugs/show_bug.cgi?id=31284", "31284")</f>
        <v>31284</v>
      </c>
      <c r="C857" t="s">
        <v>149</v>
      </c>
      <c r="D857" t="s">
        <v>10</v>
      </c>
      <c r="E857" t="s">
        <v>12</v>
      </c>
      <c r="F857" t="s">
        <v>150</v>
      </c>
      <c r="G857" t="s">
        <v>3963</v>
      </c>
      <c r="L857" t="s">
        <v>3964</v>
      </c>
      <c r="N857" t="s">
        <v>3964</v>
      </c>
      <c r="T857" t="s">
        <v>3965</v>
      </c>
      <c r="U857" t="s">
        <v>3966</v>
      </c>
      <c r="V857" t="s">
        <v>3967</v>
      </c>
      <c r="W857" t="s">
        <v>60</v>
      </c>
      <c r="X857" t="s">
        <v>3968</v>
      </c>
      <c r="Y857">
        <v>0</v>
      </c>
      <c r="Z857">
        <v>5</v>
      </c>
    </row>
    <row r="858" spans="1:26">
      <c r="A858" s="1">
        <v>856</v>
      </c>
      <c r="B858" t="str">
        <f>HYPERLINK("https://bugs.eclipse.org/bugs/show_bug.cgi?id=31304", "31304")</f>
        <v>31304</v>
      </c>
      <c r="C858" t="s">
        <v>140</v>
      </c>
      <c r="D858" t="s">
        <v>10</v>
      </c>
      <c r="E858" t="s">
        <v>16</v>
      </c>
      <c r="F858" t="s">
        <v>26</v>
      </c>
      <c r="L858" t="s">
        <v>3969</v>
      </c>
      <c r="R858" t="s">
        <v>3969</v>
      </c>
      <c r="T858" t="s">
        <v>3970</v>
      </c>
      <c r="U858" t="s">
        <v>3969</v>
      </c>
      <c r="V858" t="s">
        <v>3969</v>
      </c>
      <c r="W858" t="s">
        <v>86</v>
      </c>
      <c r="X858" t="s">
        <v>3971</v>
      </c>
      <c r="Y858">
        <v>7</v>
      </c>
      <c r="Z858">
        <v>7</v>
      </c>
    </row>
    <row r="859" spans="1:26">
      <c r="A859" s="1">
        <v>857</v>
      </c>
      <c r="B859" t="str">
        <f>HYPERLINK("https://bugs.eclipse.org/bugs/show_bug.cgi?id=31307", "31307")</f>
        <v>31307</v>
      </c>
      <c r="C859" t="s">
        <v>149</v>
      </c>
      <c r="D859" t="s">
        <v>10</v>
      </c>
      <c r="E859" t="s">
        <v>12</v>
      </c>
      <c r="F859" t="s">
        <v>150</v>
      </c>
      <c r="L859" t="s">
        <v>3972</v>
      </c>
      <c r="N859" t="s">
        <v>3972</v>
      </c>
      <c r="T859" t="s">
        <v>3973</v>
      </c>
      <c r="U859" t="s">
        <v>3974</v>
      </c>
      <c r="V859" t="s">
        <v>3972</v>
      </c>
      <c r="W859" t="s">
        <v>86</v>
      </c>
      <c r="X859" t="s">
        <v>3975</v>
      </c>
      <c r="Y859">
        <v>0</v>
      </c>
      <c r="Z859">
        <v>3</v>
      </c>
    </row>
    <row r="860" spans="1:26">
      <c r="A860" s="1">
        <v>858</v>
      </c>
      <c r="B860" t="str">
        <f>HYPERLINK("https://bugs.eclipse.org/bugs/show_bug.cgi?id=31325", "31325")</f>
        <v>31325</v>
      </c>
      <c r="C860" t="s">
        <v>3976</v>
      </c>
      <c r="D860" t="s">
        <v>10</v>
      </c>
      <c r="E860" t="s">
        <v>15</v>
      </c>
      <c r="F860" t="s">
        <v>26</v>
      </c>
      <c r="L860" t="s">
        <v>3977</v>
      </c>
      <c r="Q860" t="s">
        <v>3977</v>
      </c>
      <c r="T860" t="s">
        <v>3978</v>
      </c>
      <c r="U860" t="s">
        <v>3977</v>
      </c>
      <c r="V860" t="s">
        <v>3977</v>
      </c>
      <c r="W860" t="s">
        <v>86</v>
      </c>
      <c r="X860" t="s">
        <v>3979</v>
      </c>
      <c r="Y860">
        <v>0</v>
      </c>
      <c r="Z860">
        <v>0</v>
      </c>
    </row>
    <row r="861" spans="1:26">
      <c r="A861" s="1">
        <v>859</v>
      </c>
      <c r="B861" t="str">
        <f>HYPERLINK("https://bugs.eclipse.org/bugs/show_bug.cgi?id=31326", "31326")</f>
        <v>31326</v>
      </c>
      <c r="C861" t="s">
        <v>149</v>
      </c>
      <c r="D861" t="s">
        <v>10</v>
      </c>
      <c r="E861" t="s">
        <v>12</v>
      </c>
      <c r="F861" t="s">
        <v>26</v>
      </c>
      <c r="L861" t="s">
        <v>3980</v>
      </c>
      <c r="N861" t="s">
        <v>3980</v>
      </c>
      <c r="T861" t="s">
        <v>3981</v>
      </c>
      <c r="U861" t="s">
        <v>3982</v>
      </c>
      <c r="V861" t="s">
        <v>3980</v>
      </c>
      <c r="W861" t="s">
        <v>49</v>
      </c>
      <c r="X861" t="s">
        <v>3983</v>
      </c>
      <c r="Y861">
        <v>2</v>
      </c>
      <c r="Z861">
        <v>10</v>
      </c>
    </row>
    <row r="862" spans="1:26">
      <c r="A862" s="1">
        <v>860</v>
      </c>
      <c r="B862" t="str">
        <f>HYPERLINK("https://bugs.eclipse.org/bugs/show_bug.cgi?id=31351", "31351")</f>
        <v>31351</v>
      </c>
      <c r="C862" t="s">
        <v>149</v>
      </c>
      <c r="D862" t="s">
        <v>10</v>
      </c>
      <c r="E862" t="s">
        <v>12</v>
      </c>
      <c r="F862" t="s">
        <v>150</v>
      </c>
      <c r="L862" t="s">
        <v>3984</v>
      </c>
      <c r="N862" t="s">
        <v>3984</v>
      </c>
      <c r="T862" t="s">
        <v>3985</v>
      </c>
      <c r="U862" t="s">
        <v>3986</v>
      </c>
      <c r="V862" t="s">
        <v>3984</v>
      </c>
      <c r="W862" t="s">
        <v>49</v>
      </c>
      <c r="X862" t="s">
        <v>3987</v>
      </c>
      <c r="Y862">
        <v>0</v>
      </c>
      <c r="Z862">
        <v>3</v>
      </c>
    </row>
    <row r="863" spans="1:26">
      <c r="A863" s="1">
        <v>861</v>
      </c>
      <c r="B863" t="str">
        <f>HYPERLINK("https://bugs.eclipse.org/bugs/show_bug.cgi?id=31353", "31353")</f>
        <v>31353</v>
      </c>
      <c r="C863" t="s">
        <v>149</v>
      </c>
      <c r="D863" t="s">
        <v>10</v>
      </c>
      <c r="E863" t="s">
        <v>12</v>
      </c>
      <c r="F863" t="s">
        <v>26</v>
      </c>
      <c r="L863" t="s">
        <v>3988</v>
      </c>
      <c r="N863" t="s">
        <v>3988</v>
      </c>
      <c r="T863" t="s">
        <v>3989</v>
      </c>
      <c r="U863" t="s">
        <v>3990</v>
      </c>
      <c r="V863" t="s">
        <v>3988</v>
      </c>
      <c r="W863" t="s">
        <v>2668</v>
      </c>
      <c r="X863" t="s">
        <v>3991</v>
      </c>
      <c r="Y863">
        <v>2</v>
      </c>
      <c r="Z863">
        <v>626.95833333333337</v>
      </c>
    </row>
    <row r="864" spans="1:26">
      <c r="A864" s="1">
        <v>862</v>
      </c>
      <c r="B864" t="str">
        <f>HYPERLINK("https://bugs.eclipse.org/bugs/show_bug.cgi?id=31445", "31445")</f>
        <v>31445</v>
      </c>
      <c r="C864" t="s">
        <v>35</v>
      </c>
      <c r="D864" t="s">
        <v>11</v>
      </c>
      <c r="E864" t="s">
        <v>12</v>
      </c>
      <c r="F864" t="s">
        <v>150</v>
      </c>
      <c r="H864" t="s">
        <v>3992</v>
      </c>
      <c r="L864" t="s">
        <v>3993</v>
      </c>
      <c r="M864" t="s">
        <v>3994</v>
      </c>
      <c r="N864" t="s">
        <v>3993</v>
      </c>
      <c r="T864" t="s">
        <v>3995</v>
      </c>
      <c r="U864" t="s">
        <v>3996</v>
      </c>
      <c r="V864" t="s">
        <v>3994</v>
      </c>
      <c r="W864" t="s">
        <v>143</v>
      </c>
      <c r="X864" t="s">
        <v>3997</v>
      </c>
      <c r="Y864">
        <v>0</v>
      </c>
      <c r="Z864">
        <v>16</v>
      </c>
    </row>
    <row r="865" spans="1:26">
      <c r="A865" s="1">
        <v>863</v>
      </c>
      <c r="B865" t="str">
        <f>HYPERLINK("https://bugs.eclipse.org/bugs/show_bug.cgi?id=31482", "31482")</f>
        <v>31482</v>
      </c>
      <c r="C865" t="s">
        <v>149</v>
      </c>
      <c r="D865" t="s">
        <v>10</v>
      </c>
      <c r="E865" t="s">
        <v>12</v>
      </c>
      <c r="F865" t="s">
        <v>26</v>
      </c>
      <c r="L865" t="s">
        <v>3998</v>
      </c>
      <c r="N865" t="s">
        <v>3998</v>
      </c>
      <c r="T865" t="s">
        <v>3999</v>
      </c>
      <c r="U865" t="s">
        <v>4000</v>
      </c>
      <c r="V865" t="s">
        <v>3998</v>
      </c>
      <c r="W865" t="s">
        <v>86</v>
      </c>
      <c r="X865" t="s">
        <v>4001</v>
      </c>
      <c r="Y865">
        <v>0</v>
      </c>
      <c r="Z865">
        <v>410</v>
      </c>
    </row>
    <row r="866" spans="1:26">
      <c r="A866" s="1">
        <v>864</v>
      </c>
      <c r="B866" t="str">
        <f>HYPERLINK("https://bugs.eclipse.org/bugs/show_bug.cgi?id=31521", "31521")</f>
        <v>31521</v>
      </c>
      <c r="C866" t="s">
        <v>4002</v>
      </c>
      <c r="D866" t="s">
        <v>192</v>
      </c>
      <c r="E866" t="s">
        <v>15</v>
      </c>
      <c r="F866" t="s">
        <v>150</v>
      </c>
      <c r="L866" t="s">
        <v>3917</v>
      </c>
      <c r="Q866" t="s">
        <v>3917</v>
      </c>
      <c r="T866" t="s">
        <v>4003</v>
      </c>
      <c r="U866" t="s">
        <v>4004</v>
      </c>
      <c r="V866" t="s">
        <v>4005</v>
      </c>
      <c r="W866" t="s">
        <v>4006</v>
      </c>
      <c r="X866" t="s">
        <v>4007</v>
      </c>
      <c r="Y866">
        <v>0</v>
      </c>
      <c r="Z866">
        <v>1244.958333333333</v>
      </c>
    </row>
    <row r="867" spans="1:26">
      <c r="A867" s="1">
        <v>865</v>
      </c>
      <c r="B867" t="str">
        <f>HYPERLINK("https://bugs.eclipse.org/bugs/show_bug.cgi?id=31533", "31533")</f>
        <v>31533</v>
      </c>
      <c r="C867" t="s">
        <v>140</v>
      </c>
      <c r="D867" t="s">
        <v>10</v>
      </c>
      <c r="E867" t="s">
        <v>16</v>
      </c>
      <c r="F867" t="s">
        <v>26</v>
      </c>
      <c r="L867" t="s">
        <v>4008</v>
      </c>
      <c r="R867" t="s">
        <v>4008</v>
      </c>
      <c r="T867" t="s">
        <v>4009</v>
      </c>
      <c r="U867" t="s">
        <v>4008</v>
      </c>
      <c r="V867" t="s">
        <v>4008</v>
      </c>
      <c r="W867" t="s">
        <v>86</v>
      </c>
      <c r="X867" t="s">
        <v>4010</v>
      </c>
      <c r="Y867">
        <v>0</v>
      </c>
      <c r="Z867">
        <v>0</v>
      </c>
    </row>
    <row r="868" spans="1:26">
      <c r="A868" s="1">
        <v>866</v>
      </c>
      <c r="B868" t="str">
        <f>HYPERLINK("https://bugs.eclipse.org/bugs/show_bug.cgi?id=31554", "31554")</f>
        <v>31554</v>
      </c>
      <c r="C868" t="s">
        <v>149</v>
      </c>
      <c r="D868" t="s">
        <v>10</v>
      </c>
      <c r="E868" t="s">
        <v>12</v>
      </c>
      <c r="F868" t="s">
        <v>150</v>
      </c>
      <c r="L868" t="s">
        <v>4011</v>
      </c>
      <c r="N868" t="s">
        <v>4011</v>
      </c>
      <c r="T868" t="s">
        <v>4012</v>
      </c>
      <c r="U868" t="s">
        <v>4013</v>
      </c>
      <c r="V868" t="s">
        <v>4011</v>
      </c>
      <c r="W868" t="s">
        <v>49</v>
      </c>
      <c r="X868" t="s">
        <v>4014</v>
      </c>
      <c r="Y868">
        <v>0</v>
      </c>
      <c r="Z868">
        <v>6</v>
      </c>
    </row>
    <row r="869" spans="1:26">
      <c r="A869" s="1">
        <v>867</v>
      </c>
      <c r="B869" t="str">
        <f>HYPERLINK("https://bugs.eclipse.org/bugs/show_bug.cgi?id=31582", "31582")</f>
        <v>31582</v>
      </c>
      <c r="C869" t="s">
        <v>56</v>
      </c>
      <c r="D869" t="s">
        <v>10</v>
      </c>
      <c r="E869" t="s">
        <v>14</v>
      </c>
      <c r="F869" t="s">
        <v>51</v>
      </c>
      <c r="L869" t="s">
        <v>4015</v>
      </c>
      <c r="P869" t="s">
        <v>4016</v>
      </c>
      <c r="T869" t="s">
        <v>4017</v>
      </c>
      <c r="U869" t="s">
        <v>4015</v>
      </c>
      <c r="V869" t="s">
        <v>4016</v>
      </c>
      <c r="W869" t="s">
        <v>80</v>
      </c>
      <c r="X869" t="s">
        <v>4018</v>
      </c>
      <c r="Y869">
        <v>0</v>
      </c>
      <c r="Z869">
        <v>2391.958333333333</v>
      </c>
    </row>
    <row r="870" spans="1:26">
      <c r="A870" s="1">
        <v>868</v>
      </c>
      <c r="B870" t="str">
        <f>HYPERLINK("https://bugs.eclipse.org/bugs/show_bug.cgi?id=31601", "31601")</f>
        <v>31601</v>
      </c>
      <c r="C870" t="s">
        <v>149</v>
      </c>
      <c r="D870" t="s">
        <v>10</v>
      </c>
      <c r="E870" t="s">
        <v>12</v>
      </c>
      <c r="F870" t="s">
        <v>150</v>
      </c>
      <c r="L870" t="s">
        <v>4019</v>
      </c>
      <c r="N870" t="s">
        <v>4019</v>
      </c>
      <c r="T870" t="s">
        <v>4020</v>
      </c>
      <c r="U870" t="s">
        <v>4021</v>
      </c>
      <c r="V870" t="s">
        <v>4019</v>
      </c>
      <c r="W870" t="s">
        <v>60</v>
      </c>
      <c r="X870" t="s">
        <v>4022</v>
      </c>
      <c r="Y870">
        <v>0</v>
      </c>
      <c r="Z870">
        <v>1</v>
      </c>
    </row>
    <row r="871" spans="1:26">
      <c r="A871" s="1">
        <v>869</v>
      </c>
      <c r="B871" t="str">
        <f>HYPERLINK("https://bugs.eclipse.org/bugs/show_bug.cgi?id=31634", "31634")</f>
        <v>31634</v>
      </c>
      <c r="C871" t="s">
        <v>149</v>
      </c>
      <c r="D871" t="s">
        <v>10</v>
      </c>
      <c r="E871" t="s">
        <v>12</v>
      </c>
      <c r="F871" t="s">
        <v>26</v>
      </c>
      <c r="L871" t="s">
        <v>4023</v>
      </c>
      <c r="N871" t="s">
        <v>4023</v>
      </c>
      <c r="T871" t="s">
        <v>4024</v>
      </c>
      <c r="U871" t="s">
        <v>4025</v>
      </c>
      <c r="V871" t="s">
        <v>4023</v>
      </c>
      <c r="W871" t="s">
        <v>49</v>
      </c>
      <c r="X871" t="s">
        <v>4026</v>
      </c>
      <c r="Y871">
        <v>0</v>
      </c>
      <c r="Z871">
        <v>5</v>
      </c>
    </row>
    <row r="872" spans="1:26">
      <c r="A872" s="1">
        <v>870</v>
      </c>
      <c r="B872" t="str">
        <f>HYPERLINK("https://bugs.eclipse.org/bugs/show_bug.cgi?id=31641", "31641")</f>
        <v>31641</v>
      </c>
      <c r="C872" t="s">
        <v>4027</v>
      </c>
      <c r="D872" t="s">
        <v>10</v>
      </c>
      <c r="E872" t="s">
        <v>15</v>
      </c>
      <c r="F872" t="s">
        <v>26</v>
      </c>
      <c r="L872" t="s">
        <v>3967</v>
      </c>
      <c r="Q872" t="s">
        <v>3967</v>
      </c>
      <c r="T872" t="s">
        <v>4028</v>
      </c>
      <c r="U872" t="s">
        <v>4029</v>
      </c>
      <c r="V872" t="s">
        <v>3967</v>
      </c>
      <c r="W872" t="s">
        <v>60</v>
      </c>
      <c r="X872" t="s">
        <v>4030</v>
      </c>
      <c r="Y872">
        <v>0</v>
      </c>
      <c r="Z872">
        <v>0</v>
      </c>
    </row>
    <row r="873" spans="1:26">
      <c r="A873" s="1">
        <v>871</v>
      </c>
      <c r="B873" t="str">
        <f>HYPERLINK("https://bugs.eclipse.org/bugs/show_bug.cgi?id=31642", "31642")</f>
        <v>31642</v>
      </c>
      <c r="C873" t="s">
        <v>140</v>
      </c>
      <c r="D873" t="s">
        <v>10</v>
      </c>
      <c r="E873" t="s">
        <v>16</v>
      </c>
      <c r="F873" t="s">
        <v>26</v>
      </c>
      <c r="L873" t="s">
        <v>4031</v>
      </c>
      <c r="R873" t="s">
        <v>4031</v>
      </c>
      <c r="T873" t="s">
        <v>4032</v>
      </c>
      <c r="U873" t="s">
        <v>4033</v>
      </c>
      <c r="V873" t="s">
        <v>4031</v>
      </c>
      <c r="W873" t="s">
        <v>86</v>
      </c>
      <c r="X873" t="s">
        <v>4034</v>
      </c>
      <c r="Y873">
        <v>0</v>
      </c>
      <c r="Z873">
        <v>0</v>
      </c>
    </row>
    <row r="874" spans="1:26">
      <c r="A874" s="1">
        <v>872</v>
      </c>
      <c r="B874" t="str">
        <f>HYPERLINK("https://bugs.eclipse.org/bugs/show_bug.cgi?id=31645", "31645")</f>
        <v>31645</v>
      </c>
      <c r="C874" t="s">
        <v>149</v>
      </c>
      <c r="D874" t="s">
        <v>10</v>
      </c>
      <c r="E874" t="s">
        <v>12</v>
      </c>
      <c r="F874" t="s">
        <v>150</v>
      </c>
      <c r="L874" t="s">
        <v>4035</v>
      </c>
      <c r="N874" t="s">
        <v>4035</v>
      </c>
      <c r="R874" t="s">
        <v>4036</v>
      </c>
      <c r="S874" t="s">
        <v>4037</v>
      </c>
      <c r="T874" t="s">
        <v>4038</v>
      </c>
      <c r="U874" t="s">
        <v>4039</v>
      </c>
      <c r="V874" t="s">
        <v>4035</v>
      </c>
      <c r="W874" t="s">
        <v>60</v>
      </c>
      <c r="X874" t="s">
        <v>4040</v>
      </c>
      <c r="Y874">
        <v>0</v>
      </c>
      <c r="Z874">
        <v>19</v>
      </c>
    </row>
    <row r="875" spans="1:26">
      <c r="A875" s="1">
        <v>873</v>
      </c>
      <c r="B875" t="str">
        <f>HYPERLINK("https://bugs.eclipse.org/bugs/show_bug.cgi?id=31778", "31778")</f>
        <v>31778</v>
      </c>
      <c r="C875" t="s">
        <v>56</v>
      </c>
      <c r="D875" t="s">
        <v>10</v>
      </c>
      <c r="E875" t="s">
        <v>14</v>
      </c>
      <c r="F875" t="s">
        <v>26</v>
      </c>
      <c r="G875" t="s">
        <v>4041</v>
      </c>
      <c r="L875" t="s">
        <v>4042</v>
      </c>
      <c r="P875" t="s">
        <v>4043</v>
      </c>
      <c r="T875" t="s">
        <v>4044</v>
      </c>
      <c r="U875" t="s">
        <v>4045</v>
      </c>
      <c r="V875" t="s">
        <v>4043</v>
      </c>
      <c r="W875" t="s">
        <v>80</v>
      </c>
      <c r="X875" t="s">
        <v>4046</v>
      </c>
      <c r="Y875">
        <v>0</v>
      </c>
      <c r="Z875">
        <v>2389.958333333333</v>
      </c>
    </row>
    <row r="876" spans="1:26">
      <c r="A876" s="1">
        <v>874</v>
      </c>
      <c r="B876" t="str">
        <f>HYPERLINK("https://bugs.eclipse.org/bugs/show_bug.cgi?id=31801", "31801")</f>
        <v>31801</v>
      </c>
      <c r="C876" t="s">
        <v>56</v>
      </c>
      <c r="D876" t="s">
        <v>10</v>
      </c>
      <c r="E876" t="s">
        <v>14</v>
      </c>
      <c r="F876" t="s">
        <v>26</v>
      </c>
      <c r="L876" t="s">
        <v>4047</v>
      </c>
      <c r="P876" t="s">
        <v>4048</v>
      </c>
      <c r="T876" t="s">
        <v>4049</v>
      </c>
      <c r="U876" t="s">
        <v>4047</v>
      </c>
      <c r="V876" t="s">
        <v>4048</v>
      </c>
      <c r="W876" t="s">
        <v>80</v>
      </c>
      <c r="X876" t="s">
        <v>4050</v>
      </c>
      <c r="Y876">
        <v>6</v>
      </c>
      <c r="Z876">
        <v>2389.958333333333</v>
      </c>
    </row>
    <row r="877" spans="1:26">
      <c r="A877" s="1">
        <v>875</v>
      </c>
      <c r="B877" t="str">
        <f>HYPERLINK("https://bugs.eclipse.org/bugs/show_bug.cgi?id=31851", "31851")</f>
        <v>31851</v>
      </c>
      <c r="C877" t="s">
        <v>56</v>
      </c>
      <c r="D877" t="s">
        <v>10</v>
      </c>
      <c r="E877" t="s">
        <v>14</v>
      </c>
      <c r="F877" t="s">
        <v>51</v>
      </c>
      <c r="L877" t="s">
        <v>4051</v>
      </c>
      <c r="P877" t="s">
        <v>4052</v>
      </c>
      <c r="T877" t="s">
        <v>4053</v>
      </c>
      <c r="U877" t="s">
        <v>4051</v>
      </c>
      <c r="V877" t="s">
        <v>4052</v>
      </c>
      <c r="W877" t="s">
        <v>80</v>
      </c>
      <c r="X877" t="s">
        <v>4054</v>
      </c>
      <c r="Y877">
        <v>1</v>
      </c>
      <c r="Z877">
        <v>2389.958333333333</v>
      </c>
    </row>
    <row r="878" spans="1:26">
      <c r="A878" s="1">
        <v>876</v>
      </c>
      <c r="B878" t="str">
        <f>HYPERLINK("https://bugs.eclipse.org/bugs/show_bug.cgi?id=31861", "31861")</f>
        <v>31861</v>
      </c>
      <c r="C878" t="s">
        <v>149</v>
      </c>
      <c r="D878" t="s">
        <v>10</v>
      </c>
      <c r="E878" t="s">
        <v>12</v>
      </c>
      <c r="F878" t="s">
        <v>26</v>
      </c>
      <c r="L878" t="s">
        <v>4055</v>
      </c>
      <c r="N878" t="s">
        <v>4055</v>
      </c>
      <c r="T878" t="s">
        <v>4056</v>
      </c>
      <c r="U878" t="s">
        <v>4057</v>
      </c>
      <c r="V878" t="s">
        <v>4055</v>
      </c>
      <c r="W878" t="s">
        <v>60</v>
      </c>
      <c r="X878" t="s">
        <v>4058</v>
      </c>
      <c r="Y878">
        <v>0</v>
      </c>
      <c r="Z878">
        <v>0</v>
      </c>
    </row>
    <row r="879" spans="1:26">
      <c r="A879" s="1">
        <v>877</v>
      </c>
      <c r="B879" t="str">
        <f>HYPERLINK("https://bugs.eclipse.org/bugs/show_bug.cgi?id=31862", "31862")</f>
        <v>31862</v>
      </c>
      <c r="C879" t="s">
        <v>4059</v>
      </c>
      <c r="D879" t="s">
        <v>10</v>
      </c>
      <c r="E879" t="s">
        <v>15</v>
      </c>
      <c r="F879" t="s">
        <v>26</v>
      </c>
      <c r="L879" t="s">
        <v>4060</v>
      </c>
      <c r="Q879" t="s">
        <v>4060</v>
      </c>
      <c r="T879" t="s">
        <v>4061</v>
      </c>
      <c r="U879" t="s">
        <v>4062</v>
      </c>
      <c r="V879" t="s">
        <v>4060</v>
      </c>
      <c r="W879" t="s">
        <v>49</v>
      </c>
      <c r="X879" t="s">
        <v>4063</v>
      </c>
      <c r="Y879">
        <v>0</v>
      </c>
      <c r="Z879">
        <v>1754</v>
      </c>
    </row>
    <row r="880" spans="1:26">
      <c r="A880" s="1">
        <v>878</v>
      </c>
      <c r="B880" t="str">
        <f>HYPERLINK("https://bugs.eclipse.org/bugs/show_bug.cgi?id=31932", "31932")</f>
        <v>31932</v>
      </c>
      <c r="C880" t="s">
        <v>56</v>
      </c>
      <c r="D880" t="s">
        <v>10</v>
      </c>
      <c r="E880" t="s">
        <v>14</v>
      </c>
      <c r="F880" t="s">
        <v>26</v>
      </c>
      <c r="L880" t="s">
        <v>4064</v>
      </c>
      <c r="P880" t="s">
        <v>4065</v>
      </c>
      <c r="T880" t="s">
        <v>4066</v>
      </c>
      <c r="U880" t="s">
        <v>4064</v>
      </c>
      <c r="V880" t="s">
        <v>4065</v>
      </c>
      <c r="W880" t="s">
        <v>75</v>
      </c>
      <c r="X880" t="s">
        <v>4067</v>
      </c>
      <c r="Y880">
        <v>1</v>
      </c>
      <c r="Z880">
        <v>2388.958333333333</v>
      </c>
    </row>
    <row r="881" spans="1:26">
      <c r="A881" s="1">
        <v>879</v>
      </c>
      <c r="B881" t="str">
        <f>HYPERLINK("https://bugs.eclipse.org/bugs/show_bug.cgi?id=31933", "31933")</f>
        <v>31933</v>
      </c>
      <c r="C881" t="s">
        <v>4068</v>
      </c>
      <c r="D881" t="s">
        <v>10</v>
      </c>
      <c r="E881" t="s">
        <v>15</v>
      </c>
      <c r="F881" t="s">
        <v>26</v>
      </c>
      <c r="L881" t="s">
        <v>4069</v>
      </c>
      <c r="Q881" t="s">
        <v>4069</v>
      </c>
      <c r="T881" t="s">
        <v>4070</v>
      </c>
      <c r="U881" t="s">
        <v>4069</v>
      </c>
      <c r="V881" t="s">
        <v>4069</v>
      </c>
      <c r="W881" t="s">
        <v>86</v>
      </c>
      <c r="X881" t="s">
        <v>4071</v>
      </c>
      <c r="Y881">
        <v>1</v>
      </c>
      <c r="Z881">
        <v>1</v>
      </c>
    </row>
    <row r="882" spans="1:26">
      <c r="A882" s="1">
        <v>880</v>
      </c>
      <c r="B882" t="str">
        <f>HYPERLINK("https://bugs.eclipse.org/bugs/show_bug.cgi?id=31957", "31957")</f>
        <v>31957</v>
      </c>
      <c r="C882" t="s">
        <v>149</v>
      </c>
      <c r="D882" t="s">
        <v>10</v>
      </c>
      <c r="E882" t="s">
        <v>12</v>
      </c>
      <c r="F882" t="s">
        <v>26</v>
      </c>
      <c r="L882" t="s">
        <v>4072</v>
      </c>
      <c r="N882" t="s">
        <v>4072</v>
      </c>
      <c r="T882" t="s">
        <v>4073</v>
      </c>
      <c r="U882" t="s">
        <v>4074</v>
      </c>
      <c r="V882" t="s">
        <v>4072</v>
      </c>
      <c r="W882" t="s">
        <v>86</v>
      </c>
      <c r="X882" t="s">
        <v>4075</v>
      </c>
      <c r="Y882">
        <v>2</v>
      </c>
      <c r="Z882">
        <v>3</v>
      </c>
    </row>
    <row r="883" spans="1:26">
      <c r="A883" s="1">
        <v>881</v>
      </c>
      <c r="B883" t="str">
        <f>HYPERLINK("https://bugs.eclipse.org/bugs/show_bug.cgi?id=31992", "31992")</f>
        <v>31992</v>
      </c>
      <c r="C883" t="s">
        <v>140</v>
      </c>
      <c r="D883" t="s">
        <v>10</v>
      </c>
      <c r="E883" t="s">
        <v>16</v>
      </c>
      <c r="F883" t="s">
        <v>26</v>
      </c>
      <c r="L883" t="s">
        <v>4076</v>
      </c>
      <c r="R883" t="s">
        <v>4076</v>
      </c>
      <c r="T883" t="s">
        <v>4077</v>
      </c>
      <c r="U883" t="s">
        <v>4078</v>
      </c>
      <c r="V883" t="s">
        <v>4076</v>
      </c>
      <c r="W883" t="s">
        <v>60</v>
      </c>
      <c r="X883" t="s">
        <v>4079</v>
      </c>
      <c r="Y883">
        <v>0</v>
      </c>
      <c r="Z883">
        <v>17</v>
      </c>
    </row>
    <row r="884" spans="1:26">
      <c r="A884" s="1">
        <v>882</v>
      </c>
      <c r="B884" t="str">
        <f>HYPERLINK("https://bugs.eclipse.org/bugs/show_bug.cgi?id=32017", "32017")</f>
        <v>32017</v>
      </c>
      <c r="C884" t="s">
        <v>149</v>
      </c>
      <c r="D884" t="s">
        <v>10</v>
      </c>
      <c r="E884" t="s">
        <v>12</v>
      </c>
      <c r="F884" t="s">
        <v>150</v>
      </c>
      <c r="L884" t="s">
        <v>4080</v>
      </c>
      <c r="N884" t="s">
        <v>4080</v>
      </c>
      <c r="T884" t="s">
        <v>4081</v>
      </c>
      <c r="U884" t="s">
        <v>4082</v>
      </c>
      <c r="V884" t="s">
        <v>4080</v>
      </c>
      <c r="W884" t="s">
        <v>86</v>
      </c>
      <c r="X884" t="s">
        <v>4083</v>
      </c>
      <c r="Y884">
        <v>0</v>
      </c>
      <c r="Z884">
        <v>2</v>
      </c>
    </row>
    <row r="885" spans="1:26">
      <c r="A885" s="1">
        <v>883</v>
      </c>
      <c r="B885" t="str">
        <f>HYPERLINK("https://bugs.eclipse.org/bugs/show_bug.cgi?id=32036", "32036")</f>
        <v>32036</v>
      </c>
      <c r="C885" t="s">
        <v>56</v>
      </c>
      <c r="D885" t="s">
        <v>10</v>
      </c>
      <c r="E885" t="s">
        <v>14</v>
      </c>
      <c r="F885" t="s">
        <v>26</v>
      </c>
      <c r="L885" t="s">
        <v>4084</v>
      </c>
      <c r="P885" t="s">
        <v>3044</v>
      </c>
      <c r="S885" t="s">
        <v>4085</v>
      </c>
      <c r="T885" t="s">
        <v>4086</v>
      </c>
      <c r="U885" t="s">
        <v>4087</v>
      </c>
      <c r="V885" t="s">
        <v>3044</v>
      </c>
      <c r="W885" t="s">
        <v>75</v>
      </c>
      <c r="X885" t="s">
        <v>4088</v>
      </c>
      <c r="Y885">
        <v>0</v>
      </c>
      <c r="Z885">
        <v>2385.958333333333</v>
      </c>
    </row>
    <row r="886" spans="1:26">
      <c r="A886" s="1">
        <v>884</v>
      </c>
      <c r="B886" t="str">
        <f>HYPERLINK("https://bugs.eclipse.org/bugs/show_bug.cgi?id=32037", "32037")</f>
        <v>32037</v>
      </c>
      <c r="C886" t="s">
        <v>140</v>
      </c>
      <c r="D886" t="s">
        <v>10</v>
      </c>
      <c r="E886" t="s">
        <v>16</v>
      </c>
      <c r="F886" t="s">
        <v>150</v>
      </c>
      <c r="L886" t="s">
        <v>4089</v>
      </c>
      <c r="R886" t="s">
        <v>4089</v>
      </c>
      <c r="T886" t="s">
        <v>4086</v>
      </c>
      <c r="U886" t="s">
        <v>4090</v>
      </c>
      <c r="V886" t="s">
        <v>4089</v>
      </c>
      <c r="W886" t="s">
        <v>60</v>
      </c>
      <c r="X886" t="s">
        <v>4091</v>
      </c>
      <c r="Y886">
        <v>0</v>
      </c>
      <c r="Z886">
        <v>2</v>
      </c>
    </row>
    <row r="887" spans="1:26">
      <c r="A887" s="1">
        <v>885</v>
      </c>
      <c r="B887" t="str">
        <f>HYPERLINK("https://bugs.eclipse.org/bugs/show_bug.cgi?id=32113", "32113")</f>
        <v>32113</v>
      </c>
      <c r="C887" t="s">
        <v>140</v>
      </c>
      <c r="D887" t="s">
        <v>10</v>
      </c>
      <c r="E887" t="s">
        <v>16</v>
      </c>
      <c r="F887" t="s">
        <v>26</v>
      </c>
      <c r="L887" t="s">
        <v>4092</v>
      </c>
      <c r="R887" t="s">
        <v>4092</v>
      </c>
      <c r="T887" t="s">
        <v>4093</v>
      </c>
      <c r="U887" t="s">
        <v>4094</v>
      </c>
      <c r="V887" t="s">
        <v>4092</v>
      </c>
      <c r="W887" t="s">
        <v>60</v>
      </c>
      <c r="X887" t="s">
        <v>4095</v>
      </c>
      <c r="Y887">
        <v>0</v>
      </c>
      <c r="Z887">
        <v>2</v>
      </c>
    </row>
    <row r="888" spans="1:26">
      <c r="A888" s="1">
        <v>886</v>
      </c>
      <c r="B888" t="str">
        <f>HYPERLINK("https://bugs.eclipse.org/bugs/show_bug.cgi?id=32115", "32115")</f>
        <v>32115</v>
      </c>
      <c r="C888" t="s">
        <v>56</v>
      </c>
      <c r="D888" t="s">
        <v>10</v>
      </c>
      <c r="E888" t="s">
        <v>14</v>
      </c>
      <c r="F888" t="s">
        <v>26</v>
      </c>
      <c r="L888" t="s">
        <v>4096</v>
      </c>
      <c r="P888" t="s">
        <v>4097</v>
      </c>
      <c r="T888" t="s">
        <v>4098</v>
      </c>
      <c r="U888" t="s">
        <v>4096</v>
      </c>
      <c r="V888" t="s">
        <v>4097</v>
      </c>
      <c r="W888" t="s">
        <v>75</v>
      </c>
      <c r="X888" t="s">
        <v>4099</v>
      </c>
      <c r="Y888">
        <v>0</v>
      </c>
      <c r="Z888">
        <v>2384.958333333333</v>
      </c>
    </row>
    <row r="889" spans="1:26">
      <c r="A889" s="1">
        <v>887</v>
      </c>
      <c r="B889" t="str">
        <f>HYPERLINK("https://bugs.eclipse.org/bugs/show_bug.cgi?id=32134", "32134")</f>
        <v>32134</v>
      </c>
      <c r="C889" t="s">
        <v>149</v>
      </c>
      <c r="D889" t="s">
        <v>10</v>
      </c>
      <c r="E889" t="s">
        <v>12</v>
      </c>
      <c r="F889" t="s">
        <v>26</v>
      </c>
      <c r="L889" t="s">
        <v>4100</v>
      </c>
      <c r="N889" t="s">
        <v>4100</v>
      </c>
      <c r="S889" t="s">
        <v>4101</v>
      </c>
      <c r="T889" t="s">
        <v>4102</v>
      </c>
      <c r="U889" t="s">
        <v>4103</v>
      </c>
      <c r="V889" t="s">
        <v>4100</v>
      </c>
      <c r="W889" t="s">
        <v>60</v>
      </c>
      <c r="X889" t="s">
        <v>4104</v>
      </c>
      <c r="Y889">
        <v>0</v>
      </c>
      <c r="Z889">
        <v>0</v>
      </c>
    </row>
    <row r="890" spans="1:26">
      <c r="A890" s="1">
        <v>888</v>
      </c>
      <c r="B890" t="str">
        <f>HYPERLINK("https://bugs.eclipse.org/bugs/show_bug.cgi?id=32210", "32210")</f>
        <v>32210</v>
      </c>
      <c r="C890" t="s">
        <v>56</v>
      </c>
      <c r="D890" t="s">
        <v>10</v>
      </c>
      <c r="E890" t="s">
        <v>14</v>
      </c>
      <c r="F890" t="s">
        <v>26</v>
      </c>
      <c r="L890" t="s">
        <v>4105</v>
      </c>
      <c r="P890" t="s">
        <v>4052</v>
      </c>
      <c r="T890" t="s">
        <v>4106</v>
      </c>
      <c r="U890" t="s">
        <v>4107</v>
      </c>
      <c r="V890" t="s">
        <v>4052</v>
      </c>
      <c r="W890" t="s">
        <v>80</v>
      </c>
      <c r="X890" t="s">
        <v>4108</v>
      </c>
      <c r="Y890">
        <v>0</v>
      </c>
      <c r="Z890">
        <v>2383.958333333333</v>
      </c>
    </row>
    <row r="891" spans="1:26">
      <c r="A891" s="1">
        <v>889</v>
      </c>
      <c r="B891" t="str">
        <f>HYPERLINK("https://bugs.eclipse.org/bugs/show_bug.cgi?id=32324", "32324")</f>
        <v>32324</v>
      </c>
      <c r="C891" t="s">
        <v>56</v>
      </c>
      <c r="D891" t="s">
        <v>10</v>
      </c>
      <c r="E891" t="s">
        <v>14</v>
      </c>
      <c r="F891" t="s">
        <v>26</v>
      </c>
      <c r="I891" t="s">
        <v>4109</v>
      </c>
      <c r="L891" t="s">
        <v>4110</v>
      </c>
      <c r="P891" t="s">
        <v>4110</v>
      </c>
      <c r="T891" t="s">
        <v>4111</v>
      </c>
      <c r="U891" t="s">
        <v>4112</v>
      </c>
      <c r="V891" t="s">
        <v>4110</v>
      </c>
      <c r="W891" t="s">
        <v>86</v>
      </c>
      <c r="X891" t="s">
        <v>4113</v>
      </c>
      <c r="Y891">
        <v>0</v>
      </c>
      <c r="Z891">
        <v>63.958333333333343</v>
      </c>
    </row>
    <row r="892" spans="1:26">
      <c r="A892" s="1">
        <v>890</v>
      </c>
      <c r="B892" t="str">
        <f>HYPERLINK("https://bugs.eclipse.org/bugs/show_bug.cgi?id=32412", "32412")</f>
        <v>32412</v>
      </c>
      <c r="C892" t="s">
        <v>191</v>
      </c>
      <c r="D892" t="s">
        <v>192</v>
      </c>
      <c r="E892" t="s">
        <v>14</v>
      </c>
      <c r="F892" t="s">
        <v>460</v>
      </c>
      <c r="T892" t="s">
        <v>4114</v>
      </c>
      <c r="U892" t="s">
        <v>4115</v>
      </c>
      <c r="V892" t="s">
        <v>4116</v>
      </c>
      <c r="W892" t="s">
        <v>65</v>
      </c>
      <c r="X892" t="s">
        <v>4117</v>
      </c>
      <c r="Y892">
        <v>1</v>
      </c>
      <c r="Z892">
        <v>6119</v>
      </c>
    </row>
    <row r="893" spans="1:26">
      <c r="A893" s="1">
        <v>891</v>
      </c>
      <c r="B893" t="str">
        <f>HYPERLINK("https://bugs.eclipse.org/bugs/show_bug.cgi?id=32431", "32431")</f>
        <v>32431</v>
      </c>
      <c r="C893" t="s">
        <v>149</v>
      </c>
      <c r="D893" t="s">
        <v>10</v>
      </c>
      <c r="E893" t="s">
        <v>12</v>
      </c>
      <c r="F893" t="s">
        <v>150</v>
      </c>
      <c r="L893" t="s">
        <v>4118</v>
      </c>
      <c r="N893" t="s">
        <v>4118</v>
      </c>
      <c r="T893" t="s">
        <v>4119</v>
      </c>
      <c r="U893" t="s">
        <v>4120</v>
      </c>
      <c r="V893" t="s">
        <v>4118</v>
      </c>
      <c r="W893" t="s">
        <v>86</v>
      </c>
      <c r="X893" t="s">
        <v>4121</v>
      </c>
      <c r="Y893">
        <v>1</v>
      </c>
      <c r="Z893">
        <v>8</v>
      </c>
    </row>
    <row r="894" spans="1:26">
      <c r="A894" s="1">
        <v>892</v>
      </c>
      <c r="B894" t="str">
        <f>HYPERLINK("https://bugs.eclipse.org/bugs/show_bug.cgi?id=32556", "32556")</f>
        <v>32556</v>
      </c>
      <c r="C894" t="s">
        <v>35</v>
      </c>
      <c r="D894" t="s">
        <v>11</v>
      </c>
      <c r="E894" t="s">
        <v>12</v>
      </c>
      <c r="F894" t="s">
        <v>150</v>
      </c>
      <c r="L894" t="s">
        <v>4122</v>
      </c>
      <c r="M894" t="s">
        <v>4123</v>
      </c>
      <c r="N894" t="s">
        <v>4122</v>
      </c>
      <c r="T894" t="s">
        <v>4124</v>
      </c>
      <c r="U894" t="s">
        <v>4125</v>
      </c>
      <c r="V894" t="s">
        <v>4123</v>
      </c>
      <c r="W894" t="s">
        <v>3492</v>
      </c>
      <c r="X894" t="s">
        <v>4126</v>
      </c>
      <c r="Y894">
        <v>1</v>
      </c>
      <c r="Z894">
        <v>16</v>
      </c>
    </row>
    <row r="895" spans="1:26">
      <c r="A895" s="1">
        <v>893</v>
      </c>
      <c r="B895" t="str">
        <f>HYPERLINK("https://bugs.eclipse.org/bugs/show_bug.cgi?id=32609", "32609")</f>
        <v>32609</v>
      </c>
      <c r="C895" t="s">
        <v>56</v>
      </c>
      <c r="D895" t="s">
        <v>10</v>
      </c>
      <c r="E895" t="s">
        <v>14</v>
      </c>
      <c r="F895" t="s">
        <v>26</v>
      </c>
      <c r="L895" t="s">
        <v>4127</v>
      </c>
      <c r="P895" t="s">
        <v>4127</v>
      </c>
      <c r="S895" t="s">
        <v>4128</v>
      </c>
      <c r="T895" t="s">
        <v>4129</v>
      </c>
      <c r="U895" t="s">
        <v>4130</v>
      </c>
      <c r="V895" t="s">
        <v>4127</v>
      </c>
      <c r="W895" t="s">
        <v>49</v>
      </c>
      <c r="X895" t="s">
        <v>4131</v>
      </c>
      <c r="Y895">
        <v>0</v>
      </c>
      <c r="Z895">
        <v>1710.958333333333</v>
      </c>
    </row>
    <row r="896" spans="1:26">
      <c r="A896" s="1">
        <v>894</v>
      </c>
      <c r="B896" t="str">
        <f>HYPERLINK("https://bugs.eclipse.org/bugs/show_bug.cgi?id=32626", "32626")</f>
        <v>32626</v>
      </c>
      <c r="C896" t="s">
        <v>149</v>
      </c>
      <c r="D896" t="s">
        <v>10</v>
      </c>
      <c r="E896" t="s">
        <v>12</v>
      </c>
      <c r="F896" t="s">
        <v>150</v>
      </c>
      <c r="L896" t="s">
        <v>4132</v>
      </c>
      <c r="N896" t="s">
        <v>4132</v>
      </c>
      <c r="T896" t="s">
        <v>4133</v>
      </c>
      <c r="U896" t="s">
        <v>4134</v>
      </c>
      <c r="V896" t="s">
        <v>4132</v>
      </c>
      <c r="W896" t="s">
        <v>60</v>
      </c>
      <c r="X896" t="s">
        <v>4135</v>
      </c>
      <c r="Y896">
        <v>0</v>
      </c>
      <c r="Z896">
        <v>8</v>
      </c>
    </row>
    <row r="897" spans="1:26">
      <c r="A897" s="1">
        <v>895</v>
      </c>
      <c r="B897" t="str">
        <f>HYPERLINK("https://bugs.eclipse.org/bugs/show_bug.cgi?id=32654", "32654")</f>
        <v>32654</v>
      </c>
      <c r="C897" t="s">
        <v>149</v>
      </c>
      <c r="D897" t="s">
        <v>10</v>
      </c>
      <c r="E897" t="s">
        <v>12</v>
      </c>
      <c r="F897" t="s">
        <v>150</v>
      </c>
      <c r="G897" t="s">
        <v>4136</v>
      </c>
      <c r="L897" t="s">
        <v>4137</v>
      </c>
      <c r="N897" t="s">
        <v>4137</v>
      </c>
      <c r="T897" t="s">
        <v>4138</v>
      </c>
      <c r="U897" t="s">
        <v>4139</v>
      </c>
      <c r="V897" t="s">
        <v>4137</v>
      </c>
      <c r="W897" t="s">
        <v>49</v>
      </c>
      <c r="X897" t="s">
        <v>4140</v>
      </c>
      <c r="Y897">
        <v>0</v>
      </c>
      <c r="Z897">
        <v>7</v>
      </c>
    </row>
    <row r="898" spans="1:26">
      <c r="A898" s="1">
        <v>896</v>
      </c>
      <c r="B898" t="str">
        <f>HYPERLINK("https://bugs.eclipse.org/bugs/show_bug.cgi?id=32879", "32879")</f>
        <v>32879</v>
      </c>
      <c r="C898" t="s">
        <v>149</v>
      </c>
      <c r="D898" t="s">
        <v>10</v>
      </c>
      <c r="E898" t="s">
        <v>12</v>
      </c>
      <c r="F898" t="s">
        <v>150</v>
      </c>
      <c r="L898" t="s">
        <v>4141</v>
      </c>
      <c r="N898" t="s">
        <v>4141</v>
      </c>
      <c r="T898" t="s">
        <v>4142</v>
      </c>
      <c r="U898" t="s">
        <v>4143</v>
      </c>
      <c r="V898" t="s">
        <v>4141</v>
      </c>
      <c r="W898" t="s">
        <v>49</v>
      </c>
      <c r="X898" t="s">
        <v>4144</v>
      </c>
      <c r="Y898">
        <v>1</v>
      </c>
      <c r="Z898">
        <v>3</v>
      </c>
    </row>
    <row r="899" spans="1:26">
      <c r="A899" s="1">
        <v>897</v>
      </c>
      <c r="B899" t="str">
        <f>HYPERLINK("https://bugs.eclipse.org/bugs/show_bug.cgi?id=32895", "32895")</f>
        <v>32895</v>
      </c>
      <c r="C899" t="s">
        <v>56</v>
      </c>
      <c r="D899" t="s">
        <v>10</v>
      </c>
      <c r="E899" t="s">
        <v>14</v>
      </c>
      <c r="F899" t="s">
        <v>26</v>
      </c>
      <c r="L899" t="s">
        <v>4145</v>
      </c>
      <c r="P899" t="s">
        <v>4146</v>
      </c>
      <c r="T899" t="s">
        <v>4147</v>
      </c>
      <c r="U899" t="s">
        <v>4145</v>
      </c>
      <c r="V899" t="s">
        <v>4146</v>
      </c>
      <c r="W899" t="s">
        <v>80</v>
      </c>
      <c r="X899" t="s">
        <v>4148</v>
      </c>
      <c r="Y899">
        <v>1</v>
      </c>
      <c r="Z899">
        <v>2377.958333333333</v>
      </c>
    </row>
    <row r="900" spans="1:26">
      <c r="A900" s="1">
        <v>898</v>
      </c>
      <c r="B900" t="str">
        <f>HYPERLINK("https://bugs.eclipse.org/bugs/show_bug.cgi?id=32896", "32896")</f>
        <v>32896</v>
      </c>
      <c r="C900" t="s">
        <v>149</v>
      </c>
      <c r="D900" t="s">
        <v>10</v>
      </c>
      <c r="E900" t="s">
        <v>12</v>
      </c>
      <c r="F900" t="s">
        <v>150</v>
      </c>
      <c r="L900" t="s">
        <v>4149</v>
      </c>
      <c r="N900" t="s">
        <v>4149</v>
      </c>
      <c r="T900" t="s">
        <v>4150</v>
      </c>
      <c r="U900" t="s">
        <v>4151</v>
      </c>
      <c r="V900" t="s">
        <v>4149</v>
      </c>
      <c r="W900" t="s">
        <v>60</v>
      </c>
      <c r="X900" t="s">
        <v>4152</v>
      </c>
      <c r="Y900">
        <v>1</v>
      </c>
      <c r="Z900">
        <v>7</v>
      </c>
    </row>
    <row r="901" spans="1:26">
      <c r="A901" s="1">
        <v>899</v>
      </c>
      <c r="B901" t="str">
        <f>HYPERLINK("https://bugs.eclipse.org/bugs/show_bug.cgi?id=32914", "32914")</f>
        <v>32914</v>
      </c>
      <c r="C901" t="s">
        <v>56</v>
      </c>
      <c r="D901" t="s">
        <v>10</v>
      </c>
      <c r="E901" t="s">
        <v>14</v>
      </c>
      <c r="F901" t="s">
        <v>26</v>
      </c>
      <c r="L901" t="s">
        <v>4153</v>
      </c>
      <c r="P901" t="s">
        <v>4153</v>
      </c>
      <c r="T901" t="s">
        <v>4154</v>
      </c>
      <c r="U901" t="s">
        <v>4155</v>
      </c>
      <c r="V901" t="s">
        <v>4153</v>
      </c>
      <c r="W901" t="s">
        <v>49</v>
      </c>
      <c r="X901" t="s">
        <v>4156</v>
      </c>
      <c r="Y901">
        <v>1</v>
      </c>
      <c r="Z901">
        <v>1205.958333333333</v>
      </c>
    </row>
    <row r="902" spans="1:26">
      <c r="A902" s="1">
        <v>900</v>
      </c>
      <c r="B902" t="str">
        <f>HYPERLINK("https://bugs.eclipse.org/bugs/show_bug.cgi?id=32933", "32933")</f>
        <v>32933</v>
      </c>
      <c r="C902" t="s">
        <v>4157</v>
      </c>
      <c r="D902" t="s">
        <v>10</v>
      </c>
      <c r="E902" t="s">
        <v>15</v>
      </c>
      <c r="F902" t="s">
        <v>150</v>
      </c>
      <c r="L902" t="s">
        <v>4158</v>
      </c>
      <c r="Q902" t="s">
        <v>4158</v>
      </c>
      <c r="R902" t="s">
        <v>4159</v>
      </c>
      <c r="S902" t="s">
        <v>4160</v>
      </c>
      <c r="T902" t="s">
        <v>4161</v>
      </c>
      <c r="U902" t="s">
        <v>4162</v>
      </c>
      <c r="V902" t="s">
        <v>4158</v>
      </c>
      <c r="W902" t="s">
        <v>60</v>
      </c>
      <c r="X902" t="s">
        <v>4163</v>
      </c>
      <c r="Y902">
        <v>1</v>
      </c>
      <c r="Z902">
        <v>77.958333333333329</v>
      </c>
    </row>
    <row r="903" spans="1:26">
      <c r="A903" s="1">
        <v>901</v>
      </c>
      <c r="B903" t="str">
        <f>HYPERLINK("https://bugs.eclipse.org/bugs/show_bug.cgi?id=32936", "32936")</f>
        <v>32936</v>
      </c>
      <c r="C903" t="s">
        <v>35</v>
      </c>
      <c r="D903" t="s">
        <v>11</v>
      </c>
      <c r="E903" t="s">
        <v>12</v>
      </c>
      <c r="F903" t="s">
        <v>26</v>
      </c>
      <c r="L903" t="s">
        <v>4164</v>
      </c>
      <c r="M903" t="s">
        <v>4165</v>
      </c>
      <c r="N903" t="s">
        <v>4164</v>
      </c>
      <c r="S903" t="s">
        <v>4166</v>
      </c>
      <c r="T903" t="s">
        <v>4167</v>
      </c>
      <c r="U903" t="s">
        <v>4168</v>
      </c>
      <c r="V903" t="s">
        <v>4165</v>
      </c>
      <c r="W903" t="s">
        <v>1954</v>
      </c>
      <c r="X903" t="s">
        <v>4169</v>
      </c>
      <c r="Y903">
        <v>6</v>
      </c>
      <c r="Z903">
        <v>1261.958333333333</v>
      </c>
    </row>
    <row r="904" spans="1:26">
      <c r="A904" s="1">
        <v>902</v>
      </c>
      <c r="B904" t="str">
        <f>HYPERLINK("https://bugs.eclipse.org/bugs/show_bug.cgi?id=32955", "32955")</f>
        <v>32955</v>
      </c>
      <c r="C904" t="s">
        <v>56</v>
      </c>
      <c r="D904" t="s">
        <v>10</v>
      </c>
      <c r="E904" t="s">
        <v>14</v>
      </c>
      <c r="F904" t="s">
        <v>26</v>
      </c>
      <c r="L904" t="s">
        <v>4170</v>
      </c>
      <c r="P904" t="s">
        <v>4171</v>
      </c>
      <c r="T904" t="s">
        <v>4172</v>
      </c>
      <c r="U904" t="s">
        <v>4170</v>
      </c>
      <c r="V904" t="s">
        <v>4171</v>
      </c>
      <c r="W904" t="s">
        <v>80</v>
      </c>
      <c r="X904" t="s">
        <v>4173</v>
      </c>
      <c r="Y904">
        <v>1</v>
      </c>
      <c r="Z904">
        <v>2377.958333333333</v>
      </c>
    </row>
    <row r="905" spans="1:26">
      <c r="A905" s="1">
        <v>903</v>
      </c>
      <c r="B905" t="str">
        <f>HYPERLINK("https://bugs.eclipse.org/bugs/show_bug.cgi?id=32958", "32958")</f>
        <v>32958</v>
      </c>
      <c r="C905" t="s">
        <v>149</v>
      </c>
      <c r="D905" t="s">
        <v>10</v>
      </c>
      <c r="E905" t="s">
        <v>12</v>
      </c>
      <c r="F905" t="s">
        <v>26</v>
      </c>
      <c r="L905" t="s">
        <v>4174</v>
      </c>
      <c r="N905" t="s">
        <v>4174</v>
      </c>
      <c r="T905" t="s">
        <v>4175</v>
      </c>
      <c r="U905" t="s">
        <v>4176</v>
      </c>
      <c r="V905" t="s">
        <v>4174</v>
      </c>
      <c r="W905" t="s">
        <v>86</v>
      </c>
      <c r="X905" t="s">
        <v>4177</v>
      </c>
      <c r="Y905">
        <v>1</v>
      </c>
      <c r="Z905">
        <v>8</v>
      </c>
    </row>
    <row r="906" spans="1:26">
      <c r="A906" s="1">
        <v>904</v>
      </c>
      <c r="B906" t="str">
        <f>HYPERLINK("https://bugs.eclipse.org/bugs/show_bug.cgi?id=32966", "32966")</f>
        <v>32966</v>
      </c>
      <c r="C906" t="s">
        <v>149</v>
      </c>
      <c r="D906" t="s">
        <v>10</v>
      </c>
      <c r="E906" t="s">
        <v>12</v>
      </c>
      <c r="F906" t="s">
        <v>26</v>
      </c>
      <c r="L906" t="s">
        <v>4178</v>
      </c>
      <c r="N906" t="s">
        <v>4178</v>
      </c>
      <c r="T906" t="s">
        <v>4179</v>
      </c>
      <c r="U906" t="s">
        <v>4180</v>
      </c>
      <c r="V906" t="s">
        <v>4178</v>
      </c>
      <c r="W906" t="s">
        <v>60</v>
      </c>
      <c r="X906" t="s">
        <v>4181</v>
      </c>
      <c r="Y906">
        <v>1</v>
      </c>
      <c r="Z906">
        <v>6</v>
      </c>
    </row>
    <row r="907" spans="1:26">
      <c r="A907" s="1">
        <v>905</v>
      </c>
      <c r="B907" t="str">
        <f>HYPERLINK("https://bugs.eclipse.org/bugs/show_bug.cgi?id=32990", "32990")</f>
        <v>32990</v>
      </c>
      <c r="C907" t="s">
        <v>35</v>
      </c>
      <c r="D907" t="s">
        <v>11</v>
      </c>
      <c r="E907" t="s">
        <v>12</v>
      </c>
      <c r="F907" t="s">
        <v>26</v>
      </c>
      <c r="L907" t="s">
        <v>4182</v>
      </c>
      <c r="M907" t="s">
        <v>4183</v>
      </c>
      <c r="N907" t="s">
        <v>4182</v>
      </c>
      <c r="T907" t="s">
        <v>4184</v>
      </c>
      <c r="U907" t="s">
        <v>4185</v>
      </c>
      <c r="V907" t="s">
        <v>4183</v>
      </c>
      <c r="W907" t="s">
        <v>3492</v>
      </c>
      <c r="X907" t="s">
        <v>4186</v>
      </c>
      <c r="Y907">
        <v>0</v>
      </c>
      <c r="Z907">
        <v>13</v>
      </c>
    </row>
    <row r="908" spans="1:26">
      <c r="A908" s="1">
        <v>906</v>
      </c>
      <c r="B908" t="str">
        <f>HYPERLINK("https://bugs.eclipse.org/bugs/show_bug.cgi?id=32996", "32996")</f>
        <v>32996</v>
      </c>
      <c r="C908" t="s">
        <v>1168</v>
      </c>
      <c r="D908" t="s">
        <v>10</v>
      </c>
      <c r="E908" t="s">
        <v>15</v>
      </c>
      <c r="F908" t="s">
        <v>26</v>
      </c>
      <c r="L908" t="s">
        <v>4187</v>
      </c>
      <c r="Q908" t="s">
        <v>4187</v>
      </c>
      <c r="S908" t="s">
        <v>4188</v>
      </c>
      <c r="T908" t="s">
        <v>4189</v>
      </c>
      <c r="U908" t="s">
        <v>4190</v>
      </c>
      <c r="V908" t="s">
        <v>4187</v>
      </c>
      <c r="W908" t="s">
        <v>49</v>
      </c>
      <c r="X908" t="s">
        <v>4191</v>
      </c>
      <c r="Y908">
        <v>0</v>
      </c>
      <c r="Z908">
        <v>1576.958333333333</v>
      </c>
    </row>
    <row r="909" spans="1:26">
      <c r="A909" s="1">
        <v>907</v>
      </c>
      <c r="B909" t="str">
        <f>HYPERLINK("https://bugs.eclipse.org/bugs/show_bug.cgi?id=33013", "33013")</f>
        <v>33013</v>
      </c>
      <c r="C909" t="s">
        <v>149</v>
      </c>
      <c r="D909" t="s">
        <v>10</v>
      </c>
      <c r="E909" t="s">
        <v>12</v>
      </c>
      <c r="F909" t="s">
        <v>150</v>
      </c>
      <c r="L909" t="s">
        <v>4192</v>
      </c>
      <c r="N909" t="s">
        <v>4192</v>
      </c>
      <c r="T909" t="s">
        <v>4193</v>
      </c>
      <c r="U909" t="s">
        <v>4194</v>
      </c>
      <c r="V909" t="s">
        <v>4192</v>
      </c>
      <c r="W909" t="s">
        <v>60</v>
      </c>
      <c r="X909" t="s">
        <v>4195</v>
      </c>
      <c r="Y909">
        <v>1</v>
      </c>
      <c r="Z909">
        <v>7</v>
      </c>
    </row>
    <row r="910" spans="1:26">
      <c r="A910" s="1">
        <v>908</v>
      </c>
      <c r="B910" t="str">
        <f>HYPERLINK("https://bugs.eclipse.org/bugs/show_bug.cgi?id=33020", "33020")</f>
        <v>33020</v>
      </c>
      <c r="C910" t="s">
        <v>149</v>
      </c>
      <c r="D910" t="s">
        <v>10</v>
      </c>
      <c r="E910" t="s">
        <v>12</v>
      </c>
      <c r="F910" t="s">
        <v>145</v>
      </c>
      <c r="L910" t="s">
        <v>4196</v>
      </c>
      <c r="N910" t="s">
        <v>4196</v>
      </c>
      <c r="T910" t="s">
        <v>4197</v>
      </c>
      <c r="U910" t="s">
        <v>4198</v>
      </c>
      <c r="V910" t="s">
        <v>4196</v>
      </c>
      <c r="W910" t="s">
        <v>86</v>
      </c>
      <c r="X910" t="s">
        <v>4199</v>
      </c>
      <c r="Y910">
        <v>2</v>
      </c>
      <c r="Z910">
        <v>3</v>
      </c>
    </row>
    <row r="911" spans="1:26">
      <c r="A911" s="1">
        <v>909</v>
      </c>
      <c r="B911" t="str">
        <f>HYPERLINK("https://bugs.eclipse.org/bugs/show_bug.cgi?id=33028", "33028")</f>
        <v>33028</v>
      </c>
      <c r="C911" t="s">
        <v>35</v>
      </c>
      <c r="D911" t="s">
        <v>11</v>
      </c>
      <c r="E911" t="s">
        <v>12</v>
      </c>
      <c r="F911" t="s">
        <v>150</v>
      </c>
      <c r="G911" t="s">
        <v>4200</v>
      </c>
      <c r="L911" t="s">
        <v>4201</v>
      </c>
      <c r="M911" t="s">
        <v>4202</v>
      </c>
      <c r="N911" t="s">
        <v>4201</v>
      </c>
      <c r="T911" t="s">
        <v>4203</v>
      </c>
      <c r="U911" t="s">
        <v>4204</v>
      </c>
      <c r="V911" t="s">
        <v>4205</v>
      </c>
      <c r="W911" t="s">
        <v>4206</v>
      </c>
      <c r="X911" t="s">
        <v>4207</v>
      </c>
      <c r="Y911">
        <v>2</v>
      </c>
      <c r="Z911">
        <v>6273.958333333333</v>
      </c>
    </row>
    <row r="912" spans="1:26">
      <c r="A912" s="1">
        <v>910</v>
      </c>
      <c r="B912" t="str">
        <f>HYPERLINK("https://bugs.eclipse.org/bugs/show_bug.cgi?id=33029", "33029")</f>
        <v>33029</v>
      </c>
      <c r="C912" t="s">
        <v>149</v>
      </c>
      <c r="D912" t="s">
        <v>10</v>
      </c>
      <c r="E912" t="s">
        <v>12</v>
      </c>
      <c r="F912" t="s">
        <v>150</v>
      </c>
      <c r="L912" t="s">
        <v>4208</v>
      </c>
      <c r="N912" t="s">
        <v>4208</v>
      </c>
      <c r="T912" t="s">
        <v>4209</v>
      </c>
      <c r="U912" t="s">
        <v>4210</v>
      </c>
      <c r="V912" t="s">
        <v>4208</v>
      </c>
      <c r="W912" t="s">
        <v>86</v>
      </c>
      <c r="X912" t="s">
        <v>4211</v>
      </c>
      <c r="Y912">
        <v>2</v>
      </c>
      <c r="Z912">
        <v>3</v>
      </c>
    </row>
    <row r="913" spans="1:26">
      <c r="A913" s="1">
        <v>911</v>
      </c>
      <c r="B913" t="str">
        <f>HYPERLINK("https://bugs.eclipse.org/bugs/show_bug.cgi?id=33042", "33042")</f>
        <v>33042</v>
      </c>
      <c r="C913" t="s">
        <v>149</v>
      </c>
      <c r="D913" t="s">
        <v>10</v>
      </c>
      <c r="E913" t="s">
        <v>12</v>
      </c>
      <c r="F913" t="s">
        <v>150</v>
      </c>
      <c r="L913" t="s">
        <v>4212</v>
      </c>
      <c r="N913" t="s">
        <v>4212</v>
      </c>
      <c r="T913" t="s">
        <v>4213</v>
      </c>
      <c r="U913" t="s">
        <v>4214</v>
      </c>
      <c r="V913" t="s">
        <v>4212</v>
      </c>
      <c r="W913" t="s">
        <v>60</v>
      </c>
      <c r="X913" t="s">
        <v>4215</v>
      </c>
      <c r="Y913">
        <v>1</v>
      </c>
      <c r="Z913">
        <v>7</v>
      </c>
    </row>
    <row r="914" spans="1:26">
      <c r="A914" s="1">
        <v>912</v>
      </c>
      <c r="B914" t="str">
        <f>HYPERLINK("https://bugs.eclipse.org/bugs/show_bug.cgi?id=33216", "33216")</f>
        <v>33216</v>
      </c>
      <c r="C914" t="s">
        <v>149</v>
      </c>
      <c r="D914" t="s">
        <v>10</v>
      </c>
      <c r="E914" t="s">
        <v>12</v>
      </c>
      <c r="F914" t="s">
        <v>150</v>
      </c>
      <c r="L914" t="s">
        <v>4216</v>
      </c>
      <c r="N914" t="s">
        <v>4216</v>
      </c>
      <c r="T914" t="s">
        <v>4217</v>
      </c>
      <c r="U914" t="s">
        <v>4218</v>
      </c>
      <c r="V914" t="s">
        <v>4216</v>
      </c>
      <c r="W914" t="s">
        <v>86</v>
      </c>
      <c r="X914" t="s">
        <v>4219</v>
      </c>
      <c r="Y914">
        <v>0</v>
      </c>
      <c r="Z914">
        <v>7</v>
      </c>
    </row>
    <row r="915" spans="1:26">
      <c r="A915" s="1">
        <v>913</v>
      </c>
      <c r="B915" t="str">
        <f>HYPERLINK("https://bugs.eclipse.org/bugs/show_bug.cgi?id=33220", "33220")</f>
        <v>33220</v>
      </c>
      <c r="C915" t="s">
        <v>149</v>
      </c>
      <c r="D915" t="s">
        <v>10</v>
      </c>
      <c r="E915" t="s">
        <v>12</v>
      </c>
      <c r="F915" t="s">
        <v>26</v>
      </c>
      <c r="L915" t="s">
        <v>4220</v>
      </c>
      <c r="N915" t="s">
        <v>4220</v>
      </c>
      <c r="T915" t="s">
        <v>4221</v>
      </c>
      <c r="U915" t="s">
        <v>4222</v>
      </c>
      <c r="V915" t="s">
        <v>4220</v>
      </c>
      <c r="W915" t="s">
        <v>86</v>
      </c>
      <c r="X915" t="s">
        <v>4223</v>
      </c>
      <c r="Y915">
        <v>0</v>
      </c>
      <c r="Z915">
        <v>8</v>
      </c>
    </row>
    <row r="916" spans="1:26">
      <c r="A916" s="1">
        <v>914</v>
      </c>
      <c r="B916" t="str">
        <f>HYPERLINK("https://bugs.eclipse.org/bugs/show_bug.cgi?id=33222", "33222")</f>
        <v>33222</v>
      </c>
      <c r="C916" t="s">
        <v>25</v>
      </c>
      <c r="D916" t="s">
        <v>25</v>
      </c>
      <c r="F916" t="s">
        <v>26</v>
      </c>
      <c r="G916" t="s">
        <v>4224</v>
      </c>
      <c r="T916" t="s">
        <v>4225</v>
      </c>
      <c r="U916" t="s">
        <v>4226</v>
      </c>
      <c r="V916" t="s">
        <v>4227</v>
      </c>
      <c r="W916" t="s">
        <v>143</v>
      </c>
      <c r="X916" t="s">
        <v>4228</v>
      </c>
      <c r="Y916">
        <v>0</v>
      </c>
    </row>
    <row r="917" spans="1:26">
      <c r="A917" s="1">
        <v>915</v>
      </c>
      <c r="B917" t="str">
        <f>HYPERLINK("https://bugs.eclipse.org/bugs/show_bug.cgi?id=33245", "33245")</f>
        <v>33245</v>
      </c>
      <c r="C917" t="s">
        <v>149</v>
      </c>
      <c r="D917" t="s">
        <v>10</v>
      </c>
      <c r="E917" t="s">
        <v>12</v>
      </c>
      <c r="F917" t="s">
        <v>150</v>
      </c>
      <c r="L917" t="s">
        <v>4229</v>
      </c>
      <c r="N917" t="s">
        <v>4229</v>
      </c>
      <c r="T917" t="s">
        <v>4230</v>
      </c>
      <c r="U917" t="s">
        <v>4231</v>
      </c>
      <c r="V917" t="s">
        <v>4229</v>
      </c>
      <c r="W917" t="s">
        <v>86</v>
      </c>
      <c r="X917" t="s">
        <v>4232</v>
      </c>
      <c r="Y917">
        <v>1</v>
      </c>
      <c r="Z917">
        <v>5</v>
      </c>
    </row>
    <row r="918" spans="1:26">
      <c r="A918" s="1">
        <v>916</v>
      </c>
      <c r="B918" t="str">
        <f>HYPERLINK("https://bugs.eclipse.org/bugs/show_bug.cgi?id=33246", "33246")</f>
        <v>33246</v>
      </c>
      <c r="C918" t="s">
        <v>56</v>
      </c>
      <c r="D918" t="s">
        <v>10</v>
      </c>
      <c r="E918" t="s">
        <v>14</v>
      </c>
      <c r="F918" t="s">
        <v>150</v>
      </c>
      <c r="L918" t="s">
        <v>4233</v>
      </c>
      <c r="P918" t="s">
        <v>4234</v>
      </c>
      <c r="T918" t="s">
        <v>4235</v>
      </c>
      <c r="U918" t="s">
        <v>4236</v>
      </c>
      <c r="V918" t="s">
        <v>4234</v>
      </c>
      <c r="W918" t="s">
        <v>80</v>
      </c>
      <c r="X918" t="s">
        <v>4237</v>
      </c>
      <c r="Y918">
        <v>0</v>
      </c>
      <c r="Z918">
        <v>2376.958333333333</v>
      </c>
    </row>
    <row r="919" spans="1:26">
      <c r="A919" s="1">
        <v>917</v>
      </c>
      <c r="B919" t="str">
        <f>HYPERLINK("https://bugs.eclipse.org/bugs/show_bug.cgi?id=33250", "33250")</f>
        <v>33250</v>
      </c>
      <c r="C919" t="s">
        <v>149</v>
      </c>
      <c r="D919" t="s">
        <v>10</v>
      </c>
      <c r="E919" t="s">
        <v>12</v>
      </c>
      <c r="F919" t="s">
        <v>26</v>
      </c>
      <c r="L919" t="s">
        <v>4238</v>
      </c>
      <c r="N919" t="s">
        <v>4238</v>
      </c>
      <c r="T919" t="s">
        <v>4239</v>
      </c>
      <c r="U919" t="s">
        <v>4240</v>
      </c>
      <c r="V919" t="s">
        <v>4238</v>
      </c>
      <c r="W919" t="s">
        <v>60</v>
      </c>
      <c r="X919" t="s">
        <v>4241</v>
      </c>
      <c r="Y919">
        <v>1</v>
      </c>
      <c r="Z919">
        <v>5</v>
      </c>
    </row>
    <row r="920" spans="1:26">
      <c r="A920" s="1">
        <v>918</v>
      </c>
      <c r="B920" t="str">
        <f>HYPERLINK("https://bugs.eclipse.org/bugs/show_bug.cgi?id=33253", "33253")</f>
        <v>33253</v>
      </c>
      <c r="C920" t="s">
        <v>56</v>
      </c>
      <c r="D920" t="s">
        <v>10</v>
      </c>
      <c r="E920" t="s">
        <v>14</v>
      </c>
      <c r="F920" t="s">
        <v>26</v>
      </c>
      <c r="L920" t="s">
        <v>4242</v>
      </c>
      <c r="P920" t="s">
        <v>4243</v>
      </c>
      <c r="T920" t="s">
        <v>4244</v>
      </c>
      <c r="U920" t="s">
        <v>4245</v>
      </c>
      <c r="V920" t="s">
        <v>4243</v>
      </c>
      <c r="W920" t="s">
        <v>80</v>
      </c>
      <c r="X920" t="s">
        <v>4246</v>
      </c>
      <c r="Y920">
        <v>1</v>
      </c>
      <c r="Z920">
        <v>2376.958333333333</v>
      </c>
    </row>
    <row r="921" spans="1:26">
      <c r="A921" s="1">
        <v>919</v>
      </c>
      <c r="B921" t="str">
        <f>HYPERLINK("https://bugs.eclipse.org/bugs/show_bug.cgi?id=33258", "33258")</f>
        <v>33258</v>
      </c>
      <c r="C921" t="s">
        <v>149</v>
      </c>
      <c r="D921" t="s">
        <v>10</v>
      </c>
      <c r="E921" t="s">
        <v>12</v>
      </c>
      <c r="F921" t="s">
        <v>150</v>
      </c>
      <c r="L921" t="s">
        <v>4247</v>
      </c>
      <c r="N921" t="s">
        <v>4247</v>
      </c>
      <c r="T921" t="s">
        <v>4248</v>
      </c>
      <c r="U921" t="s">
        <v>4249</v>
      </c>
      <c r="V921" t="s">
        <v>4247</v>
      </c>
      <c r="W921" t="s">
        <v>60</v>
      </c>
      <c r="X921" t="s">
        <v>4250</v>
      </c>
      <c r="Y921">
        <v>1</v>
      </c>
      <c r="Z921">
        <v>5</v>
      </c>
    </row>
    <row r="922" spans="1:26">
      <c r="A922" s="1">
        <v>920</v>
      </c>
      <c r="B922" t="str">
        <f>HYPERLINK("https://bugs.eclipse.org/bugs/show_bug.cgi?id=33266", "33266")</f>
        <v>33266</v>
      </c>
      <c r="C922" t="s">
        <v>149</v>
      </c>
      <c r="D922" t="s">
        <v>10</v>
      </c>
      <c r="E922" t="s">
        <v>12</v>
      </c>
      <c r="F922" t="s">
        <v>145</v>
      </c>
      <c r="L922" t="s">
        <v>4251</v>
      </c>
      <c r="N922" t="s">
        <v>4251</v>
      </c>
      <c r="T922" t="s">
        <v>4252</v>
      </c>
      <c r="U922" t="s">
        <v>4253</v>
      </c>
      <c r="V922" t="s">
        <v>4251</v>
      </c>
      <c r="W922" t="s">
        <v>60</v>
      </c>
      <c r="X922" t="s">
        <v>4254</v>
      </c>
      <c r="Y922">
        <v>0</v>
      </c>
      <c r="Z922">
        <v>5</v>
      </c>
    </row>
    <row r="923" spans="1:26">
      <c r="A923" s="1">
        <v>921</v>
      </c>
      <c r="B923" t="str">
        <f>HYPERLINK("https://bugs.eclipse.org/bugs/show_bug.cgi?id=33300", "33300")</f>
        <v>33300</v>
      </c>
      <c r="C923" t="s">
        <v>149</v>
      </c>
      <c r="D923" t="s">
        <v>10</v>
      </c>
      <c r="E923" t="s">
        <v>12</v>
      </c>
      <c r="F923" t="s">
        <v>150</v>
      </c>
      <c r="L923" t="s">
        <v>4255</v>
      </c>
      <c r="N923" t="s">
        <v>4255</v>
      </c>
      <c r="T923" t="s">
        <v>4256</v>
      </c>
      <c r="U923" t="s">
        <v>4257</v>
      </c>
      <c r="V923" t="s">
        <v>4255</v>
      </c>
      <c r="W923" t="s">
        <v>60</v>
      </c>
      <c r="X923" t="s">
        <v>4258</v>
      </c>
      <c r="Y923">
        <v>1</v>
      </c>
      <c r="Z923">
        <v>5</v>
      </c>
    </row>
    <row r="924" spans="1:26">
      <c r="A924" s="1">
        <v>922</v>
      </c>
      <c r="B924" t="str">
        <f>HYPERLINK("https://bugs.eclipse.org/bugs/show_bug.cgi?id=33364", "33364")</f>
        <v>33364</v>
      </c>
      <c r="C924" t="s">
        <v>149</v>
      </c>
      <c r="D924" t="s">
        <v>10</v>
      </c>
      <c r="E924" t="s">
        <v>12</v>
      </c>
      <c r="F924" t="s">
        <v>150</v>
      </c>
      <c r="L924" t="s">
        <v>4259</v>
      </c>
      <c r="N924" t="s">
        <v>4259</v>
      </c>
      <c r="T924" t="s">
        <v>4260</v>
      </c>
      <c r="U924" t="s">
        <v>4261</v>
      </c>
      <c r="V924" t="s">
        <v>4259</v>
      </c>
      <c r="W924" t="s">
        <v>60</v>
      </c>
      <c r="X924" t="s">
        <v>4262</v>
      </c>
      <c r="Y924">
        <v>1</v>
      </c>
      <c r="Z924">
        <v>5</v>
      </c>
    </row>
    <row r="925" spans="1:26">
      <c r="A925" s="1">
        <v>923</v>
      </c>
      <c r="B925" t="str">
        <f>HYPERLINK("https://bugs.eclipse.org/bugs/show_bug.cgi?id=33376", "33376")</f>
        <v>33376</v>
      </c>
      <c r="C925" t="s">
        <v>149</v>
      </c>
      <c r="D925" t="s">
        <v>10</v>
      </c>
      <c r="E925" t="s">
        <v>12</v>
      </c>
      <c r="F925" t="s">
        <v>145</v>
      </c>
      <c r="L925" t="s">
        <v>4263</v>
      </c>
      <c r="N925" t="s">
        <v>4263</v>
      </c>
      <c r="T925" t="s">
        <v>4264</v>
      </c>
      <c r="U925" t="s">
        <v>4265</v>
      </c>
      <c r="V925" t="s">
        <v>4263</v>
      </c>
      <c r="W925" t="s">
        <v>86</v>
      </c>
      <c r="X925" t="s">
        <v>4266</v>
      </c>
      <c r="Y925">
        <v>1</v>
      </c>
      <c r="Z925">
        <v>2</v>
      </c>
    </row>
    <row r="926" spans="1:26">
      <c r="A926" s="1">
        <v>924</v>
      </c>
      <c r="B926" t="str">
        <f>HYPERLINK("https://bugs.eclipse.org/bugs/show_bug.cgi?id=33405", "33405")</f>
        <v>33405</v>
      </c>
      <c r="C926" t="s">
        <v>35</v>
      </c>
      <c r="D926" t="s">
        <v>11</v>
      </c>
      <c r="E926" t="s">
        <v>12</v>
      </c>
      <c r="F926" t="s">
        <v>150</v>
      </c>
      <c r="L926" t="s">
        <v>4267</v>
      </c>
      <c r="M926" t="s">
        <v>4268</v>
      </c>
      <c r="N926" t="s">
        <v>4267</v>
      </c>
      <c r="T926" t="s">
        <v>4269</v>
      </c>
      <c r="U926" t="s">
        <v>4270</v>
      </c>
      <c r="V926" t="s">
        <v>4268</v>
      </c>
      <c r="W926" t="s">
        <v>3492</v>
      </c>
      <c r="X926" t="s">
        <v>4271</v>
      </c>
      <c r="Y926">
        <v>1</v>
      </c>
      <c r="Z926">
        <v>12</v>
      </c>
    </row>
    <row r="927" spans="1:26">
      <c r="A927" s="1">
        <v>925</v>
      </c>
      <c r="B927" t="str">
        <f>HYPERLINK("https://bugs.eclipse.org/bugs/show_bug.cgi?id=33421", "33421")</f>
        <v>33421</v>
      </c>
      <c r="C927" t="s">
        <v>140</v>
      </c>
      <c r="D927" t="s">
        <v>10</v>
      </c>
      <c r="E927" t="s">
        <v>16</v>
      </c>
      <c r="F927" t="s">
        <v>145</v>
      </c>
      <c r="L927" t="s">
        <v>4272</v>
      </c>
      <c r="R927" t="s">
        <v>4272</v>
      </c>
      <c r="T927" t="s">
        <v>4273</v>
      </c>
      <c r="U927" t="s">
        <v>4274</v>
      </c>
      <c r="V927" t="s">
        <v>4272</v>
      </c>
      <c r="W927" t="s">
        <v>60</v>
      </c>
      <c r="X927" t="s">
        <v>4275</v>
      </c>
      <c r="Y927">
        <v>0</v>
      </c>
      <c r="Z927">
        <v>5</v>
      </c>
    </row>
    <row r="928" spans="1:26">
      <c r="A928" s="1">
        <v>926</v>
      </c>
      <c r="B928" t="str">
        <f>HYPERLINK("https://bugs.eclipse.org/bugs/show_bug.cgi?id=33426", "33426")</f>
        <v>33426</v>
      </c>
      <c r="C928" t="s">
        <v>149</v>
      </c>
      <c r="D928" t="s">
        <v>10</v>
      </c>
      <c r="E928" t="s">
        <v>12</v>
      </c>
      <c r="F928" t="s">
        <v>150</v>
      </c>
      <c r="L928" t="s">
        <v>4276</v>
      </c>
      <c r="N928" t="s">
        <v>4276</v>
      </c>
      <c r="T928" t="s">
        <v>4277</v>
      </c>
      <c r="U928" t="s">
        <v>4278</v>
      </c>
      <c r="V928" t="s">
        <v>4276</v>
      </c>
      <c r="W928" t="s">
        <v>86</v>
      </c>
      <c r="X928" t="s">
        <v>4279</v>
      </c>
      <c r="Y928">
        <v>0</v>
      </c>
      <c r="Z928">
        <v>6</v>
      </c>
    </row>
    <row r="929" spans="1:26">
      <c r="A929" s="1">
        <v>927</v>
      </c>
      <c r="B929" t="str">
        <f>HYPERLINK("https://bugs.eclipse.org/bugs/show_bug.cgi?id=33439", "33439")</f>
        <v>33439</v>
      </c>
      <c r="C929" t="s">
        <v>140</v>
      </c>
      <c r="D929" t="s">
        <v>10</v>
      </c>
      <c r="E929" t="s">
        <v>16</v>
      </c>
      <c r="F929" t="s">
        <v>150</v>
      </c>
      <c r="L929" t="s">
        <v>4280</v>
      </c>
      <c r="R929" t="s">
        <v>4280</v>
      </c>
      <c r="T929" t="s">
        <v>4281</v>
      </c>
      <c r="U929" t="s">
        <v>4282</v>
      </c>
      <c r="V929" t="s">
        <v>4280</v>
      </c>
      <c r="W929" t="s">
        <v>60</v>
      </c>
      <c r="X929" t="s">
        <v>4283</v>
      </c>
      <c r="Y929">
        <v>1</v>
      </c>
      <c r="Z929">
        <v>4</v>
      </c>
    </row>
    <row r="930" spans="1:26">
      <c r="A930" s="1">
        <v>928</v>
      </c>
      <c r="B930" t="str">
        <f>HYPERLINK("https://bugs.eclipse.org/bugs/show_bug.cgi?id=33454", "33454")</f>
        <v>33454</v>
      </c>
      <c r="C930" t="s">
        <v>149</v>
      </c>
      <c r="D930" t="s">
        <v>10</v>
      </c>
      <c r="E930" t="s">
        <v>12</v>
      </c>
      <c r="F930" t="s">
        <v>26</v>
      </c>
      <c r="L930" t="s">
        <v>4284</v>
      </c>
      <c r="N930" t="s">
        <v>4284</v>
      </c>
      <c r="T930" t="s">
        <v>4285</v>
      </c>
      <c r="U930" t="s">
        <v>4286</v>
      </c>
      <c r="V930" t="s">
        <v>4284</v>
      </c>
      <c r="W930" t="s">
        <v>86</v>
      </c>
      <c r="X930" t="s">
        <v>4287</v>
      </c>
      <c r="Y930">
        <v>0</v>
      </c>
      <c r="Z930">
        <v>6</v>
      </c>
    </row>
    <row r="931" spans="1:26">
      <c r="A931" s="1">
        <v>929</v>
      </c>
      <c r="B931" t="str">
        <f>HYPERLINK("https://bugs.eclipse.org/bugs/show_bug.cgi?id=33473", "33473")</f>
        <v>33473</v>
      </c>
      <c r="C931" t="s">
        <v>149</v>
      </c>
      <c r="D931" t="s">
        <v>10</v>
      </c>
      <c r="E931" t="s">
        <v>12</v>
      </c>
      <c r="F931" t="s">
        <v>150</v>
      </c>
      <c r="L931" t="s">
        <v>4288</v>
      </c>
      <c r="N931" t="s">
        <v>4288</v>
      </c>
      <c r="T931" t="s">
        <v>4289</v>
      </c>
      <c r="U931" t="s">
        <v>4290</v>
      </c>
      <c r="V931" t="s">
        <v>4288</v>
      </c>
      <c r="W931" t="s">
        <v>60</v>
      </c>
      <c r="X931" t="s">
        <v>4291</v>
      </c>
      <c r="Y931">
        <v>0</v>
      </c>
      <c r="Z931">
        <v>5</v>
      </c>
    </row>
    <row r="932" spans="1:26">
      <c r="A932" s="1">
        <v>930</v>
      </c>
      <c r="B932" t="str">
        <f>HYPERLINK("https://bugs.eclipse.org/bugs/show_bug.cgi?id=33520", "33520")</f>
        <v>33520</v>
      </c>
      <c r="C932" t="s">
        <v>56</v>
      </c>
      <c r="D932" t="s">
        <v>10</v>
      </c>
      <c r="E932" t="s">
        <v>14</v>
      </c>
      <c r="F932" t="s">
        <v>26</v>
      </c>
      <c r="L932" t="s">
        <v>4292</v>
      </c>
      <c r="P932" t="s">
        <v>4292</v>
      </c>
      <c r="T932" t="s">
        <v>4293</v>
      </c>
      <c r="U932" t="s">
        <v>4292</v>
      </c>
      <c r="V932" t="s">
        <v>4292</v>
      </c>
      <c r="W932" t="s">
        <v>86</v>
      </c>
      <c r="X932" t="s">
        <v>4294</v>
      </c>
      <c r="Y932">
        <v>0</v>
      </c>
      <c r="Z932">
        <v>0</v>
      </c>
    </row>
    <row r="933" spans="1:26">
      <c r="A933" s="1">
        <v>931</v>
      </c>
      <c r="B933" t="str">
        <f>HYPERLINK("https://bugs.eclipse.org/bugs/show_bug.cgi?id=33617", "33617")</f>
        <v>33617</v>
      </c>
      <c r="C933" t="s">
        <v>56</v>
      </c>
      <c r="D933" t="s">
        <v>10</v>
      </c>
      <c r="E933" t="s">
        <v>14</v>
      </c>
      <c r="F933" t="s">
        <v>51</v>
      </c>
      <c r="L933" t="s">
        <v>4295</v>
      </c>
      <c r="P933" t="s">
        <v>4296</v>
      </c>
      <c r="T933" t="s">
        <v>4297</v>
      </c>
      <c r="U933" t="s">
        <v>4298</v>
      </c>
      <c r="V933" t="s">
        <v>4296</v>
      </c>
      <c r="W933" t="s">
        <v>80</v>
      </c>
      <c r="X933" t="s">
        <v>4299</v>
      </c>
      <c r="Y933">
        <v>1</v>
      </c>
      <c r="Z933">
        <v>2372.958333333333</v>
      </c>
    </row>
    <row r="934" spans="1:26">
      <c r="A934" s="1">
        <v>932</v>
      </c>
      <c r="B934" t="str">
        <f>HYPERLINK("https://bugs.eclipse.org/bugs/show_bug.cgi?id=33631", "33631")</f>
        <v>33631</v>
      </c>
      <c r="C934" t="s">
        <v>149</v>
      </c>
      <c r="D934" t="s">
        <v>10</v>
      </c>
      <c r="E934" t="s">
        <v>12</v>
      </c>
      <c r="F934" t="s">
        <v>26</v>
      </c>
      <c r="L934" t="s">
        <v>4300</v>
      </c>
      <c r="N934" t="s">
        <v>4300</v>
      </c>
      <c r="T934" t="s">
        <v>4301</v>
      </c>
      <c r="U934" t="s">
        <v>4302</v>
      </c>
      <c r="V934" t="s">
        <v>4300</v>
      </c>
      <c r="W934" t="s">
        <v>86</v>
      </c>
      <c r="X934" t="s">
        <v>4303</v>
      </c>
      <c r="Y934">
        <v>0</v>
      </c>
      <c r="Z934">
        <v>3</v>
      </c>
    </row>
    <row r="935" spans="1:26">
      <c r="A935" s="1">
        <v>933</v>
      </c>
      <c r="B935" t="str">
        <f>HYPERLINK("https://bugs.eclipse.org/bugs/show_bug.cgi?id=33662", "33662")</f>
        <v>33662</v>
      </c>
      <c r="C935" t="s">
        <v>56</v>
      </c>
      <c r="D935" t="s">
        <v>10</v>
      </c>
      <c r="E935" t="s">
        <v>14</v>
      </c>
      <c r="F935" t="s">
        <v>26</v>
      </c>
      <c r="L935" t="s">
        <v>4304</v>
      </c>
      <c r="P935" t="s">
        <v>4305</v>
      </c>
      <c r="T935" t="s">
        <v>4306</v>
      </c>
      <c r="U935" t="s">
        <v>4307</v>
      </c>
      <c r="V935" t="s">
        <v>4305</v>
      </c>
      <c r="W935" t="s">
        <v>75</v>
      </c>
      <c r="X935" t="s">
        <v>4308</v>
      </c>
      <c r="Y935">
        <v>0</v>
      </c>
      <c r="Z935">
        <v>2371.958333333333</v>
      </c>
    </row>
    <row r="936" spans="1:26">
      <c r="A936" s="1">
        <v>934</v>
      </c>
      <c r="B936" t="str">
        <f>HYPERLINK("https://bugs.eclipse.org/bugs/show_bug.cgi?id=33668", "33668")</f>
        <v>33668</v>
      </c>
      <c r="C936" t="s">
        <v>4309</v>
      </c>
      <c r="D936" t="s">
        <v>10</v>
      </c>
      <c r="E936" t="s">
        <v>15</v>
      </c>
      <c r="F936" t="s">
        <v>150</v>
      </c>
      <c r="L936" t="s">
        <v>4310</v>
      </c>
      <c r="Q936" t="s">
        <v>4310</v>
      </c>
      <c r="T936" t="s">
        <v>4311</v>
      </c>
      <c r="U936" t="s">
        <v>4312</v>
      </c>
      <c r="V936" t="s">
        <v>4310</v>
      </c>
      <c r="W936" t="s">
        <v>60</v>
      </c>
      <c r="X936" t="s">
        <v>4313</v>
      </c>
      <c r="Y936">
        <v>0</v>
      </c>
      <c r="Z936">
        <v>0</v>
      </c>
    </row>
    <row r="937" spans="1:26">
      <c r="A937" s="1">
        <v>935</v>
      </c>
      <c r="B937" t="str">
        <f>HYPERLINK("https://bugs.eclipse.org/bugs/show_bug.cgi?id=33737", "33737")</f>
        <v>33737</v>
      </c>
      <c r="C937" t="s">
        <v>35</v>
      </c>
      <c r="D937" t="s">
        <v>11</v>
      </c>
      <c r="E937" t="s">
        <v>12</v>
      </c>
      <c r="F937" t="s">
        <v>26</v>
      </c>
      <c r="G937" t="s">
        <v>4314</v>
      </c>
      <c r="L937" t="s">
        <v>4315</v>
      </c>
      <c r="M937" t="s">
        <v>4316</v>
      </c>
      <c r="N937" t="s">
        <v>4315</v>
      </c>
      <c r="S937" t="s">
        <v>4317</v>
      </c>
      <c r="T937" t="s">
        <v>4318</v>
      </c>
      <c r="U937" t="s">
        <v>4319</v>
      </c>
      <c r="V937" t="s">
        <v>4316</v>
      </c>
      <c r="W937" t="s">
        <v>143</v>
      </c>
      <c r="X937" t="s">
        <v>4320</v>
      </c>
      <c r="Y937">
        <v>0</v>
      </c>
      <c r="Z937">
        <v>2156</v>
      </c>
    </row>
    <row r="938" spans="1:26">
      <c r="A938" s="1">
        <v>936</v>
      </c>
      <c r="B938" t="str">
        <f>HYPERLINK("https://bugs.eclipse.org/bugs/show_bug.cgi?id=33745", "33745")</f>
        <v>33745</v>
      </c>
      <c r="C938" t="s">
        <v>56</v>
      </c>
      <c r="D938" t="s">
        <v>10</v>
      </c>
      <c r="E938" t="s">
        <v>14</v>
      </c>
      <c r="F938" t="s">
        <v>26</v>
      </c>
      <c r="L938" t="s">
        <v>4321</v>
      </c>
      <c r="P938" t="s">
        <v>4321</v>
      </c>
      <c r="T938" t="s">
        <v>4322</v>
      </c>
      <c r="U938" t="s">
        <v>4321</v>
      </c>
      <c r="V938" t="s">
        <v>4321</v>
      </c>
      <c r="W938" t="s">
        <v>86</v>
      </c>
      <c r="X938" t="s">
        <v>4323</v>
      </c>
      <c r="Y938">
        <v>0</v>
      </c>
      <c r="Z938">
        <v>0</v>
      </c>
    </row>
    <row r="939" spans="1:26">
      <c r="A939" s="1">
        <v>937</v>
      </c>
      <c r="B939" t="str">
        <f>HYPERLINK("https://bugs.eclipse.org/bugs/show_bug.cgi?id=33768", "33768")</f>
        <v>33768</v>
      </c>
      <c r="C939" t="s">
        <v>56</v>
      </c>
      <c r="D939" t="s">
        <v>10</v>
      </c>
      <c r="E939" t="s">
        <v>14</v>
      </c>
      <c r="F939" t="s">
        <v>26</v>
      </c>
      <c r="L939" t="s">
        <v>4324</v>
      </c>
      <c r="P939" t="s">
        <v>4325</v>
      </c>
      <c r="T939" t="s">
        <v>4326</v>
      </c>
      <c r="U939" t="s">
        <v>4324</v>
      </c>
      <c r="V939" t="s">
        <v>4325</v>
      </c>
      <c r="W939" t="s">
        <v>75</v>
      </c>
      <c r="X939" t="s">
        <v>4327</v>
      </c>
      <c r="Y939">
        <v>0</v>
      </c>
      <c r="Z939">
        <v>2370.958333333333</v>
      </c>
    </row>
    <row r="940" spans="1:26">
      <c r="A940" s="1">
        <v>938</v>
      </c>
      <c r="B940" t="str">
        <f>HYPERLINK("https://bugs.eclipse.org/bugs/show_bug.cgi?id=33775", "33775")</f>
        <v>33775</v>
      </c>
      <c r="C940" t="s">
        <v>56</v>
      </c>
      <c r="D940" t="s">
        <v>10</v>
      </c>
      <c r="E940" t="s">
        <v>14</v>
      </c>
      <c r="F940" t="s">
        <v>26</v>
      </c>
      <c r="L940" t="s">
        <v>4328</v>
      </c>
      <c r="P940" t="s">
        <v>4329</v>
      </c>
      <c r="T940" t="s">
        <v>4330</v>
      </c>
      <c r="U940" t="s">
        <v>4328</v>
      </c>
      <c r="V940" t="s">
        <v>4329</v>
      </c>
      <c r="W940" t="s">
        <v>75</v>
      </c>
      <c r="X940" t="s">
        <v>4331</v>
      </c>
      <c r="Y940">
        <v>0</v>
      </c>
      <c r="Z940">
        <v>2370.958333333333</v>
      </c>
    </row>
    <row r="941" spans="1:26">
      <c r="A941" s="1">
        <v>939</v>
      </c>
      <c r="B941" t="str">
        <f>HYPERLINK("https://bugs.eclipse.org/bugs/show_bug.cgi?id=33781", "33781")</f>
        <v>33781</v>
      </c>
      <c r="C941" t="s">
        <v>56</v>
      </c>
      <c r="D941" t="s">
        <v>10</v>
      </c>
      <c r="E941" t="s">
        <v>14</v>
      </c>
      <c r="F941" t="s">
        <v>26</v>
      </c>
      <c r="G941" t="s">
        <v>4332</v>
      </c>
      <c r="L941" t="s">
        <v>4333</v>
      </c>
      <c r="P941" t="s">
        <v>4334</v>
      </c>
      <c r="T941" t="s">
        <v>4335</v>
      </c>
      <c r="U941" t="s">
        <v>4333</v>
      </c>
      <c r="V941" t="s">
        <v>4334</v>
      </c>
      <c r="W941" t="s">
        <v>75</v>
      </c>
      <c r="X941" t="s">
        <v>4336</v>
      </c>
      <c r="Y941">
        <v>0</v>
      </c>
      <c r="Z941">
        <v>2370.958333333333</v>
      </c>
    </row>
    <row r="942" spans="1:26">
      <c r="A942" s="1">
        <v>940</v>
      </c>
      <c r="B942" t="str">
        <f>HYPERLINK("https://bugs.eclipse.org/bugs/show_bug.cgi?id=33788", "33788")</f>
        <v>33788</v>
      </c>
      <c r="C942" t="s">
        <v>56</v>
      </c>
      <c r="D942" t="s">
        <v>10</v>
      </c>
      <c r="E942" t="s">
        <v>14</v>
      </c>
      <c r="F942" t="s">
        <v>26</v>
      </c>
      <c r="L942" t="s">
        <v>4337</v>
      </c>
      <c r="P942" t="s">
        <v>4338</v>
      </c>
      <c r="T942" t="s">
        <v>4339</v>
      </c>
      <c r="U942" t="s">
        <v>4337</v>
      </c>
      <c r="V942" t="s">
        <v>4338</v>
      </c>
      <c r="W942" t="s">
        <v>75</v>
      </c>
      <c r="X942" t="s">
        <v>4340</v>
      </c>
      <c r="Y942">
        <v>0</v>
      </c>
      <c r="Z942">
        <v>2370.958333333333</v>
      </c>
    </row>
    <row r="943" spans="1:26">
      <c r="A943" s="1">
        <v>941</v>
      </c>
      <c r="B943" t="str">
        <f>HYPERLINK("https://bugs.eclipse.org/bugs/show_bug.cgi?id=33797", "33797")</f>
        <v>33797</v>
      </c>
      <c r="C943" t="s">
        <v>56</v>
      </c>
      <c r="D943" t="s">
        <v>10</v>
      </c>
      <c r="E943" t="s">
        <v>14</v>
      </c>
      <c r="F943" t="s">
        <v>26</v>
      </c>
      <c r="G943" t="s">
        <v>4341</v>
      </c>
      <c r="L943" t="s">
        <v>4342</v>
      </c>
      <c r="P943" t="s">
        <v>4343</v>
      </c>
      <c r="T943" t="s">
        <v>4344</v>
      </c>
      <c r="U943" t="s">
        <v>4342</v>
      </c>
      <c r="V943" t="s">
        <v>4343</v>
      </c>
      <c r="W943" t="s">
        <v>75</v>
      </c>
      <c r="X943" t="s">
        <v>4345</v>
      </c>
      <c r="Y943">
        <v>0</v>
      </c>
      <c r="Z943">
        <v>2370.958333333333</v>
      </c>
    </row>
    <row r="944" spans="1:26">
      <c r="A944" s="1">
        <v>942</v>
      </c>
      <c r="B944" t="str">
        <f>HYPERLINK("https://bugs.eclipse.org/bugs/show_bug.cgi?id=33833", "33833")</f>
        <v>33833</v>
      </c>
      <c r="C944" t="s">
        <v>149</v>
      </c>
      <c r="D944" t="s">
        <v>10</v>
      </c>
      <c r="E944" t="s">
        <v>12</v>
      </c>
      <c r="F944" t="s">
        <v>26</v>
      </c>
      <c r="L944" t="s">
        <v>4346</v>
      </c>
      <c r="N944" t="s">
        <v>4346</v>
      </c>
      <c r="T944" t="s">
        <v>4347</v>
      </c>
      <c r="U944" t="s">
        <v>4348</v>
      </c>
      <c r="V944" t="s">
        <v>4346</v>
      </c>
      <c r="W944" t="s">
        <v>86</v>
      </c>
      <c r="X944" t="s">
        <v>4349</v>
      </c>
      <c r="Y944">
        <v>0</v>
      </c>
      <c r="Z944">
        <v>0</v>
      </c>
    </row>
    <row r="945" spans="1:26">
      <c r="A945" s="1">
        <v>943</v>
      </c>
      <c r="B945" t="str">
        <f>HYPERLINK("https://bugs.eclipse.org/bugs/show_bug.cgi?id=33840", "33840")</f>
        <v>33840</v>
      </c>
      <c r="C945" t="s">
        <v>56</v>
      </c>
      <c r="D945" t="s">
        <v>10</v>
      </c>
      <c r="E945" t="s">
        <v>14</v>
      </c>
      <c r="F945" t="s">
        <v>26</v>
      </c>
      <c r="G945" t="s">
        <v>4350</v>
      </c>
      <c r="L945" t="s">
        <v>4351</v>
      </c>
      <c r="P945" t="s">
        <v>4352</v>
      </c>
      <c r="T945" t="s">
        <v>4353</v>
      </c>
      <c r="U945" t="s">
        <v>4351</v>
      </c>
      <c r="V945" t="s">
        <v>4352</v>
      </c>
      <c r="W945" t="s">
        <v>75</v>
      </c>
      <c r="X945" t="s">
        <v>4354</v>
      </c>
      <c r="Y945">
        <v>0</v>
      </c>
      <c r="Z945">
        <v>2369.958333333333</v>
      </c>
    </row>
    <row r="946" spans="1:26">
      <c r="A946" s="1">
        <v>944</v>
      </c>
      <c r="B946" t="str">
        <f>HYPERLINK("https://bugs.eclipse.org/bugs/show_bug.cgi?id=33894", "33894")</f>
        <v>33894</v>
      </c>
      <c r="C946" t="s">
        <v>56</v>
      </c>
      <c r="D946" t="s">
        <v>10</v>
      </c>
      <c r="E946" t="s">
        <v>14</v>
      </c>
      <c r="F946" t="s">
        <v>26</v>
      </c>
      <c r="L946" t="s">
        <v>4355</v>
      </c>
      <c r="P946" t="s">
        <v>4356</v>
      </c>
      <c r="T946" t="s">
        <v>4357</v>
      </c>
      <c r="U946" t="s">
        <v>4358</v>
      </c>
      <c r="V946" t="s">
        <v>4356</v>
      </c>
      <c r="W946" t="s">
        <v>75</v>
      </c>
      <c r="X946" t="s">
        <v>4359</v>
      </c>
      <c r="Y946">
        <v>0</v>
      </c>
      <c r="Z946">
        <v>2369.958333333333</v>
      </c>
    </row>
    <row r="947" spans="1:26">
      <c r="A947" s="1">
        <v>945</v>
      </c>
      <c r="B947" t="str">
        <f>HYPERLINK("https://bugs.eclipse.org/bugs/show_bug.cgi?id=33960", "33960")</f>
        <v>33960</v>
      </c>
      <c r="C947" t="s">
        <v>4360</v>
      </c>
      <c r="D947" t="s">
        <v>10</v>
      </c>
      <c r="E947" t="s">
        <v>15</v>
      </c>
      <c r="F947" t="s">
        <v>26</v>
      </c>
      <c r="L947" t="s">
        <v>4361</v>
      </c>
      <c r="Q947" t="s">
        <v>4361</v>
      </c>
      <c r="T947" t="s">
        <v>4362</v>
      </c>
      <c r="U947" t="s">
        <v>4363</v>
      </c>
      <c r="V947" t="s">
        <v>4361</v>
      </c>
      <c r="W947" t="s">
        <v>49</v>
      </c>
      <c r="X947" t="s">
        <v>4364</v>
      </c>
      <c r="Y947">
        <v>0</v>
      </c>
      <c r="Z947">
        <v>0</v>
      </c>
    </row>
    <row r="948" spans="1:26">
      <c r="A948" s="1">
        <v>946</v>
      </c>
      <c r="B948" t="str">
        <f>HYPERLINK("https://bugs.eclipse.org/bugs/show_bug.cgi?id=34065", "34065")</f>
        <v>34065</v>
      </c>
      <c r="C948" t="s">
        <v>35</v>
      </c>
      <c r="D948" t="s">
        <v>11</v>
      </c>
      <c r="E948" t="s">
        <v>12</v>
      </c>
      <c r="F948" t="s">
        <v>26</v>
      </c>
      <c r="G948" t="s">
        <v>4365</v>
      </c>
      <c r="L948" t="s">
        <v>4366</v>
      </c>
      <c r="M948" t="s">
        <v>4367</v>
      </c>
      <c r="N948" t="s">
        <v>4366</v>
      </c>
      <c r="T948" t="s">
        <v>4368</v>
      </c>
      <c r="U948" t="s">
        <v>4369</v>
      </c>
      <c r="V948" t="s">
        <v>4367</v>
      </c>
      <c r="W948" t="s">
        <v>143</v>
      </c>
      <c r="X948" t="s">
        <v>4370</v>
      </c>
      <c r="Y948">
        <v>4</v>
      </c>
      <c r="Z948">
        <v>13</v>
      </c>
    </row>
    <row r="949" spans="1:26">
      <c r="A949" s="1">
        <v>947</v>
      </c>
      <c r="B949" t="str">
        <f>HYPERLINK("https://bugs.eclipse.org/bugs/show_bug.cgi?id=34066", "34066")</f>
        <v>34066</v>
      </c>
      <c r="C949" t="s">
        <v>149</v>
      </c>
      <c r="D949" t="s">
        <v>10</v>
      </c>
      <c r="E949" t="s">
        <v>12</v>
      </c>
      <c r="F949" t="s">
        <v>26</v>
      </c>
      <c r="L949" t="s">
        <v>4371</v>
      </c>
      <c r="N949" t="s">
        <v>4371</v>
      </c>
      <c r="S949" t="s">
        <v>4372</v>
      </c>
      <c r="T949" t="s">
        <v>4373</v>
      </c>
      <c r="U949" t="s">
        <v>4374</v>
      </c>
      <c r="V949" t="s">
        <v>4371</v>
      </c>
      <c r="W949" t="s">
        <v>86</v>
      </c>
      <c r="X949" t="s">
        <v>4375</v>
      </c>
      <c r="Y949">
        <v>0</v>
      </c>
      <c r="Z949">
        <v>524.95833333333337</v>
      </c>
    </row>
    <row r="950" spans="1:26">
      <c r="A950" s="1">
        <v>948</v>
      </c>
      <c r="B950" t="str">
        <f>HYPERLINK("https://bugs.eclipse.org/bugs/show_bug.cgi?id=34068", "34068")</f>
        <v>34068</v>
      </c>
      <c r="C950" t="s">
        <v>35</v>
      </c>
      <c r="D950" t="s">
        <v>11</v>
      </c>
      <c r="E950" t="s">
        <v>12</v>
      </c>
      <c r="F950" t="s">
        <v>26</v>
      </c>
      <c r="L950" t="s">
        <v>4376</v>
      </c>
      <c r="M950" t="s">
        <v>4377</v>
      </c>
      <c r="N950" t="s">
        <v>4376</v>
      </c>
      <c r="T950" t="s">
        <v>4378</v>
      </c>
      <c r="U950" t="s">
        <v>4379</v>
      </c>
      <c r="V950" t="s">
        <v>4377</v>
      </c>
      <c r="W950" t="s">
        <v>143</v>
      </c>
      <c r="X950" t="s">
        <v>4380</v>
      </c>
      <c r="Y950">
        <v>0</v>
      </c>
      <c r="Z950">
        <v>13</v>
      </c>
    </row>
    <row r="951" spans="1:26">
      <c r="A951" s="1">
        <v>949</v>
      </c>
      <c r="B951" t="str">
        <f>HYPERLINK("https://bugs.eclipse.org/bugs/show_bug.cgi?id=34112", "34112")</f>
        <v>34112</v>
      </c>
      <c r="C951" t="s">
        <v>2418</v>
      </c>
      <c r="D951" t="s">
        <v>10</v>
      </c>
      <c r="E951" t="s">
        <v>15</v>
      </c>
      <c r="F951" t="s">
        <v>26</v>
      </c>
      <c r="L951" t="s">
        <v>4381</v>
      </c>
      <c r="Q951" t="s">
        <v>4381</v>
      </c>
      <c r="S951" t="s">
        <v>4382</v>
      </c>
      <c r="T951" t="s">
        <v>4383</v>
      </c>
      <c r="U951" t="s">
        <v>4384</v>
      </c>
      <c r="V951" t="s">
        <v>4381</v>
      </c>
      <c r="W951" t="s">
        <v>86</v>
      </c>
      <c r="X951" t="s">
        <v>4385</v>
      </c>
      <c r="Y951">
        <v>18</v>
      </c>
      <c r="Z951">
        <v>48.958333333333343</v>
      </c>
    </row>
    <row r="952" spans="1:26">
      <c r="A952" s="1">
        <v>950</v>
      </c>
      <c r="B952" t="str">
        <f>HYPERLINK("https://bugs.eclipse.org/bugs/show_bug.cgi?id=34157", "34157")</f>
        <v>34157</v>
      </c>
      <c r="C952" t="s">
        <v>140</v>
      </c>
      <c r="D952" t="s">
        <v>10</v>
      </c>
      <c r="E952" t="s">
        <v>16</v>
      </c>
      <c r="F952" t="s">
        <v>26</v>
      </c>
      <c r="L952" t="s">
        <v>4386</v>
      </c>
      <c r="R952" t="s">
        <v>4386</v>
      </c>
      <c r="T952" t="s">
        <v>4387</v>
      </c>
      <c r="U952" t="s">
        <v>4388</v>
      </c>
      <c r="V952" t="s">
        <v>4389</v>
      </c>
      <c r="W952" t="s">
        <v>387</v>
      </c>
      <c r="X952" t="s">
        <v>4390</v>
      </c>
      <c r="Y952">
        <v>1</v>
      </c>
      <c r="Z952">
        <v>1199.958333333333</v>
      </c>
    </row>
    <row r="953" spans="1:26">
      <c r="A953" s="1">
        <v>951</v>
      </c>
      <c r="B953" t="str">
        <f>HYPERLINK("https://bugs.eclipse.org/bugs/show_bug.cgi?id=34217", "34217")</f>
        <v>34217</v>
      </c>
      <c r="C953" t="s">
        <v>140</v>
      </c>
      <c r="D953" t="s">
        <v>10</v>
      </c>
      <c r="E953" t="s">
        <v>16</v>
      </c>
      <c r="F953" t="s">
        <v>26</v>
      </c>
      <c r="L953" t="s">
        <v>4391</v>
      </c>
      <c r="R953" t="s">
        <v>4391</v>
      </c>
      <c r="T953" t="s">
        <v>4392</v>
      </c>
      <c r="U953" t="s">
        <v>4393</v>
      </c>
      <c r="V953" t="s">
        <v>4391</v>
      </c>
      <c r="W953" t="s">
        <v>134</v>
      </c>
      <c r="X953" t="s">
        <v>4394</v>
      </c>
      <c r="Y953">
        <v>0</v>
      </c>
      <c r="Z953">
        <v>3</v>
      </c>
    </row>
    <row r="954" spans="1:26">
      <c r="A954" s="1">
        <v>952</v>
      </c>
      <c r="B954" t="str">
        <f>HYPERLINK("https://bugs.eclipse.org/bugs/show_bug.cgi?id=34231", "34231")</f>
        <v>34231</v>
      </c>
      <c r="C954" t="s">
        <v>149</v>
      </c>
      <c r="D954" t="s">
        <v>10</v>
      </c>
      <c r="E954" t="s">
        <v>12</v>
      </c>
      <c r="F954" t="s">
        <v>150</v>
      </c>
      <c r="G954" t="s">
        <v>4395</v>
      </c>
      <c r="L954" t="s">
        <v>4396</v>
      </c>
      <c r="N954" t="s">
        <v>4396</v>
      </c>
      <c r="T954" t="s">
        <v>4397</v>
      </c>
      <c r="U954" t="s">
        <v>4398</v>
      </c>
      <c r="V954" t="s">
        <v>4396</v>
      </c>
      <c r="W954" t="s">
        <v>60</v>
      </c>
      <c r="X954" t="s">
        <v>4399</v>
      </c>
      <c r="Y954">
        <v>0</v>
      </c>
      <c r="Z954">
        <v>133.95833333333329</v>
      </c>
    </row>
    <row r="955" spans="1:26">
      <c r="A955" s="1">
        <v>953</v>
      </c>
      <c r="B955" t="str">
        <f>HYPERLINK("https://bugs.eclipse.org/bugs/show_bug.cgi?id=34242", "34242")</f>
        <v>34242</v>
      </c>
      <c r="C955" t="s">
        <v>140</v>
      </c>
      <c r="D955" t="s">
        <v>10</v>
      </c>
      <c r="E955" t="s">
        <v>16</v>
      </c>
      <c r="F955" t="s">
        <v>26</v>
      </c>
      <c r="L955" t="s">
        <v>4400</v>
      </c>
      <c r="R955" t="s">
        <v>4400</v>
      </c>
      <c r="T955" t="s">
        <v>4401</v>
      </c>
      <c r="U955" t="s">
        <v>4402</v>
      </c>
      <c r="V955" t="s">
        <v>4400</v>
      </c>
      <c r="W955" t="s">
        <v>86</v>
      </c>
      <c r="X955" t="s">
        <v>4403</v>
      </c>
      <c r="Y955">
        <v>1</v>
      </c>
      <c r="Z955">
        <v>15</v>
      </c>
    </row>
    <row r="956" spans="1:26">
      <c r="A956" s="1">
        <v>954</v>
      </c>
      <c r="B956" t="str">
        <f>HYPERLINK("https://bugs.eclipse.org/bugs/show_bug.cgi?id=34307", "34307")</f>
        <v>34307</v>
      </c>
      <c r="C956" t="s">
        <v>149</v>
      </c>
      <c r="D956" t="s">
        <v>10</v>
      </c>
      <c r="E956" t="s">
        <v>12</v>
      </c>
      <c r="F956" t="s">
        <v>26</v>
      </c>
      <c r="L956" t="s">
        <v>4404</v>
      </c>
      <c r="N956" t="s">
        <v>4404</v>
      </c>
      <c r="S956" t="s">
        <v>4405</v>
      </c>
      <c r="T956" t="s">
        <v>4406</v>
      </c>
      <c r="U956" t="s">
        <v>4407</v>
      </c>
      <c r="V956" t="s">
        <v>4404</v>
      </c>
      <c r="W956" t="s">
        <v>86</v>
      </c>
      <c r="X956" t="s">
        <v>4408</v>
      </c>
      <c r="Y956">
        <v>13</v>
      </c>
      <c r="Z956">
        <v>45.958333333333343</v>
      </c>
    </row>
    <row r="957" spans="1:26">
      <c r="A957" s="1">
        <v>955</v>
      </c>
      <c r="B957" t="str">
        <f>HYPERLINK("https://bugs.eclipse.org/bugs/show_bug.cgi?id=34310", "34310")</f>
        <v>34310</v>
      </c>
      <c r="C957" t="s">
        <v>4409</v>
      </c>
      <c r="D957" t="s">
        <v>10</v>
      </c>
      <c r="E957" t="s">
        <v>15</v>
      </c>
      <c r="F957" t="s">
        <v>26</v>
      </c>
      <c r="L957" t="s">
        <v>4410</v>
      </c>
      <c r="P957" t="s">
        <v>4411</v>
      </c>
      <c r="Q957" t="s">
        <v>4412</v>
      </c>
      <c r="T957" t="s">
        <v>4413</v>
      </c>
      <c r="U957" t="s">
        <v>4410</v>
      </c>
      <c r="V957" t="s">
        <v>4412</v>
      </c>
      <c r="W957" t="s">
        <v>851</v>
      </c>
      <c r="X957" t="s">
        <v>4414</v>
      </c>
      <c r="Y957">
        <v>13</v>
      </c>
      <c r="Z957">
        <v>3433.958333333333</v>
      </c>
    </row>
    <row r="958" spans="1:26">
      <c r="A958" s="1">
        <v>956</v>
      </c>
      <c r="B958" t="str">
        <f>HYPERLINK("https://bugs.eclipse.org/bugs/show_bug.cgi?id=34315", "34315")</f>
        <v>34315</v>
      </c>
      <c r="C958" t="s">
        <v>149</v>
      </c>
      <c r="D958" t="s">
        <v>10</v>
      </c>
      <c r="E958" t="s">
        <v>12</v>
      </c>
      <c r="F958" t="s">
        <v>26</v>
      </c>
      <c r="L958" t="s">
        <v>4415</v>
      </c>
      <c r="N958" t="s">
        <v>4415</v>
      </c>
      <c r="S958" t="s">
        <v>4416</v>
      </c>
      <c r="T958" t="s">
        <v>4417</v>
      </c>
      <c r="U958" t="s">
        <v>4418</v>
      </c>
      <c r="V958" t="s">
        <v>4415</v>
      </c>
      <c r="W958" t="s">
        <v>143</v>
      </c>
      <c r="X958" t="s">
        <v>4419</v>
      </c>
      <c r="Y958">
        <v>13</v>
      </c>
      <c r="Z958">
        <v>48.958333333333343</v>
      </c>
    </row>
    <row r="959" spans="1:26">
      <c r="A959" s="1">
        <v>957</v>
      </c>
      <c r="B959" t="str">
        <f>HYPERLINK("https://bugs.eclipse.org/bugs/show_bug.cgi?id=34396", "34396")</f>
        <v>34396</v>
      </c>
      <c r="C959" t="s">
        <v>56</v>
      </c>
      <c r="D959" t="s">
        <v>10</v>
      </c>
      <c r="E959" t="s">
        <v>14</v>
      </c>
      <c r="F959" t="s">
        <v>26</v>
      </c>
      <c r="L959" t="s">
        <v>4420</v>
      </c>
      <c r="P959" t="s">
        <v>4421</v>
      </c>
      <c r="T959" t="s">
        <v>4422</v>
      </c>
      <c r="U959" t="s">
        <v>4423</v>
      </c>
      <c r="V959" t="s">
        <v>4421</v>
      </c>
      <c r="W959" t="s">
        <v>75</v>
      </c>
      <c r="X959" t="s">
        <v>4424</v>
      </c>
      <c r="Y959">
        <v>0</v>
      </c>
      <c r="Z959">
        <v>2364.958333333333</v>
      </c>
    </row>
    <row r="960" spans="1:26">
      <c r="A960" s="1">
        <v>958</v>
      </c>
      <c r="B960" t="str">
        <f>HYPERLINK("https://bugs.eclipse.org/bugs/show_bug.cgi?id=34425", "34425")</f>
        <v>34425</v>
      </c>
      <c r="C960" t="s">
        <v>56</v>
      </c>
      <c r="D960" t="s">
        <v>10</v>
      </c>
      <c r="E960" t="s">
        <v>14</v>
      </c>
      <c r="F960" t="s">
        <v>26</v>
      </c>
      <c r="L960" t="s">
        <v>4425</v>
      </c>
      <c r="P960" t="s">
        <v>4425</v>
      </c>
      <c r="T960" t="s">
        <v>4426</v>
      </c>
      <c r="U960" t="s">
        <v>4425</v>
      </c>
      <c r="V960" t="s">
        <v>4425</v>
      </c>
      <c r="W960" t="s">
        <v>134</v>
      </c>
      <c r="X960" t="s">
        <v>4427</v>
      </c>
      <c r="Y960">
        <v>1</v>
      </c>
      <c r="Z960">
        <v>1</v>
      </c>
    </row>
    <row r="961" spans="1:26">
      <c r="A961" s="1">
        <v>959</v>
      </c>
      <c r="B961" t="str">
        <f>HYPERLINK("https://bugs.eclipse.org/bugs/show_bug.cgi?id=34526", "34526")</f>
        <v>34526</v>
      </c>
      <c r="C961" t="s">
        <v>56</v>
      </c>
      <c r="D961" t="s">
        <v>10</v>
      </c>
      <c r="E961" t="s">
        <v>14</v>
      </c>
      <c r="F961" t="s">
        <v>26</v>
      </c>
      <c r="L961" t="s">
        <v>4428</v>
      </c>
      <c r="P961" t="s">
        <v>4429</v>
      </c>
      <c r="T961" t="s">
        <v>4430</v>
      </c>
      <c r="U961" t="s">
        <v>4431</v>
      </c>
      <c r="V961" t="s">
        <v>4429</v>
      </c>
      <c r="W961" t="s">
        <v>80</v>
      </c>
      <c r="X961" t="s">
        <v>4432</v>
      </c>
      <c r="Y961">
        <v>1</v>
      </c>
      <c r="Z961">
        <v>2364.958333333333</v>
      </c>
    </row>
    <row r="962" spans="1:26">
      <c r="A962" s="1">
        <v>960</v>
      </c>
      <c r="B962" t="str">
        <f>HYPERLINK("https://bugs.eclipse.org/bugs/show_bug.cgi?id=34542", "34542")</f>
        <v>34542</v>
      </c>
      <c r="C962" t="s">
        <v>56</v>
      </c>
      <c r="D962" t="s">
        <v>10</v>
      </c>
      <c r="E962" t="s">
        <v>14</v>
      </c>
      <c r="F962" t="s">
        <v>26</v>
      </c>
      <c r="L962" t="s">
        <v>4433</v>
      </c>
      <c r="P962" t="s">
        <v>4434</v>
      </c>
      <c r="T962" t="s">
        <v>4435</v>
      </c>
      <c r="U962" t="s">
        <v>4436</v>
      </c>
      <c r="V962" t="s">
        <v>4434</v>
      </c>
      <c r="W962" t="s">
        <v>75</v>
      </c>
      <c r="X962" t="s">
        <v>4437</v>
      </c>
      <c r="Y962">
        <v>0</v>
      </c>
      <c r="Z962">
        <v>2364.958333333333</v>
      </c>
    </row>
    <row r="963" spans="1:26">
      <c r="A963" s="1">
        <v>961</v>
      </c>
      <c r="B963" t="str">
        <f>HYPERLINK("https://bugs.eclipse.org/bugs/show_bug.cgi?id=34568", "34568")</f>
        <v>34568</v>
      </c>
      <c r="C963" t="s">
        <v>191</v>
      </c>
      <c r="D963" t="s">
        <v>192</v>
      </c>
      <c r="E963" t="s">
        <v>14</v>
      </c>
      <c r="F963" t="s">
        <v>26</v>
      </c>
      <c r="G963" t="s">
        <v>4438</v>
      </c>
      <c r="H963" t="s">
        <v>4439</v>
      </c>
      <c r="P963" t="s">
        <v>4440</v>
      </c>
      <c r="T963" t="s">
        <v>4441</v>
      </c>
      <c r="U963" t="s">
        <v>4442</v>
      </c>
      <c r="V963" t="s">
        <v>4440</v>
      </c>
      <c r="W963" t="s">
        <v>65</v>
      </c>
      <c r="X963" t="s">
        <v>4443</v>
      </c>
      <c r="Y963">
        <v>0</v>
      </c>
      <c r="Z963">
        <v>6176</v>
      </c>
    </row>
    <row r="964" spans="1:26">
      <c r="A964" s="1">
        <v>962</v>
      </c>
      <c r="B964" t="str">
        <f>HYPERLINK("https://bugs.eclipse.org/bugs/show_bug.cgi?id=34591", "34591")</f>
        <v>34591</v>
      </c>
      <c r="C964" t="s">
        <v>149</v>
      </c>
      <c r="D964" t="s">
        <v>10</v>
      </c>
      <c r="E964" t="s">
        <v>12</v>
      </c>
      <c r="F964" t="s">
        <v>26</v>
      </c>
      <c r="L964" t="s">
        <v>4444</v>
      </c>
      <c r="N964" t="s">
        <v>4444</v>
      </c>
      <c r="S964" t="s">
        <v>4445</v>
      </c>
      <c r="T964" t="s">
        <v>4446</v>
      </c>
      <c r="U964" t="s">
        <v>4447</v>
      </c>
      <c r="V964" t="s">
        <v>4444</v>
      </c>
      <c r="W964" t="s">
        <v>60</v>
      </c>
      <c r="X964" t="s">
        <v>4448</v>
      </c>
      <c r="Y964">
        <v>1</v>
      </c>
      <c r="Z964">
        <v>28.958333333333329</v>
      </c>
    </row>
    <row r="965" spans="1:26">
      <c r="A965" s="1">
        <v>963</v>
      </c>
      <c r="B965" t="str">
        <f>HYPERLINK("https://bugs.eclipse.org/bugs/show_bug.cgi?id=34617", "34617")</f>
        <v>34617</v>
      </c>
      <c r="C965" t="s">
        <v>56</v>
      </c>
      <c r="D965" t="s">
        <v>10</v>
      </c>
      <c r="E965" t="s">
        <v>14</v>
      </c>
      <c r="F965" t="s">
        <v>26</v>
      </c>
      <c r="L965" t="s">
        <v>4449</v>
      </c>
      <c r="P965" t="s">
        <v>4450</v>
      </c>
      <c r="T965" t="s">
        <v>4451</v>
      </c>
      <c r="U965" t="s">
        <v>4452</v>
      </c>
      <c r="V965" t="s">
        <v>4450</v>
      </c>
      <c r="W965" t="s">
        <v>75</v>
      </c>
      <c r="X965" t="s">
        <v>4453</v>
      </c>
      <c r="Y965">
        <v>0</v>
      </c>
      <c r="Z965">
        <v>2363.958333333333</v>
      </c>
    </row>
    <row r="966" spans="1:26">
      <c r="A966" s="1">
        <v>964</v>
      </c>
      <c r="B966" t="str">
        <f>HYPERLINK("https://bugs.eclipse.org/bugs/show_bug.cgi?id=34733", "34733")</f>
        <v>34733</v>
      </c>
      <c r="C966" t="s">
        <v>140</v>
      </c>
      <c r="D966" t="s">
        <v>10</v>
      </c>
      <c r="E966" t="s">
        <v>16</v>
      </c>
      <c r="F966" t="s">
        <v>26</v>
      </c>
      <c r="L966" t="s">
        <v>4454</v>
      </c>
      <c r="R966" t="s">
        <v>4454</v>
      </c>
      <c r="T966" t="s">
        <v>4455</v>
      </c>
      <c r="U966" t="s">
        <v>4456</v>
      </c>
      <c r="V966" t="s">
        <v>4454</v>
      </c>
      <c r="W966" t="s">
        <v>60</v>
      </c>
      <c r="X966" t="s">
        <v>4457</v>
      </c>
      <c r="Y966">
        <v>1</v>
      </c>
      <c r="Z966">
        <v>36.958333333333343</v>
      </c>
    </row>
    <row r="967" spans="1:26">
      <c r="A967" s="1">
        <v>965</v>
      </c>
      <c r="B967" t="str">
        <f>HYPERLINK("https://bugs.eclipse.org/bugs/show_bug.cgi?id=34750", "34750")</f>
        <v>34750</v>
      </c>
      <c r="C967" t="s">
        <v>140</v>
      </c>
      <c r="D967" t="s">
        <v>10</v>
      </c>
      <c r="E967" t="s">
        <v>16</v>
      </c>
      <c r="F967" t="s">
        <v>150</v>
      </c>
      <c r="L967" t="s">
        <v>4458</v>
      </c>
      <c r="R967" t="s">
        <v>4458</v>
      </c>
      <c r="T967" t="s">
        <v>4459</v>
      </c>
      <c r="U967" t="s">
        <v>4460</v>
      </c>
      <c r="V967" t="s">
        <v>4458</v>
      </c>
      <c r="W967" t="s">
        <v>143</v>
      </c>
      <c r="X967" t="s">
        <v>4461</v>
      </c>
      <c r="Y967">
        <v>1</v>
      </c>
      <c r="Z967">
        <v>7</v>
      </c>
    </row>
    <row r="968" spans="1:26">
      <c r="A968" s="1">
        <v>966</v>
      </c>
      <c r="B968" t="str">
        <f>HYPERLINK("https://bugs.eclipse.org/bugs/show_bug.cgi?id=34759", "34759")</f>
        <v>34759</v>
      </c>
      <c r="C968" t="s">
        <v>2160</v>
      </c>
      <c r="D968" t="s">
        <v>192</v>
      </c>
      <c r="E968" t="s">
        <v>16</v>
      </c>
      <c r="F968" t="s">
        <v>26</v>
      </c>
      <c r="L968" t="s">
        <v>4462</v>
      </c>
      <c r="R968" t="s">
        <v>4462</v>
      </c>
      <c r="T968" t="s">
        <v>4463</v>
      </c>
      <c r="U968" t="s">
        <v>4464</v>
      </c>
      <c r="V968" t="s">
        <v>4465</v>
      </c>
      <c r="W968" t="s">
        <v>1161</v>
      </c>
      <c r="X968" t="s">
        <v>4466</v>
      </c>
      <c r="Y968">
        <v>0</v>
      </c>
      <c r="Z968">
        <v>2</v>
      </c>
    </row>
    <row r="969" spans="1:26">
      <c r="A969" s="1">
        <v>967</v>
      </c>
      <c r="B969" t="str">
        <f>HYPERLINK("https://bugs.eclipse.org/bugs/show_bug.cgi?id=34795", "34795")</f>
        <v>34795</v>
      </c>
      <c r="C969" t="s">
        <v>56</v>
      </c>
      <c r="D969" t="s">
        <v>10</v>
      </c>
      <c r="E969" t="s">
        <v>14</v>
      </c>
      <c r="F969" t="s">
        <v>26</v>
      </c>
      <c r="L969" t="s">
        <v>4467</v>
      </c>
      <c r="P969" t="s">
        <v>4468</v>
      </c>
      <c r="T969" t="s">
        <v>4469</v>
      </c>
      <c r="U969" t="s">
        <v>4467</v>
      </c>
      <c r="V969" t="s">
        <v>4468</v>
      </c>
      <c r="W969" t="s">
        <v>75</v>
      </c>
      <c r="X969" t="s">
        <v>4470</v>
      </c>
      <c r="Y969">
        <v>0</v>
      </c>
      <c r="Z969">
        <v>2362.958333333333</v>
      </c>
    </row>
    <row r="970" spans="1:26">
      <c r="A970" s="1">
        <v>968</v>
      </c>
      <c r="B970" t="str">
        <f>HYPERLINK("https://bugs.eclipse.org/bugs/show_bug.cgi?id=34836", "34836")</f>
        <v>34836</v>
      </c>
      <c r="C970" t="s">
        <v>140</v>
      </c>
      <c r="D970" t="s">
        <v>10</v>
      </c>
      <c r="E970" t="s">
        <v>16</v>
      </c>
      <c r="F970" t="s">
        <v>150</v>
      </c>
      <c r="L970" t="s">
        <v>4471</v>
      </c>
      <c r="R970" t="s">
        <v>4471</v>
      </c>
      <c r="S970" t="s">
        <v>4472</v>
      </c>
      <c r="T970" t="s">
        <v>4473</v>
      </c>
      <c r="U970" t="s">
        <v>4474</v>
      </c>
      <c r="V970" t="s">
        <v>4471</v>
      </c>
      <c r="W970" t="s">
        <v>60</v>
      </c>
      <c r="X970" t="s">
        <v>4475</v>
      </c>
      <c r="Y970">
        <v>0</v>
      </c>
      <c r="Z970">
        <v>27.958333333333329</v>
      </c>
    </row>
    <row r="971" spans="1:26">
      <c r="A971" s="1">
        <v>969</v>
      </c>
      <c r="B971" t="str">
        <f>HYPERLINK("https://bugs.eclipse.org/bugs/show_bug.cgi?id=34857", "34857")</f>
        <v>34857</v>
      </c>
      <c r="C971" t="s">
        <v>4476</v>
      </c>
      <c r="D971" t="s">
        <v>10</v>
      </c>
      <c r="E971" t="s">
        <v>15</v>
      </c>
      <c r="F971" t="s">
        <v>26</v>
      </c>
      <c r="G971" t="s">
        <v>4477</v>
      </c>
      <c r="L971" t="s">
        <v>4478</v>
      </c>
      <c r="Q971" t="s">
        <v>4478</v>
      </c>
      <c r="S971" t="s">
        <v>4479</v>
      </c>
      <c r="T971" t="s">
        <v>4480</v>
      </c>
      <c r="U971" t="s">
        <v>4481</v>
      </c>
      <c r="V971" t="s">
        <v>4478</v>
      </c>
      <c r="W971" t="s">
        <v>143</v>
      </c>
      <c r="X971" t="s">
        <v>4482</v>
      </c>
      <c r="Y971">
        <v>0</v>
      </c>
      <c r="Z971">
        <v>82.958333333333329</v>
      </c>
    </row>
    <row r="972" spans="1:26">
      <c r="A972" s="1">
        <v>970</v>
      </c>
      <c r="B972" t="str">
        <f>HYPERLINK("https://bugs.eclipse.org/bugs/show_bug.cgi?id=34886", "34886")</f>
        <v>34886</v>
      </c>
      <c r="C972" t="s">
        <v>4483</v>
      </c>
      <c r="D972" t="s">
        <v>10</v>
      </c>
      <c r="E972" t="s">
        <v>15</v>
      </c>
      <c r="F972" t="s">
        <v>26</v>
      </c>
      <c r="L972" t="s">
        <v>4484</v>
      </c>
      <c r="Q972" t="s">
        <v>4484</v>
      </c>
      <c r="R972" t="s">
        <v>4485</v>
      </c>
      <c r="S972" t="s">
        <v>4486</v>
      </c>
      <c r="T972" t="s">
        <v>4487</v>
      </c>
      <c r="U972" t="s">
        <v>4488</v>
      </c>
      <c r="V972" t="s">
        <v>4484</v>
      </c>
      <c r="W972" t="s">
        <v>86</v>
      </c>
      <c r="X972" t="s">
        <v>4489</v>
      </c>
      <c r="Y972">
        <v>2</v>
      </c>
      <c r="Z972">
        <v>69.958333333333329</v>
      </c>
    </row>
    <row r="973" spans="1:26">
      <c r="A973" s="1">
        <v>971</v>
      </c>
      <c r="B973" t="str">
        <f>HYPERLINK("https://bugs.eclipse.org/bugs/show_bug.cgi?id=34887", "34887")</f>
        <v>34887</v>
      </c>
      <c r="C973" t="s">
        <v>56</v>
      </c>
      <c r="D973" t="s">
        <v>10</v>
      </c>
      <c r="E973" t="s">
        <v>14</v>
      </c>
      <c r="F973" t="s">
        <v>26</v>
      </c>
      <c r="L973" t="s">
        <v>4490</v>
      </c>
      <c r="P973" t="s">
        <v>4491</v>
      </c>
      <c r="T973" t="s">
        <v>4492</v>
      </c>
      <c r="U973" t="s">
        <v>4490</v>
      </c>
      <c r="V973" t="s">
        <v>4491</v>
      </c>
      <c r="W973" t="s">
        <v>80</v>
      </c>
      <c r="X973" t="s">
        <v>4493</v>
      </c>
      <c r="Y973">
        <v>2</v>
      </c>
      <c r="Z973">
        <v>2362.958333333333</v>
      </c>
    </row>
    <row r="974" spans="1:26">
      <c r="A974" s="1">
        <v>972</v>
      </c>
      <c r="B974" t="str">
        <f>HYPERLINK("https://bugs.eclipse.org/bugs/show_bug.cgi?id=34903", "34903")</f>
        <v>34903</v>
      </c>
      <c r="C974" t="s">
        <v>140</v>
      </c>
      <c r="D974" t="s">
        <v>10</v>
      </c>
      <c r="E974" t="s">
        <v>16</v>
      </c>
      <c r="F974" t="s">
        <v>26</v>
      </c>
      <c r="L974" t="s">
        <v>4494</v>
      </c>
      <c r="R974" t="s">
        <v>4494</v>
      </c>
      <c r="T974" t="s">
        <v>4495</v>
      </c>
      <c r="U974" t="s">
        <v>4496</v>
      </c>
      <c r="V974" t="s">
        <v>4494</v>
      </c>
      <c r="W974" t="s">
        <v>143</v>
      </c>
      <c r="X974" t="s">
        <v>4497</v>
      </c>
      <c r="Y974">
        <v>0</v>
      </c>
      <c r="Z974">
        <v>0</v>
      </c>
    </row>
    <row r="975" spans="1:26">
      <c r="A975" s="1">
        <v>973</v>
      </c>
      <c r="B975" t="str">
        <f>HYPERLINK("https://bugs.eclipse.org/bugs/show_bug.cgi?id=34926", "34926")</f>
        <v>34926</v>
      </c>
      <c r="C975" t="s">
        <v>35</v>
      </c>
      <c r="D975" t="s">
        <v>11</v>
      </c>
      <c r="E975" t="s">
        <v>12</v>
      </c>
      <c r="F975" t="s">
        <v>26</v>
      </c>
      <c r="G975" t="s">
        <v>4498</v>
      </c>
      <c r="L975" t="s">
        <v>4499</v>
      </c>
      <c r="M975" t="s">
        <v>4500</v>
      </c>
      <c r="N975" t="s">
        <v>4499</v>
      </c>
      <c r="S975" t="s">
        <v>4501</v>
      </c>
      <c r="T975" t="s">
        <v>4502</v>
      </c>
      <c r="U975" t="s">
        <v>4503</v>
      </c>
      <c r="V975" t="s">
        <v>4500</v>
      </c>
      <c r="W975" t="s">
        <v>60</v>
      </c>
      <c r="X975" t="s">
        <v>4504</v>
      </c>
      <c r="Y975">
        <v>0</v>
      </c>
      <c r="Z975">
        <v>81.958333333333329</v>
      </c>
    </row>
    <row r="976" spans="1:26">
      <c r="A976" s="1">
        <v>974</v>
      </c>
      <c r="B976" t="str">
        <f>HYPERLINK("https://bugs.eclipse.org/bugs/show_bug.cgi?id=34931", "34931")</f>
        <v>34931</v>
      </c>
      <c r="C976" t="s">
        <v>149</v>
      </c>
      <c r="D976" t="s">
        <v>10</v>
      </c>
      <c r="E976" t="s">
        <v>12</v>
      </c>
      <c r="F976" t="s">
        <v>26</v>
      </c>
      <c r="L976" t="s">
        <v>4505</v>
      </c>
      <c r="N976" t="s">
        <v>4505</v>
      </c>
      <c r="T976" t="s">
        <v>4506</v>
      </c>
      <c r="U976" t="s">
        <v>4507</v>
      </c>
      <c r="V976" t="s">
        <v>4505</v>
      </c>
      <c r="W976" t="s">
        <v>60</v>
      </c>
      <c r="X976" t="s">
        <v>4508</v>
      </c>
      <c r="Y976">
        <v>0</v>
      </c>
      <c r="Z976">
        <v>5</v>
      </c>
    </row>
    <row r="977" spans="1:26">
      <c r="A977" s="1">
        <v>975</v>
      </c>
      <c r="B977" t="str">
        <f>HYPERLINK("https://bugs.eclipse.org/bugs/show_bug.cgi?id=34943", "34943")</f>
        <v>34943</v>
      </c>
      <c r="C977" t="s">
        <v>140</v>
      </c>
      <c r="D977" t="s">
        <v>10</v>
      </c>
      <c r="E977" t="s">
        <v>16</v>
      </c>
      <c r="F977" t="s">
        <v>26</v>
      </c>
      <c r="L977" t="s">
        <v>4509</v>
      </c>
      <c r="P977" t="s">
        <v>4510</v>
      </c>
      <c r="R977" t="s">
        <v>4509</v>
      </c>
      <c r="S977" t="s">
        <v>4511</v>
      </c>
      <c r="T977" t="s">
        <v>4512</v>
      </c>
      <c r="U977" t="s">
        <v>4513</v>
      </c>
      <c r="V977" t="s">
        <v>4509</v>
      </c>
      <c r="W977" t="s">
        <v>86</v>
      </c>
      <c r="X977" t="s">
        <v>4514</v>
      </c>
      <c r="Y977">
        <v>10</v>
      </c>
      <c r="Z977">
        <v>804.95833333333337</v>
      </c>
    </row>
    <row r="978" spans="1:26">
      <c r="A978" s="1">
        <v>976</v>
      </c>
      <c r="B978" t="str">
        <f>HYPERLINK("https://bugs.eclipse.org/bugs/show_bug.cgi?id=34961", "34961")</f>
        <v>34961</v>
      </c>
      <c r="C978" t="s">
        <v>88</v>
      </c>
      <c r="D978" t="s">
        <v>10</v>
      </c>
      <c r="E978" t="s">
        <v>13</v>
      </c>
      <c r="F978" t="s">
        <v>26</v>
      </c>
      <c r="L978" t="s">
        <v>4515</v>
      </c>
      <c r="O978" t="s">
        <v>4515</v>
      </c>
      <c r="T978" t="s">
        <v>4516</v>
      </c>
      <c r="U978" t="s">
        <v>4515</v>
      </c>
      <c r="V978" t="s">
        <v>4515</v>
      </c>
      <c r="W978" t="s">
        <v>60</v>
      </c>
      <c r="X978" t="s">
        <v>4517</v>
      </c>
      <c r="Y978">
        <v>1</v>
      </c>
      <c r="Z978">
        <v>1</v>
      </c>
    </row>
    <row r="979" spans="1:26">
      <c r="A979" s="1">
        <v>977</v>
      </c>
      <c r="B979" t="str">
        <f>HYPERLINK("https://bugs.eclipse.org/bugs/show_bug.cgi?id=34997", "34997")</f>
        <v>34997</v>
      </c>
      <c r="C979" t="s">
        <v>149</v>
      </c>
      <c r="D979" t="s">
        <v>10</v>
      </c>
      <c r="E979" t="s">
        <v>12</v>
      </c>
      <c r="F979" t="s">
        <v>26</v>
      </c>
      <c r="L979" t="s">
        <v>4518</v>
      </c>
      <c r="N979" t="s">
        <v>4518</v>
      </c>
      <c r="S979" t="s">
        <v>4519</v>
      </c>
      <c r="T979" t="s">
        <v>4520</v>
      </c>
      <c r="U979" t="s">
        <v>4521</v>
      </c>
      <c r="V979" t="s">
        <v>4518</v>
      </c>
      <c r="W979" t="s">
        <v>86</v>
      </c>
      <c r="X979" t="s">
        <v>4522</v>
      </c>
      <c r="Y979">
        <v>3</v>
      </c>
      <c r="Z979">
        <v>73.958333333333329</v>
      </c>
    </row>
    <row r="980" spans="1:26">
      <c r="A980" s="1">
        <v>978</v>
      </c>
      <c r="B980" t="str">
        <f>HYPERLINK("https://bugs.eclipse.org/bugs/show_bug.cgi?id=34998", "34998")</f>
        <v>34998</v>
      </c>
      <c r="C980" t="s">
        <v>35</v>
      </c>
      <c r="D980" t="s">
        <v>11</v>
      </c>
      <c r="E980" t="s">
        <v>12</v>
      </c>
      <c r="F980" t="s">
        <v>150</v>
      </c>
      <c r="L980" t="s">
        <v>4523</v>
      </c>
      <c r="M980" t="s">
        <v>4524</v>
      </c>
      <c r="N980" t="s">
        <v>4523</v>
      </c>
      <c r="S980" t="s">
        <v>4525</v>
      </c>
      <c r="T980" t="s">
        <v>4526</v>
      </c>
      <c r="U980" t="s">
        <v>4527</v>
      </c>
      <c r="V980" t="s">
        <v>4524</v>
      </c>
      <c r="W980" t="s">
        <v>4528</v>
      </c>
      <c r="X980" t="s">
        <v>4529</v>
      </c>
      <c r="Y980">
        <v>0</v>
      </c>
      <c r="Z980">
        <v>602</v>
      </c>
    </row>
    <row r="981" spans="1:26">
      <c r="A981" s="1">
        <v>979</v>
      </c>
      <c r="B981" t="str">
        <f>HYPERLINK("https://bugs.eclipse.org/bugs/show_bug.cgi?id=35020", "35020")</f>
        <v>35020</v>
      </c>
      <c r="C981" t="s">
        <v>140</v>
      </c>
      <c r="D981" t="s">
        <v>10</v>
      </c>
      <c r="E981" t="s">
        <v>16</v>
      </c>
      <c r="F981" t="s">
        <v>26</v>
      </c>
      <c r="L981" t="s">
        <v>4530</v>
      </c>
      <c r="R981" t="s">
        <v>4530</v>
      </c>
      <c r="T981" t="s">
        <v>4531</v>
      </c>
      <c r="U981" t="s">
        <v>4530</v>
      </c>
      <c r="V981" t="s">
        <v>4530</v>
      </c>
      <c r="W981" t="s">
        <v>86</v>
      </c>
      <c r="X981" t="s">
        <v>4532</v>
      </c>
      <c r="Y981">
        <v>54.958333333333343</v>
      </c>
      <c r="Z981">
        <v>54.958333333333343</v>
      </c>
    </row>
    <row r="982" spans="1:26">
      <c r="A982" s="1">
        <v>980</v>
      </c>
      <c r="B982" t="str">
        <f>HYPERLINK("https://bugs.eclipse.org/bugs/show_bug.cgi?id=35048", "35048")</f>
        <v>35048</v>
      </c>
      <c r="C982" t="s">
        <v>35</v>
      </c>
      <c r="D982" t="s">
        <v>11</v>
      </c>
      <c r="E982" t="s">
        <v>12</v>
      </c>
      <c r="F982" t="s">
        <v>150</v>
      </c>
      <c r="L982" t="s">
        <v>4533</v>
      </c>
      <c r="M982" t="s">
        <v>4534</v>
      </c>
      <c r="N982" t="s">
        <v>4533</v>
      </c>
      <c r="T982" t="s">
        <v>4535</v>
      </c>
      <c r="U982" t="s">
        <v>4536</v>
      </c>
      <c r="V982" t="s">
        <v>4534</v>
      </c>
      <c r="W982" t="s">
        <v>40</v>
      </c>
      <c r="X982" t="s">
        <v>4537</v>
      </c>
      <c r="Y982">
        <v>0</v>
      </c>
      <c r="Z982">
        <v>6</v>
      </c>
    </row>
    <row r="983" spans="1:26">
      <c r="A983" s="1">
        <v>981</v>
      </c>
      <c r="B983" t="str">
        <f>HYPERLINK("https://bugs.eclipse.org/bugs/show_bug.cgi?id=35101", "35101")</f>
        <v>35101</v>
      </c>
      <c r="C983" t="s">
        <v>4538</v>
      </c>
      <c r="D983" t="s">
        <v>10</v>
      </c>
      <c r="E983" t="s">
        <v>15</v>
      </c>
      <c r="F983" t="s">
        <v>26</v>
      </c>
      <c r="L983" t="s">
        <v>4539</v>
      </c>
      <c r="Q983" t="s">
        <v>4539</v>
      </c>
      <c r="T983" t="s">
        <v>4540</v>
      </c>
      <c r="U983" t="s">
        <v>4539</v>
      </c>
      <c r="V983" t="s">
        <v>4539</v>
      </c>
      <c r="W983" t="s">
        <v>60</v>
      </c>
      <c r="X983" t="s">
        <v>4541</v>
      </c>
      <c r="Y983">
        <v>2</v>
      </c>
      <c r="Z983">
        <v>2</v>
      </c>
    </row>
    <row r="984" spans="1:26">
      <c r="A984" s="1">
        <v>982</v>
      </c>
      <c r="B984" t="str">
        <f>HYPERLINK("https://bugs.eclipse.org/bugs/show_bug.cgi?id=35104", "35104")</f>
        <v>35104</v>
      </c>
      <c r="C984" t="s">
        <v>140</v>
      </c>
      <c r="D984" t="s">
        <v>10</v>
      </c>
      <c r="E984" t="s">
        <v>16</v>
      </c>
      <c r="F984" t="s">
        <v>26</v>
      </c>
      <c r="L984" t="s">
        <v>4542</v>
      </c>
      <c r="R984" t="s">
        <v>4542</v>
      </c>
      <c r="T984" t="s">
        <v>4543</v>
      </c>
      <c r="U984" t="s">
        <v>4542</v>
      </c>
      <c r="V984" t="s">
        <v>4542</v>
      </c>
      <c r="W984" t="s">
        <v>86</v>
      </c>
      <c r="X984" t="s">
        <v>4544</v>
      </c>
      <c r="Y984">
        <v>8</v>
      </c>
      <c r="Z984">
        <v>8</v>
      </c>
    </row>
    <row r="985" spans="1:26">
      <c r="A985" s="1">
        <v>983</v>
      </c>
      <c r="B985" t="str">
        <f>HYPERLINK("https://bugs.eclipse.org/bugs/show_bug.cgi?id=35123", "35123")</f>
        <v>35123</v>
      </c>
      <c r="C985" t="s">
        <v>35</v>
      </c>
      <c r="D985" t="s">
        <v>11</v>
      </c>
      <c r="E985" t="s">
        <v>12</v>
      </c>
      <c r="F985" t="s">
        <v>26</v>
      </c>
      <c r="L985" t="s">
        <v>4545</v>
      </c>
      <c r="M985" t="s">
        <v>4546</v>
      </c>
      <c r="N985" t="s">
        <v>4545</v>
      </c>
      <c r="T985" t="s">
        <v>4547</v>
      </c>
      <c r="U985" t="s">
        <v>4548</v>
      </c>
      <c r="V985" t="s">
        <v>4546</v>
      </c>
      <c r="W985" t="s">
        <v>40</v>
      </c>
      <c r="X985" t="s">
        <v>4549</v>
      </c>
      <c r="Y985">
        <v>0</v>
      </c>
      <c r="Z985">
        <v>3</v>
      </c>
    </row>
    <row r="986" spans="1:26">
      <c r="A986" s="1">
        <v>984</v>
      </c>
      <c r="B986" t="str">
        <f>HYPERLINK("https://bugs.eclipse.org/bugs/show_bug.cgi?id=35139", "35139")</f>
        <v>35139</v>
      </c>
      <c r="C986" t="s">
        <v>4550</v>
      </c>
      <c r="D986" t="s">
        <v>10</v>
      </c>
      <c r="E986" t="s">
        <v>15</v>
      </c>
      <c r="F986" t="s">
        <v>26</v>
      </c>
      <c r="L986" t="s">
        <v>4551</v>
      </c>
      <c r="Q986" t="s">
        <v>4551</v>
      </c>
      <c r="T986" t="s">
        <v>4552</v>
      </c>
      <c r="U986" t="s">
        <v>4551</v>
      </c>
      <c r="V986" t="s">
        <v>4551</v>
      </c>
      <c r="W986" t="s">
        <v>60</v>
      </c>
      <c r="X986" t="s">
        <v>4553</v>
      </c>
      <c r="Y986">
        <v>0</v>
      </c>
      <c r="Z986">
        <v>0</v>
      </c>
    </row>
    <row r="987" spans="1:26">
      <c r="A987" s="1">
        <v>985</v>
      </c>
      <c r="B987" t="str">
        <f>HYPERLINK("https://bugs.eclipse.org/bugs/show_bug.cgi?id=35152", "35152")</f>
        <v>35152</v>
      </c>
      <c r="C987" t="s">
        <v>4554</v>
      </c>
      <c r="D987" t="s">
        <v>10</v>
      </c>
      <c r="E987" t="s">
        <v>15</v>
      </c>
      <c r="F987" t="s">
        <v>26</v>
      </c>
      <c r="L987" t="s">
        <v>4555</v>
      </c>
      <c r="Q987" t="s">
        <v>4555</v>
      </c>
      <c r="T987" t="s">
        <v>4556</v>
      </c>
      <c r="U987" t="s">
        <v>4555</v>
      </c>
      <c r="V987" t="s">
        <v>4555</v>
      </c>
      <c r="W987" t="s">
        <v>60</v>
      </c>
      <c r="X987" t="s">
        <v>4557</v>
      </c>
      <c r="Y987">
        <v>0</v>
      </c>
      <c r="Z987">
        <v>0</v>
      </c>
    </row>
    <row r="988" spans="1:26">
      <c r="A988" s="1">
        <v>986</v>
      </c>
      <c r="B988" t="str">
        <f>HYPERLINK("https://bugs.eclipse.org/bugs/show_bug.cgi?id=35174", "35174")</f>
        <v>35174</v>
      </c>
      <c r="C988" t="s">
        <v>56</v>
      </c>
      <c r="D988" t="s">
        <v>10</v>
      </c>
      <c r="E988" t="s">
        <v>14</v>
      </c>
      <c r="F988" t="s">
        <v>26</v>
      </c>
      <c r="L988" t="s">
        <v>4558</v>
      </c>
      <c r="P988" t="s">
        <v>4559</v>
      </c>
      <c r="T988" t="s">
        <v>4560</v>
      </c>
      <c r="U988" t="s">
        <v>4558</v>
      </c>
      <c r="V988" t="s">
        <v>4559</v>
      </c>
      <c r="W988" t="s">
        <v>80</v>
      </c>
      <c r="X988" t="s">
        <v>4561</v>
      </c>
      <c r="Y988">
        <v>1</v>
      </c>
      <c r="Z988">
        <v>2357.958333333333</v>
      </c>
    </row>
    <row r="989" spans="1:26">
      <c r="A989" s="1">
        <v>987</v>
      </c>
      <c r="B989" t="str">
        <f>HYPERLINK("https://bugs.eclipse.org/bugs/show_bug.cgi?id=35197", "35197")</f>
        <v>35197</v>
      </c>
      <c r="C989" t="s">
        <v>149</v>
      </c>
      <c r="D989" t="s">
        <v>10</v>
      </c>
      <c r="E989" t="s">
        <v>12</v>
      </c>
      <c r="F989" t="s">
        <v>26</v>
      </c>
      <c r="L989" t="s">
        <v>4562</v>
      </c>
      <c r="N989" t="s">
        <v>4562</v>
      </c>
      <c r="T989" t="s">
        <v>4563</v>
      </c>
      <c r="U989" t="s">
        <v>4564</v>
      </c>
      <c r="V989" t="s">
        <v>4562</v>
      </c>
      <c r="W989" t="s">
        <v>86</v>
      </c>
      <c r="X989" t="s">
        <v>4565</v>
      </c>
      <c r="Y989">
        <v>0</v>
      </c>
      <c r="Z989">
        <v>69.958333333333329</v>
      </c>
    </row>
    <row r="990" spans="1:26">
      <c r="A990" s="1">
        <v>988</v>
      </c>
      <c r="B990" t="str">
        <f>HYPERLINK("https://bugs.eclipse.org/bugs/show_bug.cgi?id=35206", "35206")</f>
        <v>35206</v>
      </c>
      <c r="C990" t="s">
        <v>3336</v>
      </c>
      <c r="D990" t="s">
        <v>10</v>
      </c>
      <c r="E990" t="s">
        <v>15</v>
      </c>
      <c r="F990" t="s">
        <v>26</v>
      </c>
      <c r="L990" t="s">
        <v>4566</v>
      </c>
      <c r="Q990" t="s">
        <v>4566</v>
      </c>
      <c r="S990" t="s">
        <v>4567</v>
      </c>
      <c r="T990" t="s">
        <v>4568</v>
      </c>
      <c r="U990" t="s">
        <v>4569</v>
      </c>
      <c r="V990" t="s">
        <v>4566</v>
      </c>
      <c r="W990" t="s">
        <v>86</v>
      </c>
      <c r="X990" t="s">
        <v>4570</v>
      </c>
      <c r="Y990">
        <v>0</v>
      </c>
      <c r="Z990">
        <v>36.958333333333343</v>
      </c>
    </row>
    <row r="991" spans="1:26">
      <c r="A991" s="1">
        <v>989</v>
      </c>
      <c r="B991" t="str">
        <f>HYPERLINK("https://bugs.eclipse.org/bugs/show_bug.cgi?id=35379", "35379")</f>
        <v>35379</v>
      </c>
      <c r="C991" t="s">
        <v>35</v>
      </c>
      <c r="D991" t="s">
        <v>11</v>
      </c>
      <c r="E991" t="s">
        <v>12</v>
      </c>
      <c r="F991" t="s">
        <v>150</v>
      </c>
      <c r="L991" t="s">
        <v>4571</v>
      </c>
      <c r="M991" t="s">
        <v>4572</v>
      </c>
      <c r="N991" t="s">
        <v>4571</v>
      </c>
      <c r="T991" t="s">
        <v>4573</v>
      </c>
      <c r="U991" t="s">
        <v>4574</v>
      </c>
      <c r="V991" t="s">
        <v>4575</v>
      </c>
      <c r="W991" t="s">
        <v>1000</v>
      </c>
      <c r="X991" t="s">
        <v>4576</v>
      </c>
      <c r="Y991">
        <v>0</v>
      </c>
      <c r="Z991">
        <v>269</v>
      </c>
    </row>
    <row r="992" spans="1:26">
      <c r="A992" s="1">
        <v>990</v>
      </c>
      <c r="B992" t="str">
        <f>HYPERLINK("https://bugs.eclipse.org/bugs/show_bug.cgi?id=35441", "35441")</f>
        <v>35441</v>
      </c>
      <c r="C992" t="s">
        <v>140</v>
      </c>
      <c r="D992" t="s">
        <v>10</v>
      </c>
      <c r="E992" t="s">
        <v>16</v>
      </c>
      <c r="F992" t="s">
        <v>26</v>
      </c>
      <c r="L992" t="s">
        <v>4577</v>
      </c>
      <c r="R992" t="s">
        <v>4577</v>
      </c>
      <c r="T992" t="s">
        <v>4578</v>
      </c>
      <c r="U992" t="s">
        <v>4579</v>
      </c>
      <c r="V992" t="s">
        <v>4577</v>
      </c>
      <c r="W992" t="s">
        <v>60</v>
      </c>
      <c r="X992" t="s">
        <v>4580</v>
      </c>
      <c r="Y992">
        <v>0</v>
      </c>
      <c r="Z992">
        <v>45.958333333333343</v>
      </c>
    </row>
    <row r="993" spans="1:26">
      <c r="A993" s="1">
        <v>991</v>
      </c>
      <c r="B993" t="str">
        <f>HYPERLINK("https://bugs.eclipse.org/bugs/show_bug.cgi?id=35452", "35452")</f>
        <v>35452</v>
      </c>
      <c r="C993" t="s">
        <v>149</v>
      </c>
      <c r="D993" t="s">
        <v>10</v>
      </c>
      <c r="E993" t="s">
        <v>12</v>
      </c>
      <c r="F993" t="s">
        <v>26</v>
      </c>
      <c r="L993" t="s">
        <v>4581</v>
      </c>
      <c r="N993" t="s">
        <v>4581</v>
      </c>
      <c r="S993" t="s">
        <v>4582</v>
      </c>
      <c r="T993" t="s">
        <v>4583</v>
      </c>
      <c r="U993" t="s">
        <v>4584</v>
      </c>
      <c r="V993" t="s">
        <v>4581</v>
      </c>
      <c r="W993" t="s">
        <v>851</v>
      </c>
      <c r="X993" t="s">
        <v>4585</v>
      </c>
      <c r="Y993">
        <v>0</v>
      </c>
      <c r="Z993">
        <v>149.95833333333329</v>
      </c>
    </row>
    <row r="994" spans="1:26">
      <c r="A994" s="1">
        <v>992</v>
      </c>
      <c r="B994" t="str">
        <f>HYPERLINK("https://bugs.eclipse.org/bugs/show_bug.cgi?id=35487", "35487")</f>
        <v>35487</v>
      </c>
      <c r="C994" t="s">
        <v>149</v>
      </c>
      <c r="D994" t="s">
        <v>10</v>
      </c>
      <c r="E994" t="s">
        <v>12</v>
      </c>
      <c r="F994" t="s">
        <v>26</v>
      </c>
      <c r="L994" t="s">
        <v>4586</v>
      </c>
      <c r="N994" t="s">
        <v>4586</v>
      </c>
      <c r="T994" t="s">
        <v>4587</v>
      </c>
      <c r="U994" t="s">
        <v>4588</v>
      </c>
      <c r="V994" t="s">
        <v>4586</v>
      </c>
      <c r="W994" t="s">
        <v>86</v>
      </c>
      <c r="X994" t="s">
        <v>4589</v>
      </c>
      <c r="Y994">
        <v>2</v>
      </c>
      <c r="Z994">
        <v>3</v>
      </c>
    </row>
    <row r="995" spans="1:26">
      <c r="A995" s="1">
        <v>993</v>
      </c>
      <c r="B995" t="str">
        <f>HYPERLINK("https://bugs.eclipse.org/bugs/show_bug.cgi?id=35523", "35523")</f>
        <v>35523</v>
      </c>
      <c r="C995" t="s">
        <v>149</v>
      </c>
      <c r="D995" t="s">
        <v>10</v>
      </c>
      <c r="E995" t="s">
        <v>12</v>
      </c>
      <c r="F995" t="s">
        <v>150</v>
      </c>
      <c r="L995" t="s">
        <v>4590</v>
      </c>
      <c r="N995" t="s">
        <v>4590</v>
      </c>
      <c r="T995" t="s">
        <v>4591</v>
      </c>
      <c r="U995" t="s">
        <v>4592</v>
      </c>
      <c r="V995" t="s">
        <v>4593</v>
      </c>
      <c r="W995" t="s">
        <v>86</v>
      </c>
      <c r="X995" t="s">
        <v>4594</v>
      </c>
      <c r="Y995">
        <v>2</v>
      </c>
      <c r="Z995">
        <v>4</v>
      </c>
    </row>
    <row r="996" spans="1:26">
      <c r="A996" s="1">
        <v>994</v>
      </c>
      <c r="B996" t="str">
        <f>HYPERLINK("https://bugs.eclipse.org/bugs/show_bug.cgi?id=35556", "35556")</f>
        <v>35556</v>
      </c>
      <c r="C996" t="s">
        <v>35</v>
      </c>
      <c r="D996" t="s">
        <v>11</v>
      </c>
      <c r="E996" t="s">
        <v>12</v>
      </c>
      <c r="F996" t="s">
        <v>26</v>
      </c>
      <c r="L996" t="s">
        <v>4595</v>
      </c>
      <c r="M996" t="s">
        <v>4596</v>
      </c>
      <c r="N996" t="s">
        <v>4595</v>
      </c>
      <c r="T996" t="s">
        <v>4597</v>
      </c>
      <c r="U996" t="s">
        <v>4598</v>
      </c>
      <c r="V996" t="s">
        <v>4596</v>
      </c>
      <c r="W996" t="s">
        <v>86</v>
      </c>
      <c r="X996" t="s">
        <v>4599</v>
      </c>
      <c r="Y996">
        <v>21.958333333333329</v>
      </c>
      <c r="Z996">
        <v>70.958333333333329</v>
      </c>
    </row>
    <row r="997" spans="1:26">
      <c r="A997" s="1">
        <v>995</v>
      </c>
      <c r="B997" t="str">
        <f>HYPERLINK("https://bugs.eclipse.org/bugs/show_bug.cgi?id=35562", "35562")</f>
        <v>35562</v>
      </c>
      <c r="C997" t="s">
        <v>149</v>
      </c>
      <c r="D997" t="s">
        <v>10</v>
      </c>
      <c r="E997" t="s">
        <v>12</v>
      </c>
      <c r="F997" t="s">
        <v>26</v>
      </c>
      <c r="L997" t="s">
        <v>4600</v>
      </c>
      <c r="N997" t="s">
        <v>4600</v>
      </c>
      <c r="T997" t="s">
        <v>4601</v>
      </c>
      <c r="U997" t="s">
        <v>4602</v>
      </c>
      <c r="V997" t="s">
        <v>4600</v>
      </c>
      <c r="W997" t="s">
        <v>60</v>
      </c>
      <c r="X997" t="s">
        <v>4603</v>
      </c>
      <c r="Y997">
        <v>0</v>
      </c>
      <c r="Z997">
        <v>41.958333333333343</v>
      </c>
    </row>
    <row r="998" spans="1:26">
      <c r="A998" s="1">
        <v>996</v>
      </c>
      <c r="B998" t="str">
        <f>HYPERLINK("https://bugs.eclipse.org/bugs/show_bug.cgi?id=35634", "35634")</f>
        <v>35634</v>
      </c>
      <c r="C998" t="s">
        <v>149</v>
      </c>
      <c r="D998" t="s">
        <v>10</v>
      </c>
      <c r="E998" t="s">
        <v>12</v>
      </c>
      <c r="F998" t="s">
        <v>150</v>
      </c>
      <c r="G998" t="s">
        <v>4604</v>
      </c>
      <c r="L998" t="s">
        <v>4605</v>
      </c>
      <c r="N998" t="s">
        <v>4605</v>
      </c>
      <c r="T998" t="s">
        <v>4606</v>
      </c>
      <c r="U998" t="s">
        <v>4607</v>
      </c>
      <c r="V998" t="s">
        <v>4605</v>
      </c>
      <c r="W998" t="s">
        <v>60</v>
      </c>
      <c r="X998" t="s">
        <v>4608</v>
      </c>
      <c r="Y998">
        <v>0</v>
      </c>
      <c r="Z998">
        <v>40.958333333333343</v>
      </c>
    </row>
    <row r="999" spans="1:26">
      <c r="A999" s="1">
        <v>997</v>
      </c>
      <c r="B999" t="str">
        <f>HYPERLINK("https://bugs.eclipse.org/bugs/show_bug.cgi?id=35650", "35650")</f>
        <v>35650</v>
      </c>
      <c r="C999" t="s">
        <v>149</v>
      </c>
      <c r="D999" t="s">
        <v>10</v>
      </c>
      <c r="E999" t="s">
        <v>12</v>
      </c>
      <c r="F999" t="s">
        <v>26</v>
      </c>
      <c r="L999" t="s">
        <v>4609</v>
      </c>
      <c r="N999" t="s">
        <v>4609</v>
      </c>
      <c r="S999" t="s">
        <v>4610</v>
      </c>
      <c r="T999" t="s">
        <v>4611</v>
      </c>
      <c r="U999" t="s">
        <v>4612</v>
      </c>
      <c r="V999" t="s">
        <v>4609</v>
      </c>
      <c r="W999" t="s">
        <v>86</v>
      </c>
      <c r="X999" t="s">
        <v>4613</v>
      </c>
      <c r="Y999">
        <v>0</v>
      </c>
      <c r="Z999">
        <v>30.958333333333329</v>
      </c>
    </row>
    <row r="1000" spans="1:26">
      <c r="A1000" s="1">
        <v>998</v>
      </c>
      <c r="B1000" t="str">
        <f>HYPERLINK("https://bugs.eclipse.org/bugs/show_bug.cgi?id=35708", "35708")</f>
        <v>35708</v>
      </c>
      <c r="C1000" t="s">
        <v>56</v>
      </c>
      <c r="D1000" t="s">
        <v>10</v>
      </c>
      <c r="E1000" t="s">
        <v>14</v>
      </c>
      <c r="F1000" t="s">
        <v>26</v>
      </c>
      <c r="L1000" t="s">
        <v>4614</v>
      </c>
      <c r="P1000" t="s">
        <v>4615</v>
      </c>
      <c r="T1000" t="s">
        <v>4616</v>
      </c>
      <c r="U1000" t="s">
        <v>4617</v>
      </c>
      <c r="V1000" t="s">
        <v>4615</v>
      </c>
      <c r="W1000" t="s">
        <v>75</v>
      </c>
      <c r="X1000" t="s">
        <v>4618</v>
      </c>
      <c r="Y1000">
        <v>0</v>
      </c>
      <c r="Z1000">
        <v>2348.958333333333</v>
      </c>
    </row>
    <row r="1001" spans="1:26">
      <c r="A1001" s="1">
        <v>999</v>
      </c>
      <c r="B1001" t="str">
        <f>HYPERLINK("https://bugs.eclipse.org/bugs/show_bug.cgi?id=35711", "35711")</f>
        <v>35711</v>
      </c>
      <c r="C1001" t="s">
        <v>140</v>
      </c>
      <c r="D1001" t="s">
        <v>10</v>
      </c>
      <c r="E1001" t="s">
        <v>16</v>
      </c>
      <c r="F1001" t="s">
        <v>26</v>
      </c>
      <c r="L1001" t="s">
        <v>4619</v>
      </c>
      <c r="R1001" t="s">
        <v>4619</v>
      </c>
      <c r="T1001" t="s">
        <v>4620</v>
      </c>
      <c r="U1001" t="s">
        <v>4619</v>
      </c>
      <c r="V1001" t="s">
        <v>4619</v>
      </c>
      <c r="W1001" t="s">
        <v>86</v>
      </c>
      <c r="X1001" t="s">
        <v>4621</v>
      </c>
      <c r="Y1001">
        <v>0</v>
      </c>
      <c r="Z1001">
        <v>0</v>
      </c>
    </row>
    <row r="1002" spans="1:26">
      <c r="A1002" s="1">
        <v>1000</v>
      </c>
      <c r="B1002" t="str">
        <f>HYPERLINK("https://bugs.eclipse.org/bugs/show_bug.cgi?id=35746", "35746")</f>
        <v>35746</v>
      </c>
      <c r="C1002" t="s">
        <v>35</v>
      </c>
      <c r="D1002" t="s">
        <v>11</v>
      </c>
      <c r="E1002" t="s">
        <v>12</v>
      </c>
      <c r="F1002" t="s">
        <v>150</v>
      </c>
      <c r="G1002" t="s">
        <v>4622</v>
      </c>
      <c r="L1002" t="s">
        <v>4623</v>
      </c>
      <c r="M1002" t="s">
        <v>4624</v>
      </c>
      <c r="N1002" t="s">
        <v>4623</v>
      </c>
      <c r="T1002" t="s">
        <v>4625</v>
      </c>
      <c r="U1002" t="s">
        <v>4626</v>
      </c>
      <c r="V1002" t="s">
        <v>4627</v>
      </c>
      <c r="W1002" t="s">
        <v>143</v>
      </c>
      <c r="X1002" t="s">
        <v>4628</v>
      </c>
      <c r="Y1002">
        <v>0</v>
      </c>
      <c r="Z1002">
        <v>2229.958333333333</v>
      </c>
    </row>
    <row r="1003" spans="1:26">
      <c r="A1003" s="1">
        <v>1001</v>
      </c>
      <c r="B1003" t="str">
        <f>HYPERLINK("https://bugs.eclipse.org/bugs/show_bug.cgi?id=35748", "35748")</f>
        <v>35748</v>
      </c>
      <c r="C1003" t="s">
        <v>35</v>
      </c>
      <c r="D1003" t="s">
        <v>11</v>
      </c>
      <c r="E1003" t="s">
        <v>12</v>
      </c>
      <c r="F1003" t="s">
        <v>150</v>
      </c>
      <c r="L1003" t="s">
        <v>4629</v>
      </c>
      <c r="M1003" t="s">
        <v>4630</v>
      </c>
      <c r="N1003" t="s">
        <v>4629</v>
      </c>
      <c r="S1003" t="s">
        <v>4631</v>
      </c>
      <c r="T1003" t="s">
        <v>4632</v>
      </c>
      <c r="U1003" t="s">
        <v>4633</v>
      </c>
      <c r="V1003" t="s">
        <v>4630</v>
      </c>
      <c r="W1003" t="s">
        <v>86</v>
      </c>
      <c r="X1003" t="s">
        <v>4634</v>
      </c>
      <c r="Y1003">
        <v>0</v>
      </c>
      <c r="Z1003">
        <v>237</v>
      </c>
    </row>
    <row r="1004" spans="1:26">
      <c r="A1004" s="1">
        <v>1002</v>
      </c>
      <c r="B1004" t="str">
        <f>HYPERLINK("https://bugs.eclipse.org/bugs/show_bug.cgi?id=35762", "35762")</f>
        <v>35762</v>
      </c>
      <c r="C1004" t="s">
        <v>149</v>
      </c>
      <c r="D1004" t="s">
        <v>10</v>
      </c>
      <c r="E1004" t="s">
        <v>12</v>
      </c>
      <c r="F1004" t="s">
        <v>150</v>
      </c>
      <c r="L1004" t="s">
        <v>4635</v>
      </c>
      <c r="N1004" t="s">
        <v>4635</v>
      </c>
      <c r="S1004" t="s">
        <v>4636</v>
      </c>
      <c r="T1004" t="s">
        <v>4637</v>
      </c>
      <c r="U1004" t="s">
        <v>4638</v>
      </c>
      <c r="V1004" t="s">
        <v>4635</v>
      </c>
      <c r="W1004" t="s">
        <v>134</v>
      </c>
      <c r="X1004" t="s">
        <v>4639</v>
      </c>
      <c r="Y1004">
        <v>0</v>
      </c>
      <c r="Z1004">
        <v>285</v>
      </c>
    </row>
    <row r="1005" spans="1:26">
      <c r="A1005" s="1">
        <v>1003</v>
      </c>
      <c r="B1005" t="str">
        <f>HYPERLINK("https://bugs.eclipse.org/bugs/show_bug.cgi?id=35788", "35788")</f>
        <v>35788</v>
      </c>
      <c r="C1005" t="s">
        <v>4640</v>
      </c>
      <c r="D1005" t="s">
        <v>10</v>
      </c>
      <c r="E1005" t="s">
        <v>15</v>
      </c>
      <c r="F1005" t="s">
        <v>26</v>
      </c>
      <c r="G1005" t="s">
        <v>4641</v>
      </c>
      <c r="L1005" t="s">
        <v>4642</v>
      </c>
      <c r="Q1005" t="s">
        <v>4642</v>
      </c>
      <c r="T1005" t="s">
        <v>4643</v>
      </c>
      <c r="U1005" t="s">
        <v>4644</v>
      </c>
      <c r="V1005" t="s">
        <v>4642</v>
      </c>
      <c r="W1005" t="s">
        <v>851</v>
      </c>
      <c r="X1005" t="s">
        <v>4645</v>
      </c>
      <c r="Y1005">
        <v>1</v>
      </c>
      <c r="Z1005">
        <v>1091</v>
      </c>
    </row>
    <row r="1006" spans="1:26">
      <c r="A1006" s="1">
        <v>1004</v>
      </c>
      <c r="B1006" t="str">
        <f>HYPERLINK("https://bugs.eclipse.org/bugs/show_bug.cgi?id=35803", "35803")</f>
        <v>35803</v>
      </c>
      <c r="C1006" t="s">
        <v>4646</v>
      </c>
      <c r="D1006" t="s">
        <v>10</v>
      </c>
      <c r="E1006" t="s">
        <v>15</v>
      </c>
      <c r="F1006" t="s">
        <v>26</v>
      </c>
      <c r="L1006" t="s">
        <v>4647</v>
      </c>
      <c r="Q1006" t="s">
        <v>4647</v>
      </c>
      <c r="S1006" t="s">
        <v>4648</v>
      </c>
      <c r="T1006" t="s">
        <v>4649</v>
      </c>
      <c r="U1006" t="s">
        <v>4650</v>
      </c>
      <c r="V1006" t="s">
        <v>4647</v>
      </c>
      <c r="W1006" t="s">
        <v>86</v>
      </c>
      <c r="X1006" t="s">
        <v>4651</v>
      </c>
      <c r="Y1006">
        <v>0</v>
      </c>
      <c r="Z1006">
        <v>535.95833333333337</v>
      </c>
    </row>
    <row r="1007" spans="1:26">
      <c r="A1007" s="1">
        <v>1005</v>
      </c>
      <c r="B1007" t="str">
        <f>HYPERLINK("https://bugs.eclipse.org/bugs/show_bug.cgi?id=35839", "35839")</f>
        <v>35839</v>
      </c>
      <c r="C1007" t="s">
        <v>56</v>
      </c>
      <c r="D1007" t="s">
        <v>10</v>
      </c>
      <c r="E1007" t="s">
        <v>14</v>
      </c>
      <c r="F1007" t="s">
        <v>26</v>
      </c>
      <c r="L1007" t="s">
        <v>4652</v>
      </c>
      <c r="P1007" t="s">
        <v>4653</v>
      </c>
      <c r="T1007" t="s">
        <v>4654</v>
      </c>
      <c r="U1007" t="s">
        <v>4652</v>
      </c>
      <c r="V1007" t="s">
        <v>4653</v>
      </c>
      <c r="W1007" t="s">
        <v>75</v>
      </c>
      <c r="X1007" t="s">
        <v>4655</v>
      </c>
      <c r="Y1007">
        <v>3</v>
      </c>
      <c r="Z1007">
        <v>2346.958333333333</v>
      </c>
    </row>
    <row r="1008" spans="1:26">
      <c r="A1008" s="1">
        <v>1006</v>
      </c>
      <c r="B1008" t="str">
        <f>HYPERLINK("https://bugs.eclipse.org/bugs/show_bug.cgi?id=35854", "35854")</f>
        <v>35854</v>
      </c>
      <c r="C1008" t="s">
        <v>140</v>
      </c>
      <c r="D1008" t="s">
        <v>10</v>
      </c>
      <c r="E1008" t="s">
        <v>16</v>
      </c>
      <c r="F1008" t="s">
        <v>26</v>
      </c>
      <c r="L1008" t="s">
        <v>4656</v>
      </c>
      <c r="R1008" t="s">
        <v>4656</v>
      </c>
      <c r="S1008" t="s">
        <v>4657</v>
      </c>
      <c r="T1008" t="s">
        <v>4658</v>
      </c>
      <c r="U1008" t="s">
        <v>4659</v>
      </c>
      <c r="V1008" t="s">
        <v>4656</v>
      </c>
      <c r="W1008" t="s">
        <v>1954</v>
      </c>
      <c r="X1008" t="s">
        <v>4660</v>
      </c>
      <c r="Y1008">
        <v>1</v>
      </c>
      <c r="Z1008">
        <v>1571.958333333333</v>
      </c>
    </row>
    <row r="1009" spans="1:26">
      <c r="A1009" s="1">
        <v>1007</v>
      </c>
      <c r="B1009" t="str">
        <f>HYPERLINK("https://bugs.eclipse.org/bugs/show_bug.cgi?id=35855", "35855")</f>
        <v>35855</v>
      </c>
      <c r="C1009" t="s">
        <v>56</v>
      </c>
      <c r="D1009" t="s">
        <v>10</v>
      </c>
      <c r="E1009" t="s">
        <v>14</v>
      </c>
      <c r="F1009" t="s">
        <v>26</v>
      </c>
      <c r="L1009" t="s">
        <v>4661</v>
      </c>
      <c r="P1009" t="s">
        <v>4662</v>
      </c>
      <c r="T1009" t="s">
        <v>4663</v>
      </c>
      <c r="U1009" t="s">
        <v>4661</v>
      </c>
      <c r="V1009" t="s">
        <v>4662</v>
      </c>
      <c r="W1009" t="s">
        <v>80</v>
      </c>
      <c r="X1009" t="s">
        <v>4664</v>
      </c>
      <c r="Y1009">
        <v>1</v>
      </c>
      <c r="Z1009">
        <v>2344.958333333333</v>
      </c>
    </row>
    <row r="1010" spans="1:26">
      <c r="A1010" s="1">
        <v>1008</v>
      </c>
      <c r="B1010" t="str">
        <f>HYPERLINK("https://bugs.eclipse.org/bugs/show_bug.cgi?id=35866", "35866")</f>
        <v>35866</v>
      </c>
      <c r="C1010" t="s">
        <v>149</v>
      </c>
      <c r="D1010" t="s">
        <v>10</v>
      </c>
      <c r="E1010" t="s">
        <v>12</v>
      </c>
      <c r="F1010" t="s">
        <v>26</v>
      </c>
      <c r="L1010" t="s">
        <v>4665</v>
      </c>
      <c r="N1010" t="s">
        <v>4665</v>
      </c>
      <c r="T1010" t="s">
        <v>4666</v>
      </c>
      <c r="U1010" t="s">
        <v>4667</v>
      </c>
      <c r="V1010" t="s">
        <v>4665</v>
      </c>
      <c r="W1010" t="s">
        <v>86</v>
      </c>
      <c r="X1010" t="s">
        <v>4668</v>
      </c>
      <c r="Y1010">
        <v>0</v>
      </c>
      <c r="Z1010">
        <v>632</v>
      </c>
    </row>
    <row r="1011" spans="1:26">
      <c r="A1011" s="1">
        <v>1009</v>
      </c>
      <c r="B1011" t="str">
        <f>HYPERLINK("https://bugs.eclipse.org/bugs/show_bug.cgi?id=35905", "35905")</f>
        <v>35905</v>
      </c>
      <c r="C1011" t="s">
        <v>149</v>
      </c>
      <c r="D1011" t="s">
        <v>10</v>
      </c>
      <c r="E1011" t="s">
        <v>12</v>
      </c>
      <c r="F1011" t="s">
        <v>26</v>
      </c>
      <c r="L1011" t="s">
        <v>4669</v>
      </c>
      <c r="N1011" t="s">
        <v>4669</v>
      </c>
      <c r="T1011" t="s">
        <v>4670</v>
      </c>
      <c r="U1011" t="s">
        <v>4671</v>
      </c>
      <c r="V1011" t="s">
        <v>4669</v>
      </c>
      <c r="W1011" t="s">
        <v>86</v>
      </c>
      <c r="X1011" t="s">
        <v>4672</v>
      </c>
      <c r="Y1011">
        <v>0</v>
      </c>
      <c r="Z1011">
        <v>120.9583333333333</v>
      </c>
    </row>
    <row r="1012" spans="1:26">
      <c r="A1012" s="1">
        <v>1010</v>
      </c>
      <c r="B1012" t="str">
        <f>HYPERLINK("https://bugs.eclipse.org/bugs/show_bug.cgi?id=35921", "35921")</f>
        <v>35921</v>
      </c>
      <c r="C1012" t="s">
        <v>4673</v>
      </c>
      <c r="D1012" t="s">
        <v>10</v>
      </c>
      <c r="E1012" t="s">
        <v>15</v>
      </c>
      <c r="F1012" t="s">
        <v>26</v>
      </c>
      <c r="G1012" t="s">
        <v>4674</v>
      </c>
      <c r="L1012" t="s">
        <v>4675</v>
      </c>
      <c r="Q1012" t="s">
        <v>4676</v>
      </c>
      <c r="T1012" t="s">
        <v>4677</v>
      </c>
      <c r="U1012" t="s">
        <v>4678</v>
      </c>
      <c r="V1012" t="s">
        <v>4676</v>
      </c>
      <c r="W1012" t="s">
        <v>1954</v>
      </c>
      <c r="X1012" t="s">
        <v>4679</v>
      </c>
      <c r="Y1012">
        <v>0</v>
      </c>
      <c r="Z1012">
        <v>1637.958333333333</v>
      </c>
    </row>
    <row r="1013" spans="1:26">
      <c r="A1013" s="1">
        <v>1011</v>
      </c>
      <c r="B1013" t="str">
        <f>HYPERLINK("https://bugs.eclipse.org/bugs/show_bug.cgi?id=35981", "35981")</f>
        <v>35981</v>
      </c>
      <c r="C1013" t="s">
        <v>149</v>
      </c>
      <c r="D1013" t="s">
        <v>10</v>
      </c>
      <c r="E1013" t="s">
        <v>12</v>
      </c>
      <c r="F1013" t="s">
        <v>26</v>
      </c>
      <c r="L1013" t="s">
        <v>4680</v>
      </c>
      <c r="N1013" t="s">
        <v>4680</v>
      </c>
      <c r="T1013" t="s">
        <v>4681</v>
      </c>
      <c r="U1013" t="s">
        <v>4682</v>
      </c>
      <c r="V1013" t="s">
        <v>4680</v>
      </c>
      <c r="W1013" t="s">
        <v>60</v>
      </c>
      <c r="X1013" t="s">
        <v>4683</v>
      </c>
      <c r="Y1013">
        <v>0</v>
      </c>
      <c r="Z1013">
        <v>5.958333333333333</v>
      </c>
    </row>
    <row r="1014" spans="1:26">
      <c r="A1014" s="1">
        <v>1012</v>
      </c>
      <c r="B1014" t="str">
        <f>HYPERLINK("https://bugs.eclipse.org/bugs/show_bug.cgi?id=36027", "36027")</f>
        <v>36027</v>
      </c>
      <c r="C1014" t="s">
        <v>56</v>
      </c>
      <c r="D1014" t="s">
        <v>10</v>
      </c>
      <c r="E1014" t="s">
        <v>14</v>
      </c>
      <c r="F1014" t="s">
        <v>26</v>
      </c>
      <c r="L1014" t="s">
        <v>4684</v>
      </c>
      <c r="P1014" t="s">
        <v>2128</v>
      </c>
      <c r="T1014" t="s">
        <v>4685</v>
      </c>
      <c r="U1014" t="s">
        <v>4686</v>
      </c>
      <c r="V1014" t="s">
        <v>2128</v>
      </c>
      <c r="W1014" t="s">
        <v>80</v>
      </c>
      <c r="X1014" t="s">
        <v>4687</v>
      </c>
      <c r="Y1014">
        <v>0</v>
      </c>
      <c r="Z1014">
        <v>2340.958333333333</v>
      </c>
    </row>
    <row r="1015" spans="1:26">
      <c r="A1015" s="1">
        <v>1013</v>
      </c>
      <c r="B1015" t="str">
        <f>HYPERLINK("https://bugs.eclipse.org/bugs/show_bug.cgi?id=36037", "36037")</f>
        <v>36037</v>
      </c>
      <c r="C1015" t="s">
        <v>56</v>
      </c>
      <c r="D1015" t="s">
        <v>10</v>
      </c>
      <c r="E1015" t="s">
        <v>14</v>
      </c>
      <c r="F1015" t="s">
        <v>51</v>
      </c>
      <c r="L1015" t="s">
        <v>4688</v>
      </c>
      <c r="P1015" t="s">
        <v>4689</v>
      </c>
      <c r="T1015" t="s">
        <v>4690</v>
      </c>
      <c r="U1015" t="s">
        <v>4688</v>
      </c>
      <c r="V1015" t="s">
        <v>4689</v>
      </c>
      <c r="W1015" t="s">
        <v>75</v>
      </c>
      <c r="X1015" t="s">
        <v>4691</v>
      </c>
      <c r="Y1015">
        <v>1</v>
      </c>
      <c r="Z1015">
        <v>2340.958333333333</v>
      </c>
    </row>
    <row r="1016" spans="1:26">
      <c r="A1016" s="1">
        <v>1014</v>
      </c>
      <c r="B1016" t="str">
        <f>HYPERLINK("https://bugs.eclipse.org/bugs/show_bug.cgi?id=36049", "36049")</f>
        <v>36049</v>
      </c>
      <c r="C1016" t="s">
        <v>4692</v>
      </c>
      <c r="D1016" t="s">
        <v>4692</v>
      </c>
      <c r="F1016" t="s">
        <v>26</v>
      </c>
      <c r="G1016" t="s">
        <v>4693</v>
      </c>
      <c r="L1016" t="s">
        <v>4694</v>
      </c>
      <c r="S1016" t="s">
        <v>4695</v>
      </c>
      <c r="T1016" t="s">
        <v>4696</v>
      </c>
      <c r="U1016" t="s">
        <v>4697</v>
      </c>
      <c r="V1016" t="s">
        <v>4698</v>
      </c>
      <c r="W1016" t="s">
        <v>143</v>
      </c>
      <c r="X1016" t="s">
        <v>4699</v>
      </c>
      <c r="Y1016">
        <v>1</v>
      </c>
    </row>
    <row r="1017" spans="1:26">
      <c r="A1017" s="1">
        <v>1015</v>
      </c>
      <c r="B1017" t="str">
        <f>HYPERLINK("https://bugs.eclipse.org/bugs/show_bug.cgi?id=36126", "36126")</f>
        <v>36126</v>
      </c>
      <c r="C1017" t="s">
        <v>4700</v>
      </c>
      <c r="D1017" t="s">
        <v>10</v>
      </c>
      <c r="E1017" t="s">
        <v>15</v>
      </c>
      <c r="F1017" t="s">
        <v>26</v>
      </c>
      <c r="L1017" t="s">
        <v>4701</v>
      </c>
      <c r="Q1017" t="s">
        <v>4701</v>
      </c>
      <c r="T1017" t="s">
        <v>4702</v>
      </c>
      <c r="U1017" t="s">
        <v>4703</v>
      </c>
      <c r="V1017" t="s">
        <v>4701</v>
      </c>
      <c r="W1017" t="s">
        <v>60</v>
      </c>
      <c r="X1017" t="s">
        <v>4704</v>
      </c>
      <c r="Y1017">
        <v>0</v>
      </c>
      <c r="Z1017">
        <v>1</v>
      </c>
    </row>
    <row r="1018" spans="1:26">
      <c r="A1018" s="1">
        <v>1016</v>
      </c>
      <c r="B1018" t="str">
        <f>HYPERLINK("https://bugs.eclipse.org/bugs/show_bug.cgi?id=36188", "36188")</f>
        <v>36188</v>
      </c>
      <c r="C1018" t="s">
        <v>4705</v>
      </c>
      <c r="D1018" t="s">
        <v>10</v>
      </c>
      <c r="E1018" t="s">
        <v>15</v>
      </c>
      <c r="F1018" t="s">
        <v>26</v>
      </c>
      <c r="L1018" t="s">
        <v>4706</v>
      </c>
      <c r="Q1018" t="s">
        <v>4706</v>
      </c>
      <c r="T1018" t="s">
        <v>4707</v>
      </c>
      <c r="U1018" t="s">
        <v>4708</v>
      </c>
      <c r="V1018" t="s">
        <v>4706</v>
      </c>
      <c r="W1018" t="s">
        <v>60</v>
      </c>
      <c r="X1018" t="s">
        <v>4709</v>
      </c>
      <c r="Y1018">
        <v>0</v>
      </c>
      <c r="Z1018">
        <v>1</v>
      </c>
    </row>
    <row r="1019" spans="1:26">
      <c r="A1019" s="1">
        <v>1017</v>
      </c>
      <c r="B1019" t="str">
        <f>HYPERLINK("https://bugs.eclipse.org/bugs/show_bug.cgi?id=36196", "36196")</f>
        <v>36196</v>
      </c>
      <c r="C1019" t="s">
        <v>149</v>
      </c>
      <c r="D1019" t="s">
        <v>10</v>
      </c>
      <c r="E1019" t="s">
        <v>12</v>
      </c>
      <c r="F1019" t="s">
        <v>51</v>
      </c>
      <c r="L1019" t="s">
        <v>4710</v>
      </c>
      <c r="N1019" t="s">
        <v>4710</v>
      </c>
      <c r="T1019" t="s">
        <v>4711</v>
      </c>
      <c r="U1019" t="s">
        <v>4712</v>
      </c>
      <c r="V1019" t="s">
        <v>4710</v>
      </c>
      <c r="W1019" t="s">
        <v>2668</v>
      </c>
      <c r="X1019" t="s">
        <v>4713</v>
      </c>
      <c r="Y1019">
        <v>30</v>
      </c>
      <c r="Z1019">
        <v>650.04166666666663</v>
      </c>
    </row>
    <row r="1020" spans="1:26">
      <c r="A1020" s="1">
        <v>1018</v>
      </c>
      <c r="B1020" t="str">
        <f>HYPERLINK("https://bugs.eclipse.org/bugs/show_bug.cgi?id=36199", "36199")</f>
        <v>36199</v>
      </c>
      <c r="C1020" t="s">
        <v>56</v>
      </c>
      <c r="D1020" t="s">
        <v>10</v>
      </c>
      <c r="E1020" t="s">
        <v>14</v>
      </c>
      <c r="F1020" t="s">
        <v>26</v>
      </c>
      <c r="L1020" t="s">
        <v>4714</v>
      </c>
      <c r="P1020" t="s">
        <v>4715</v>
      </c>
      <c r="T1020" t="s">
        <v>4716</v>
      </c>
      <c r="U1020" t="s">
        <v>4714</v>
      </c>
      <c r="V1020" t="s">
        <v>4715</v>
      </c>
      <c r="W1020" t="s">
        <v>80</v>
      </c>
      <c r="X1020" t="s">
        <v>4717</v>
      </c>
      <c r="Y1020">
        <v>30</v>
      </c>
      <c r="Z1020">
        <v>2336</v>
      </c>
    </row>
    <row r="1021" spans="1:26">
      <c r="A1021" s="1">
        <v>1019</v>
      </c>
      <c r="B1021" t="str">
        <f>HYPERLINK("https://bugs.eclipse.org/bugs/show_bug.cgi?id=36204", "36204")</f>
        <v>36204</v>
      </c>
      <c r="C1021" t="s">
        <v>149</v>
      </c>
      <c r="D1021" t="s">
        <v>10</v>
      </c>
      <c r="E1021" t="s">
        <v>12</v>
      </c>
      <c r="F1021" t="s">
        <v>26</v>
      </c>
      <c r="G1021" t="s">
        <v>4718</v>
      </c>
      <c r="L1021" t="s">
        <v>4719</v>
      </c>
      <c r="M1021" t="s">
        <v>4720</v>
      </c>
      <c r="N1021" t="s">
        <v>4719</v>
      </c>
      <c r="S1021" t="s">
        <v>4721</v>
      </c>
      <c r="T1021" t="s">
        <v>4722</v>
      </c>
      <c r="U1021" t="s">
        <v>4723</v>
      </c>
      <c r="V1021" t="s">
        <v>4719</v>
      </c>
      <c r="W1021" t="s">
        <v>49</v>
      </c>
      <c r="X1021" t="s">
        <v>4724</v>
      </c>
      <c r="Y1021">
        <v>0</v>
      </c>
      <c r="Z1021">
        <v>749</v>
      </c>
    </row>
    <row r="1022" spans="1:26">
      <c r="A1022" s="1">
        <v>1020</v>
      </c>
      <c r="B1022" t="str">
        <f>HYPERLINK("https://bugs.eclipse.org/bugs/show_bug.cgi?id=36205", "36205")</f>
        <v>36205</v>
      </c>
      <c r="C1022" t="s">
        <v>149</v>
      </c>
      <c r="D1022" t="s">
        <v>10</v>
      </c>
      <c r="E1022" t="s">
        <v>12</v>
      </c>
      <c r="F1022" t="s">
        <v>26</v>
      </c>
      <c r="G1022" t="s">
        <v>4725</v>
      </c>
      <c r="L1022" t="s">
        <v>4726</v>
      </c>
      <c r="N1022" t="s">
        <v>4726</v>
      </c>
      <c r="T1022" t="s">
        <v>4727</v>
      </c>
      <c r="U1022" t="s">
        <v>4728</v>
      </c>
      <c r="V1022" t="s">
        <v>4726</v>
      </c>
      <c r="W1022" t="s">
        <v>49</v>
      </c>
      <c r="X1022" t="s">
        <v>4729</v>
      </c>
      <c r="Y1022">
        <v>0</v>
      </c>
      <c r="Z1022">
        <v>1492</v>
      </c>
    </row>
    <row r="1023" spans="1:26">
      <c r="A1023" s="1">
        <v>1021</v>
      </c>
      <c r="B1023" t="str">
        <f>HYPERLINK("https://bugs.eclipse.org/bugs/show_bug.cgi?id=36277", "36277")</f>
        <v>36277</v>
      </c>
      <c r="C1023" t="s">
        <v>56</v>
      </c>
      <c r="D1023" t="s">
        <v>10</v>
      </c>
      <c r="E1023" t="s">
        <v>14</v>
      </c>
      <c r="F1023" t="s">
        <v>26</v>
      </c>
      <c r="L1023" t="s">
        <v>4730</v>
      </c>
      <c r="P1023" t="s">
        <v>4730</v>
      </c>
      <c r="T1023" t="s">
        <v>4731</v>
      </c>
      <c r="U1023" t="s">
        <v>4732</v>
      </c>
      <c r="V1023" t="s">
        <v>4730</v>
      </c>
      <c r="W1023" t="s">
        <v>86</v>
      </c>
      <c r="X1023" t="s">
        <v>4733</v>
      </c>
      <c r="Y1023">
        <v>29</v>
      </c>
      <c r="Z1023">
        <v>497</v>
      </c>
    </row>
    <row r="1024" spans="1:26">
      <c r="A1024" s="1">
        <v>1022</v>
      </c>
      <c r="B1024" t="str">
        <f>HYPERLINK("https://bugs.eclipse.org/bugs/show_bug.cgi?id=36342", "36342")</f>
        <v>36342</v>
      </c>
      <c r="C1024" t="s">
        <v>995</v>
      </c>
      <c r="D1024" t="s">
        <v>192</v>
      </c>
      <c r="E1024" t="s">
        <v>12</v>
      </c>
      <c r="F1024" t="s">
        <v>26</v>
      </c>
      <c r="L1024" t="s">
        <v>4734</v>
      </c>
      <c r="N1024" t="s">
        <v>4734</v>
      </c>
      <c r="T1024" t="s">
        <v>4735</v>
      </c>
      <c r="U1024" t="s">
        <v>4736</v>
      </c>
      <c r="V1024" t="s">
        <v>4737</v>
      </c>
      <c r="W1024" t="s">
        <v>4738</v>
      </c>
      <c r="X1024" t="s">
        <v>4739</v>
      </c>
      <c r="Y1024">
        <v>0</v>
      </c>
      <c r="Z1024">
        <v>23</v>
      </c>
    </row>
    <row r="1025" spans="1:26">
      <c r="A1025" s="1">
        <v>1023</v>
      </c>
      <c r="B1025" t="str">
        <f>HYPERLINK("https://bugs.eclipse.org/bugs/show_bug.cgi?id=36350", "36350")</f>
        <v>36350</v>
      </c>
      <c r="C1025" t="s">
        <v>149</v>
      </c>
      <c r="D1025" t="s">
        <v>10</v>
      </c>
      <c r="E1025" t="s">
        <v>12</v>
      </c>
      <c r="F1025" t="s">
        <v>51</v>
      </c>
      <c r="G1025" t="s">
        <v>4740</v>
      </c>
      <c r="L1025" t="s">
        <v>4741</v>
      </c>
      <c r="N1025" t="s">
        <v>4741</v>
      </c>
      <c r="S1025" t="s">
        <v>4742</v>
      </c>
      <c r="T1025" t="s">
        <v>4743</v>
      </c>
      <c r="U1025" t="s">
        <v>4744</v>
      </c>
      <c r="V1025" t="s">
        <v>4745</v>
      </c>
      <c r="W1025" t="s">
        <v>851</v>
      </c>
      <c r="X1025" t="s">
        <v>4746</v>
      </c>
      <c r="Y1025">
        <v>0</v>
      </c>
      <c r="Z1025">
        <v>2259</v>
      </c>
    </row>
    <row r="1026" spans="1:26">
      <c r="A1026" s="1">
        <v>1024</v>
      </c>
      <c r="B1026" t="str">
        <f>HYPERLINK("https://bugs.eclipse.org/bugs/show_bug.cgi?id=36365", "36365")</f>
        <v>36365</v>
      </c>
      <c r="C1026" t="s">
        <v>149</v>
      </c>
      <c r="D1026" t="s">
        <v>10</v>
      </c>
      <c r="E1026" t="s">
        <v>12</v>
      </c>
      <c r="F1026" t="s">
        <v>26</v>
      </c>
      <c r="L1026" t="s">
        <v>4747</v>
      </c>
      <c r="N1026" t="s">
        <v>4747</v>
      </c>
      <c r="T1026" t="s">
        <v>4748</v>
      </c>
      <c r="U1026" t="s">
        <v>4749</v>
      </c>
      <c r="V1026" t="s">
        <v>4747</v>
      </c>
      <c r="W1026" t="s">
        <v>86</v>
      </c>
      <c r="X1026" t="s">
        <v>4750</v>
      </c>
      <c r="Y1026">
        <v>1</v>
      </c>
      <c r="Z1026">
        <v>622.04166666666663</v>
      </c>
    </row>
    <row r="1027" spans="1:26">
      <c r="A1027" s="1">
        <v>1025</v>
      </c>
      <c r="B1027" t="str">
        <f>HYPERLINK("https://bugs.eclipse.org/bugs/show_bug.cgi?id=36428", "36428")</f>
        <v>36428</v>
      </c>
      <c r="C1027" t="s">
        <v>149</v>
      </c>
      <c r="D1027" t="s">
        <v>10</v>
      </c>
      <c r="E1027" t="s">
        <v>12</v>
      </c>
      <c r="F1027" t="s">
        <v>26</v>
      </c>
      <c r="L1027" t="s">
        <v>4751</v>
      </c>
      <c r="N1027" t="s">
        <v>4751</v>
      </c>
      <c r="T1027" t="s">
        <v>4752</v>
      </c>
      <c r="U1027" t="s">
        <v>4753</v>
      </c>
      <c r="V1027" t="s">
        <v>4751</v>
      </c>
      <c r="W1027" t="s">
        <v>86</v>
      </c>
      <c r="X1027" t="s">
        <v>4754</v>
      </c>
      <c r="Y1027">
        <v>0</v>
      </c>
      <c r="Z1027">
        <v>494</v>
      </c>
    </row>
    <row r="1028" spans="1:26">
      <c r="A1028" s="1">
        <v>1026</v>
      </c>
      <c r="B1028" t="str">
        <f>HYPERLINK("https://bugs.eclipse.org/bugs/show_bug.cgi?id=36457", "36457")</f>
        <v>36457</v>
      </c>
      <c r="C1028" t="s">
        <v>140</v>
      </c>
      <c r="D1028" t="s">
        <v>10</v>
      </c>
      <c r="E1028" t="s">
        <v>16</v>
      </c>
      <c r="F1028" t="s">
        <v>26</v>
      </c>
      <c r="L1028" t="s">
        <v>4755</v>
      </c>
      <c r="R1028" t="s">
        <v>4755</v>
      </c>
      <c r="T1028" t="s">
        <v>4756</v>
      </c>
      <c r="U1028" t="s">
        <v>4757</v>
      </c>
      <c r="V1028" t="s">
        <v>4755</v>
      </c>
      <c r="W1028" t="s">
        <v>60</v>
      </c>
      <c r="X1028" t="s">
        <v>4758</v>
      </c>
      <c r="Y1028">
        <v>0</v>
      </c>
      <c r="Z1028">
        <v>3</v>
      </c>
    </row>
    <row r="1029" spans="1:26">
      <c r="A1029" s="1">
        <v>1027</v>
      </c>
      <c r="B1029" t="str">
        <f>HYPERLINK("https://bugs.eclipse.org/bugs/show_bug.cgi?id=36469", "36469")</f>
        <v>36469</v>
      </c>
      <c r="C1029" t="s">
        <v>140</v>
      </c>
      <c r="D1029" t="s">
        <v>10</v>
      </c>
      <c r="E1029" t="s">
        <v>16</v>
      </c>
      <c r="F1029" t="s">
        <v>26</v>
      </c>
      <c r="L1029" t="s">
        <v>4759</v>
      </c>
      <c r="R1029" t="s">
        <v>4759</v>
      </c>
      <c r="T1029" t="s">
        <v>4760</v>
      </c>
      <c r="U1029" t="s">
        <v>4761</v>
      </c>
      <c r="V1029" t="s">
        <v>4759</v>
      </c>
      <c r="W1029" t="s">
        <v>86</v>
      </c>
      <c r="X1029" t="s">
        <v>4762</v>
      </c>
      <c r="Y1029">
        <v>1</v>
      </c>
      <c r="Z1029">
        <v>400</v>
      </c>
    </row>
    <row r="1030" spans="1:26">
      <c r="A1030" s="1">
        <v>1028</v>
      </c>
      <c r="B1030" t="str">
        <f>HYPERLINK("https://bugs.eclipse.org/bugs/show_bug.cgi?id=36486", "36486")</f>
        <v>36486</v>
      </c>
      <c r="C1030" t="s">
        <v>149</v>
      </c>
      <c r="D1030" t="s">
        <v>10</v>
      </c>
      <c r="E1030" t="s">
        <v>12</v>
      </c>
      <c r="F1030" t="s">
        <v>150</v>
      </c>
      <c r="L1030" t="s">
        <v>4763</v>
      </c>
      <c r="N1030" t="s">
        <v>4763</v>
      </c>
      <c r="T1030" t="s">
        <v>4764</v>
      </c>
      <c r="U1030" t="s">
        <v>4765</v>
      </c>
      <c r="V1030" t="s">
        <v>4763</v>
      </c>
      <c r="W1030" t="s">
        <v>60</v>
      </c>
      <c r="X1030" t="s">
        <v>4766</v>
      </c>
      <c r="Y1030">
        <v>0</v>
      </c>
      <c r="Z1030">
        <v>2</v>
      </c>
    </row>
    <row r="1031" spans="1:26">
      <c r="A1031" s="1">
        <v>1029</v>
      </c>
      <c r="B1031" t="str">
        <f>HYPERLINK("https://bugs.eclipse.org/bugs/show_bug.cgi?id=36502", "36502")</f>
        <v>36502</v>
      </c>
      <c r="C1031" t="s">
        <v>149</v>
      </c>
      <c r="D1031" t="s">
        <v>10</v>
      </c>
      <c r="E1031" t="s">
        <v>12</v>
      </c>
      <c r="F1031" t="s">
        <v>26</v>
      </c>
      <c r="L1031" t="s">
        <v>4767</v>
      </c>
      <c r="N1031" t="s">
        <v>4767</v>
      </c>
      <c r="T1031" t="s">
        <v>4768</v>
      </c>
      <c r="U1031" t="s">
        <v>4769</v>
      </c>
      <c r="V1031" t="s">
        <v>4767</v>
      </c>
      <c r="W1031" t="s">
        <v>60</v>
      </c>
      <c r="X1031" t="s">
        <v>4770</v>
      </c>
      <c r="Y1031">
        <v>0</v>
      </c>
      <c r="Z1031">
        <v>20</v>
      </c>
    </row>
    <row r="1032" spans="1:26">
      <c r="A1032" s="1">
        <v>1030</v>
      </c>
      <c r="B1032" t="str">
        <f>HYPERLINK("https://bugs.eclipse.org/bugs/show_bug.cgi?id=36566", "36566")</f>
        <v>36566</v>
      </c>
      <c r="C1032" t="s">
        <v>4771</v>
      </c>
      <c r="D1032" t="s">
        <v>10</v>
      </c>
      <c r="E1032" t="s">
        <v>15</v>
      </c>
      <c r="F1032" t="s">
        <v>26</v>
      </c>
      <c r="L1032" t="s">
        <v>4772</v>
      </c>
      <c r="Q1032" t="s">
        <v>4772</v>
      </c>
      <c r="T1032" t="s">
        <v>4773</v>
      </c>
      <c r="U1032" t="s">
        <v>4774</v>
      </c>
      <c r="V1032" t="s">
        <v>4772</v>
      </c>
      <c r="W1032" t="s">
        <v>60</v>
      </c>
      <c r="X1032" t="s">
        <v>4775</v>
      </c>
      <c r="Y1032">
        <v>0</v>
      </c>
      <c r="Z1032">
        <v>0</v>
      </c>
    </row>
    <row r="1033" spans="1:26">
      <c r="A1033" s="1">
        <v>1031</v>
      </c>
      <c r="B1033" t="str">
        <f>HYPERLINK("https://bugs.eclipse.org/bugs/show_bug.cgi?id=36567", "36567")</f>
        <v>36567</v>
      </c>
      <c r="C1033" t="s">
        <v>149</v>
      </c>
      <c r="D1033" t="s">
        <v>10</v>
      </c>
      <c r="E1033" t="s">
        <v>12</v>
      </c>
      <c r="F1033" t="s">
        <v>26</v>
      </c>
      <c r="L1033" t="s">
        <v>4776</v>
      </c>
      <c r="N1033" t="s">
        <v>4776</v>
      </c>
      <c r="T1033" t="s">
        <v>4777</v>
      </c>
      <c r="U1033" t="s">
        <v>4778</v>
      </c>
      <c r="V1033" t="s">
        <v>4776</v>
      </c>
      <c r="W1033" t="s">
        <v>86</v>
      </c>
      <c r="X1033" t="s">
        <v>4779</v>
      </c>
      <c r="Y1033">
        <v>0</v>
      </c>
      <c r="Z1033">
        <v>41</v>
      </c>
    </row>
    <row r="1034" spans="1:26">
      <c r="A1034" s="1">
        <v>1032</v>
      </c>
      <c r="B1034" t="str">
        <f>HYPERLINK("https://bugs.eclipse.org/bugs/show_bug.cgi?id=36571", "36571")</f>
        <v>36571</v>
      </c>
      <c r="C1034" t="s">
        <v>149</v>
      </c>
      <c r="D1034" t="s">
        <v>10</v>
      </c>
      <c r="E1034" t="s">
        <v>12</v>
      </c>
      <c r="F1034" t="s">
        <v>26</v>
      </c>
      <c r="L1034" t="s">
        <v>4780</v>
      </c>
      <c r="N1034" t="s">
        <v>4780</v>
      </c>
      <c r="T1034" t="s">
        <v>4781</v>
      </c>
      <c r="U1034" t="s">
        <v>4782</v>
      </c>
      <c r="V1034" t="s">
        <v>4780</v>
      </c>
      <c r="W1034" t="s">
        <v>86</v>
      </c>
      <c r="X1034" t="s">
        <v>4783</v>
      </c>
      <c r="Y1034">
        <v>0</v>
      </c>
      <c r="Z1034">
        <v>303.04166666666669</v>
      </c>
    </row>
    <row r="1035" spans="1:26">
      <c r="A1035" s="1">
        <v>1033</v>
      </c>
      <c r="B1035" t="str">
        <f>HYPERLINK("https://bugs.eclipse.org/bugs/show_bug.cgi?id=36578", "36578")</f>
        <v>36578</v>
      </c>
      <c r="C1035" t="s">
        <v>149</v>
      </c>
      <c r="D1035" t="s">
        <v>10</v>
      </c>
      <c r="E1035" t="s">
        <v>12</v>
      </c>
      <c r="F1035" t="s">
        <v>150</v>
      </c>
      <c r="L1035" t="s">
        <v>4784</v>
      </c>
      <c r="N1035" t="s">
        <v>4784</v>
      </c>
      <c r="T1035" t="s">
        <v>4785</v>
      </c>
      <c r="U1035" t="s">
        <v>4786</v>
      </c>
      <c r="V1035" t="s">
        <v>4784</v>
      </c>
      <c r="W1035" t="s">
        <v>60</v>
      </c>
      <c r="X1035" t="s">
        <v>4787</v>
      </c>
      <c r="Y1035">
        <v>1</v>
      </c>
      <c r="Z1035">
        <v>23</v>
      </c>
    </row>
    <row r="1036" spans="1:26">
      <c r="A1036" s="1">
        <v>1034</v>
      </c>
      <c r="B1036" t="str">
        <f>HYPERLINK("https://bugs.eclipse.org/bugs/show_bug.cgi?id=36618", "36618")</f>
        <v>36618</v>
      </c>
      <c r="C1036" t="s">
        <v>4788</v>
      </c>
      <c r="D1036" t="s">
        <v>10</v>
      </c>
      <c r="E1036" t="s">
        <v>15</v>
      </c>
      <c r="F1036" t="s">
        <v>26</v>
      </c>
      <c r="L1036" t="s">
        <v>4789</v>
      </c>
      <c r="Q1036" t="s">
        <v>4789</v>
      </c>
      <c r="T1036" t="s">
        <v>4790</v>
      </c>
      <c r="U1036" t="s">
        <v>4791</v>
      </c>
      <c r="V1036" t="s">
        <v>4789</v>
      </c>
      <c r="W1036" t="s">
        <v>86</v>
      </c>
      <c r="X1036" t="s">
        <v>4792</v>
      </c>
      <c r="Y1036">
        <v>0</v>
      </c>
      <c r="Z1036">
        <v>5</v>
      </c>
    </row>
    <row r="1037" spans="1:26">
      <c r="A1037" s="1">
        <v>1035</v>
      </c>
      <c r="B1037" t="str">
        <f>HYPERLINK("https://bugs.eclipse.org/bugs/show_bug.cgi?id=36625", "36625")</f>
        <v>36625</v>
      </c>
      <c r="C1037" t="s">
        <v>149</v>
      </c>
      <c r="D1037" t="s">
        <v>10</v>
      </c>
      <c r="E1037" t="s">
        <v>12</v>
      </c>
      <c r="F1037" t="s">
        <v>26</v>
      </c>
      <c r="L1037" t="s">
        <v>4793</v>
      </c>
      <c r="N1037" t="s">
        <v>4793</v>
      </c>
      <c r="T1037" t="s">
        <v>4794</v>
      </c>
      <c r="U1037" t="s">
        <v>4795</v>
      </c>
      <c r="V1037" t="s">
        <v>4793</v>
      </c>
      <c r="W1037" t="s">
        <v>49</v>
      </c>
      <c r="X1037" t="s">
        <v>4796</v>
      </c>
      <c r="Y1037">
        <v>5</v>
      </c>
      <c r="Z1037">
        <v>8</v>
      </c>
    </row>
    <row r="1038" spans="1:26">
      <c r="A1038" s="1">
        <v>1036</v>
      </c>
      <c r="B1038" t="str">
        <f>HYPERLINK("https://bugs.eclipse.org/bugs/show_bug.cgi?id=36761", "36761")</f>
        <v>36761</v>
      </c>
      <c r="C1038" t="s">
        <v>4797</v>
      </c>
      <c r="D1038" t="s">
        <v>10</v>
      </c>
      <c r="E1038" t="s">
        <v>15</v>
      </c>
      <c r="F1038" t="s">
        <v>51</v>
      </c>
      <c r="L1038" t="s">
        <v>4798</v>
      </c>
      <c r="Q1038" t="s">
        <v>4798</v>
      </c>
      <c r="S1038" t="s">
        <v>4799</v>
      </c>
      <c r="T1038" t="s">
        <v>4800</v>
      </c>
      <c r="U1038" t="s">
        <v>4801</v>
      </c>
      <c r="V1038" t="s">
        <v>4798</v>
      </c>
      <c r="W1038" t="s">
        <v>86</v>
      </c>
      <c r="X1038" t="s">
        <v>4802</v>
      </c>
      <c r="Y1038">
        <v>0</v>
      </c>
      <c r="Z1038">
        <v>13</v>
      </c>
    </row>
    <row r="1039" spans="1:26">
      <c r="A1039" s="1">
        <v>1037</v>
      </c>
      <c r="B1039" t="str">
        <f>HYPERLINK("https://bugs.eclipse.org/bugs/show_bug.cgi?id=36790", "36790")</f>
        <v>36790</v>
      </c>
      <c r="C1039" t="s">
        <v>140</v>
      </c>
      <c r="D1039" t="s">
        <v>10</v>
      </c>
      <c r="E1039" t="s">
        <v>16</v>
      </c>
      <c r="F1039" t="s">
        <v>26</v>
      </c>
      <c r="L1039" t="s">
        <v>4803</v>
      </c>
      <c r="R1039" t="s">
        <v>4803</v>
      </c>
      <c r="T1039" t="s">
        <v>4804</v>
      </c>
      <c r="U1039" t="s">
        <v>4805</v>
      </c>
      <c r="V1039" t="s">
        <v>4803</v>
      </c>
      <c r="W1039" t="s">
        <v>143</v>
      </c>
      <c r="X1039" t="s">
        <v>4806</v>
      </c>
      <c r="Y1039">
        <v>0</v>
      </c>
      <c r="Z1039">
        <v>1</v>
      </c>
    </row>
    <row r="1040" spans="1:26">
      <c r="A1040" s="1">
        <v>1038</v>
      </c>
      <c r="B1040" t="str">
        <f>HYPERLINK("https://bugs.eclipse.org/bugs/show_bug.cgi?id=36835", "36835")</f>
        <v>36835</v>
      </c>
      <c r="C1040" t="s">
        <v>149</v>
      </c>
      <c r="D1040" t="s">
        <v>10</v>
      </c>
      <c r="E1040" t="s">
        <v>12</v>
      </c>
      <c r="F1040" t="s">
        <v>26</v>
      </c>
      <c r="L1040" t="s">
        <v>4807</v>
      </c>
      <c r="N1040" t="s">
        <v>4807</v>
      </c>
      <c r="T1040" t="s">
        <v>4808</v>
      </c>
      <c r="U1040" t="s">
        <v>4809</v>
      </c>
      <c r="V1040" t="s">
        <v>4807</v>
      </c>
      <c r="W1040" t="s">
        <v>60</v>
      </c>
      <c r="X1040" t="s">
        <v>4810</v>
      </c>
      <c r="Y1040">
        <v>0</v>
      </c>
      <c r="Z1040">
        <v>11</v>
      </c>
    </row>
    <row r="1041" spans="1:26">
      <c r="A1041" s="1">
        <v>1039</v>
      </c>
      <c r="B1041" t="str">
        <f>HYPERLINK("https://bugs.eclipse.org/bugs/show_bug.cgi?id=36905", "36905")</f>
        <v>36905</v>
      </c>
      <c r="C1041" t="s">
        <v>149</v>
      </c>
      <c r="D1041" t="s">
        <v>10</v>
      </c>
      <c r="E1041" t="s">
        <v>12</v>
      </c>
      <c r="F1041" t="s">
        <v>26</v>
      </c>
      <c r="G1041" t="s">
        <v>4811</v>
      </c>
      <c r="L1041" t="s">
        <v>4812</v>
      </c>
      <c r="N1041" t="s">
        <v>4812</v>
      </c>
      <c r="T1041" t="s">
        <v>4813</v>
      </c>
      <c r="U1041" t="s">
        <v>4814</v>
      </c>
      <c r="V1041" t="s">
        <v>4815</v>
      </c>
      <c r="W1041" t="s">
        <v>4816</v>
      </c>
      <c r="X1041" t="s">
        <v>4817</v>
      </c>
      <c r="Y1041">
        <v>0</v>
      </c>
      <c r="Z1041">
        <v>6341</v>
      </c>
    </row>
    <row r="1042" spans="1:26">
      <c r="A1042" s="1">
        <v>1040</v>
      </c>
      <c r="B1042" t="str">
        <f>HYPERLINK("https://bugs.eclipse.org/bugs/show_bug.cgi?id=36940", "36940")</f>
        <v>36940</v>
      </c>
      <c r="C1042" t="s">
        <v>4818</v>
      </c>
      <c r="D1042" t="s">
        <v>10</v>
      </c>
      <c r="E1042" t="s">
        <v>15</v>
      </c>
      <c r="F1042" t="s">
        <v>51</v>
      </c>
      <c r="L1042" t="s">
        <v>4819</v>
      </c>
      <c r="Q1042" t="s">
        <v>4819</v>
      </c>
      <c r="T1042" t="s">
        <v>4820</v>
      </c>
      <c r="U1042" t="s">
        <v>4821</v>
      </c>
      <c r="V1042" t="s">
        <v>4819</v>
      </c>
      <c r="W1042" t="s">
        <v>4822</v>
      </c>
      <c r="X1042" t="s">
        <v>4823</v>
      </c>
      <c r="Y1042">
        <v>0</v>
      </c>
      <c r="Z1042">
        <v>26</v>
      </c>
    </row>
    <row r="1043" spans="1:26">
      <c r="A1043" s="1">
        <v>1041</v>
      </c>
      <c r="B1043" t="str">
        <f>HYPERLINK("https://bugs.eclipse.org/bugs/show_bug.cgi?id=36943", "36943")</f>
        <v>36943</v>
      </c>
      <c r="C1043" t="s">
        <v>149</v>
      </c>
      <c r="D1043" t="s">
        <v>10</v>
      </c>
      <c r="E1043" t="s">
        <v>12</v>
      </c>
      <c r="F1043" t="s">
        <v>51</v>
      </c>
      <c r="G1043" t="s">
        <v>4824</v>
      </c>
      <c r="L1043" t="s">
        <v>4825</v>
      </c>
      <c r="N1043" t="s">
        <v>4825</v>
      </c>
      <c r="T1043" t="s">
        <v>4826</v>
      </c>
      <c r="U1043" t="s">
        <v>4827</v>
      </c>
      <c r="V1043" t="s">
        <v>4825</v>
      </c>
      <c r="W1043" t="s">
        <v>86</v>
      </c>
      <c r="X1043" t="s">
        <v>4828</v>
      </c>
      <c r="Y1043">
        <v>0</v>
      </c>
      <c r="Z1043">
        <v>427</v>
      </c>
    </row>
    <row r="1044" spans="1:26">
      <c r="A1044" s="1">
        <v>1042</v>
      </c>
      <c r="B1044" t="str">
        <f>HYPERLINK("https://bugs.eclipse.org/bugs/show_bug.cgi?id=37046", "37046")</f>
        <v>37046</v>
      </c>
      <c r="C1044" t="s">
        <v>149</v>
      </c>
      <c r="D1044" t="s">
        <v>10</v>
      </c>
      <c r="E1044" t="s">
        <v>12</v>
      </c>
      <c r="F1044" t="s">
        <v>150</v>
      </c>
      <c r="L1044" t="s">
        <v>4829</v>
      </c>
      <c r="N1044" t="s">
        <v>4829</v>
      </c>
      <c r="T1044" t="s">
        <v>4830</v>
      </c>
      <c r="U1044" t="s">
        <v>4831</v>
      </c>
      <c r="V1044" t="s">
        <v>4829</v>
      </c>
      <c r="W1044" t="s">
        <v>86</v>
      </c>
      <c r="X1044" t="s">
        <v>4832</v>
      </c>
      <c r="Y1044">
        <v>0</v>
      </c>
      <c r="Z1044">
        <v>76</v>
      </c>
    </row>
    <row r="1045" spans="1:26">
      <c r="A1045" s="1">
        <v>1043</v>
      </c>
      <c r="B1045" t="str">
        <f>HYPERLINK("https://bugs.eclipse.org/bugs/show_bug.cgi?id=37055", "37055")</f>
        <v>37055</v>
      </c>
      <c r="C1045" t="s">
        <v>56</v>
      </c>
      <c r="D1045" t="s">
        <v>10</v>
      </c>
      <c r="E1045" t="s">
        <v>14</v>
      </c>
      <c r="F1045" t="s">
        <v>26</v>
      </c>
      <c r="G1045" t="s">
        <v>4833</v>
      </c>
      <c r="L1045" t="s">
        <v>4834</v>
      </c>
      <c r="P1045" t="s">
        <v>4835</v>
      </c>
      <c r="T1045" t="s">
        <v>4836</v>
      </c>
      <c r="U1045" t="s">
        <v>4837</v>
      </c>
      <c r="V1045" t="s">
        <v>4835</v>
      </c>
      <c r="W1045" t="s">
        <v>80</v>
      </c>
      <c r="X1045" t="s">
        <v>4838</v>
      </c>
      <c r="Y1045">
        <v>0</v>
      </c>
      <c r="Z1045">
        <v>2315</v>
      </c>
    </row>
    <row r="1046" spans="1:26">
      <c r="A1046" s="1">
        <v>1044</v>
      </c>
      <c r="B1046" t="str">
        <f>HYPERLINK("https://bugs.eclipse.org/bugs/show_bug.cgi?id=37066", "37066")</f>
        <v>37066</v>
      </c>
      <c r="C1046" t="s">
        <v>1062</v>
      </c>
      <c r="D1046" t="s">
        <v>10</v>
      </c>
      <c r="E1046" t="s">
        <v>15</v>
      </c>
      <c r="F1046" t="s">
        <v>26</v>
      </c>
      <c r="L1046" t="s">
        <v>4839</v>
      </c>
      <c r="Q1046" t="s">
        <v>4839</v>
      </c>
      <c r="T1046" t="s">
        <v>4840</v>
      </c>
      <c r="U1046" t="s">
        <v>4839</v>
      </c>
      <c r="V1046" t="s">
        <v>4839</v>
      </c>
      <c r="W1046" t="s">
        <v>86</v>
      </c>
      <c r="X1046" t="s">
        <v>4841</v>
      </c>
      <c r="Y1046">
        <v>1</v>
      </c>
      <c r="Z1046">
        <v>1</v>
      </c>
    </row>
    <row r="1047" spans="1:26">
      <c r="A1047" s="1">
        <v>1045</v>
      </c>
      <c r="B1047" t="str">
        <f>HYPERLINK("https://bugs.eclipse.org/bugs/show_bug.cgi?id=37068", "37068")</f>
        <v>37068</v>
      </c>
      <c r="C1047" t="s">
        <v>56</v>
      </c>
      <c r="D1047" t="s">
        <v>10</v>
      </c>
      <c r="E1047" t="s">
        <v>14</v>
      </c>
      <c r="F1047" t="s">
        <v>26</v>
      </c>
      <c r="G1047" t="s">
        <v>4842</v>
      </c>
      <c r="L1047" t="s">
        <v>4843</v>
      </c>
      <c r="P1047" t="s">
        <v>4843</v>
      </c>
      <c r="T1047" t="s">
        <v>4844</v>
      </c>
      <c r="U1047" t="s">
        <v>4843</v>
      </c>
      <c r="V1047" t="s">
        <v>4845</v>
      </c>
      <c r="W1047" t="s">
        <v>4846</v>
      </c>
      <c r="X1047" t="s">
        <v>4847</v>
      </c>
      <c r="Y1047">
        <v>1</v>
      </c>
      <c r="Z1047">
        <v>4481</v>
      </c>
    </row>
    <row r="1048" spans="1:26">
      <c r="A1048" s="1">
        <v>1046</v>
      </c>
      <c r="B1048" t="str">
        <f>HYPERLINK("https://bugs.eclipse.org/bugs/show_bug.cgi?id=37087", "37087")</f>
        <v>37087</v>
      </c>
      <c r="C1048" t="s">
        <v>140</v>
      </c>
      <c r="D1048" t="s">
        <v>10</v>
      </c>
      <c r="E1048" t="s">
        <v>16</v>
      </c>
      <c r="F1048" t="s">
        <v>26</v>
      </c>
      <c r="L1048" t="s">
        <v>4848</v>
      </c>
      <c r="R1048" t="s">
        <v>4848</v>
      </c>
      <c r="T1048" t="s">
        <v>4849</v>
      </c>
      <c r="U1048" t="s">
        <v>4850</v>
      </c>
      <c r="V1048" t="s">
        <v>4848</v>
      </c>
      <c r="W1048" t="s">
        <v>86</v>
      </c>
      <c r="X1048" t="s">
        <v>4851</v>
      </c>
      <c r="Y1048">
        <v>0</v>
      </c>
      <c r="Z1048">
        <v>16</v>
      </c>
    </row>
    <row r="1049" spans="1:26">
      <c r="A1049" s="1">
        <v>1047</v>
      </c>
      <c r="B1049" t="str">
        <f>HYPERLINK("https://bugs.eclipse.org/bugs/show_bug.cgi?id=37100", "37100")</f>
        <v>37100</v>
      </c>
      <c r="C1049" t="s">
        <v>149</v>
      </c>
      <c r="D1049" t="s">
        <v>10</v>
      </c>
      <c r="E1049" t="s">
        <v>12</v>
      </c>
      <c r="F1049" t="s">
        <v>26</v>
      </c>
      <c r="L1049" t="s">
        <v>4852</v>
      </c>
      <c r="N1049" t="s">
        <v>4852</v>
      </c>
      <c r="T1049" t="s">
        <v>4853</v>
      </c>
      <c r="U1049" t="s">
        <v>4854</v>
      </c>
      <c r="V1049" t="s">
        <v>4852</v>
      </c>
      <c r="W1049" t="s">
        <v>86</v>
      </c>
      <c r="X1049" t="s">
        <v>4855</v>
      </c>
      <c r="Y1049">
        <v>0</v>
      </c>
      <c r="Z1049">
        <v>392</v>
      </c>
    </row>
    <row r="1050" spans="1:26">
      <c r="A1050" s="1">
        <v>1048</v>
      </c>
      <c r="B1050" t="str">
        <f>HYPERLINK("https://bugs.eclipse.org/bugs/show_bug.cgi?id=37115", "37115")</f>
        <v>37115</v>
      </c>
      <c r="C1050" t="s">
        <v>88</v>
      </c>
      <c r="D1050" t="s">
        <v>10</v>
      </c>
      <c r="E1050" t="s">
        <v>13</v>
      </c>
      <c r="F1050" t="s">
        <v>26</v>
      </c>
      <c r="L1050" t="s">
        <v>4856</v>
      </c>
      <c r="O1050" t="s">
        <v>4856</v>
      </c>
      <c r="T1050" t="s">
        <v>4857</v>
      </c>
      <c r="U1050" t="s">
        <v>4858</v>
      </c>
      <c r="V1050" t="s">
        <v>4856</v>
      </c>
      <c r="W1050" t="s">
        <v>4859</v>
      </c>
      <c r="X1050" t="s">
        <v>4860</v>
      </c>
      <c r="Y1050">
        <v>1</v>
      </c>
      <c r="Z1050">
        <v>6</v>
      </c>
    </row>
    <row r="1051" spans="1:26">
      <c r="A1051" s="1">
        <v>1049</v>
      </c>
      <c r="B1051" t="str">
        <f>HYPERLINK("https://bugs.eclipse.org/bugs/show_bug.cgi?id=37127", "37127")</f>
        <v>37127</v>
      </c>
      <c r="C1051" t="s">
        <v>149</v>
      </c>
      <c r="D1051" t="s">
        <v>10</v>
      </c>
      <c r="E1051" t="s">
        <v>12</v>
      </c>
      <c r="F1051" t="s">
        <v>26</v>
      </c>
      <c r="L1051" t="s">
        <v>4861</v>
      </c>
      <c r="N1051" t="s">
        <v>4861</v>
      </c>
      <c r="T1051" t="s">
        <v>4862</v>
      </c>
      <c r="U1051" t="s">
        <v>4863</v>
      </c>
      <c r="V1051" t="s">
        <v>4861</v>
      </c>
      <c r="W1051" t="s">
        <v>60</v>
      </c>
      <c r="X1051" t="s">
        <v>4864</v>
      </c>
      <c r="Y1051">
        <v>0</v>
      </c>
      <c r="Z1051">
        <v>81</v>
      </c>
    </row>
    <row r="1052" spans="1:26">
      <c r="A1052" s="1">
        <v>1050</v>
      </c>
      <c r="B1052" t="str">
        <f>HYPERLINK("https://bugs.eclipse.org/bugs/show_bug.cgi?id=37178", "37178")</f>
        <v>37178</v>
      </c>
      <c r="C1052" t="s">
        <v>149</v>
      </c>
      <c r="D1052" t="s">
        <v>10</v>
      </c>
      <c r="E1052" t="s">
        <v>12</v>
      </c>
      <c r="F1052" t="s">
        <v>51</v>
      </c>
      <c r="G1052" t="s">
        <v>4865</v>
      </c>
      <c r="L1052" t="s">
        <v>4866</v>
      </c>
      <c r="N1052" t="s">
        <v>4866</v>
      </c>
      <c r="T1052" t="s">
        <v>4867</v>
      </c>
      <c r="U1052" t="s">
        <v>4868</v>
      </c>
      <c r="V1052" t="s">
        <v>4869</v>
      </c>
      <c r="W1052" t="s">
        <v>851</v>
      </c>
      <c r="X1052" t="s">
        <v>4870</v>
      </c>
      <c r="Y1052">
        <v>0</v>
      </c>
      <c r="Z1052">
        <v>377</v>
      </c>
    </row>
    <row r="1053" spans="1:26">
      <c r="A1053" s="1">
        <v>1051</v>
      </c>
      <c r="B1053" t="str">
        <f>HYPERLINK("https://bugs.eclipse.org/bugs/show_bug.cgi?id=37203", "37203")</f>
        <v>37203</v>
      </c>
      <c r="C1053" t="s">
        <v>140</v>
      </c>
      <c r="D1053" t="s">
        <v>10</v>
      </c>
      <c r="E1053" t="s">
        <v>16</v>
      </c>
      <c r="F1053" t="s">
        <v>26</v>
      </c>
      <c r="L1053" t="s">
        <v>4871</v>
      </c>
      <c r="R1053" t="s">
        <v>4871</v>
      </c>
      <c r="T1053" t="s">
        <v>4872</v>
      </c>
      <c r="U1053" t="s">
        <v>4873</v>
      </c>
      <c r="V1053" t="s">
        <v>4871</v>
      </c>
      <c r="W1053" t="s">
        <v>86</v>
      </c>
      <c r="X1053" t="s">
        <v>4874</v>
      </c>
      <c r="Y1053">
        <v>1</v>
      </c>
      <c r="Z1053">
        <v>37</v>
      </c>
    </row>
    <row r="1054" spans="1:26">
      <c r="A1054" s="1">
        <v>1052</v>
      </c>
      <c r="B1054" t="str">
        <f>HYPERLINK("https://bugs.eclipse.org/bugs/show_bug.cgi?id=37207", "37207")</f>
        <v>37207</v>
      </c>
      <c r="C1054" t="s">
        <v>191</v>
      </c>
      <c r="D1054" t="s">
        <v>192</v>
      </c>
      <c r="E1054" t="s">
        <v>14</v>
      </c>
      <c r="F1054" t="s">
        <v>26</v>
      </c>
      <c r="G1054" t="s">
        <v>4875</v>
      </c>
      <c r="L1054" t="s">
        <v>4876</v>
      </c>
      <c r="P1054" t="s">
        <v>4877</v>
      </c>
      <c r="T1054" t="s">
        <v>4878</v>
      </c>
      <c r="U1054" t="s">
        <v>4798</v>
      </c>
      <c r="V1054" t="s">
        <v>4877</v>
      </c>
      <c r="W1054" t="s">
        <v>80</v>
      </c>
      <c r="X1054" t="s">
        <v>4879</v>
      </c>
      <c r="Y1054">
        <v>0</v>
      </c>
      <c r="Z1054">
        <v>2309</v>
      </c>
    </row>
    <row r="1055" spans="1:26">
      <c r="A1055" s="1">
        <v>1053</v>
      </c>
      <c r="B1055" t="str">
        <f>HYPERLINK("https://bugs.eclipse.org/bugs/show_bug.cgi?id=37210", "37210")</f>
        <v>37210</v>
      </c>
      <c r="C1055" t="s">
        <v>4880</v>
      </c>
      <c r="D1055" t="s">
        <v>10</v>
      </c>
      <c r="E1055" t="s">
        <v>15</v>
      </c>
      <c r="F1055" t="s">
        <v>26</v>
      </c>
      <c r="L1055" t="s">
        <v>4881</v>
      </c>
      <c r="Q1055" t="s">
        <v>4881</v>
      </c>
      <c r="T1055" t="s">
        <v>4882</v>
      </c>
      <c r="U1055" t="s">
        <v>4881</v>
      </c>
      <c r="V1055" t="s">
        <v>4881</v>
      </c>
      <c r="W1055" t="s">
        <v>86</v>
      </c>
      <c r="X1055" t="s">
        <v>4883</v>
      </c>
      <c r="Y1055">
        <v>0</v>
      </c>
      <c r="Z1055">
        <v>0</v>
      </c>
    </row>
    <row r="1056" spans="1:26">
      <c r="A1056" s="1">
        <v>1054</v>
      </c>
      <c r="B1056" t="str">
        <f>HYPERLINK("https://bugs.eclipse.org/bugs/show_bug.cgi?id=37218", "37218")</f>
        <v>37218</v>
      </c>
      <c r="C1056" t="s">
        <v>149</v>
      </c>
      <c r="D1056" t="s">
        <v>10</v>
      </c>
      <c r="E1056" t="s">
        <v>12</v>
      </c>
      <c r="F1056" t="s">
        <v>26</v>
      </c>
      <c r="G1056" t="s">
        <v>4884</v>
      </c>
      <c r="L1056" t="s">
        <v>4885</v>
      </c>
      <c r="N1056" t="s">
        <v>4885</v>
      </c>
      <c r="S1056" t="s">
        <v>4886</v>
      </c>
      <c r="T1056" t="s">
        <v>4887</v>
      </c>
      <c r="U1056" t="s">
        <v>4888</v>
      </c>
      <c r="V1056" t="s">
        <v>4885</v>
      </c>
      <c r="W1056" t="s">
        <v>86</v>
      </c>
      <c r="X1056" t="s">
        <v>4889</v>
      </c>
      <c r="Y1056">
        <v>0</v>
      </c>
      <c r="Z1056">
        <v>379</v>
      </c>
    </row>
    <row r="1057" spans="1:26">
      <c r="A1057" s="1">
        <v>1055</v>
      </c>
      <c r="B1057" t="str">
        <f>HYPERLINK("https://bugs.eclipse.org/bugs/show_bug.cgi?id=37219", "37219")</f>
        <v>37219</v>
      </c>
      <c r="C1057" t="s">
        <v>35</v>
      </c>
      <c r="D1057" t="s">
        <v>11</v>
      </c>
      <c r="E1057" t="s">
        <v>12</v>
      </c>
      <c r="F1057" t="s">
        <v>26</v>
      </c>
      <c r="G1057" t="s">
        <v>4890</v>
      </c>
      <c r="H1057" t="s">
        <v>4891</v>
      </c>
      <c r="L1057" t="s">
        <v>4892</v>
      </c>
      <c r="M1057" t="s">
        <v>4893</v>
      </c>
      <c r="N1057" t="s">
        <v>4892</v>
      </c>
      <c r="S1057" t="s">
        <v>4894</v>
      </c>
      <c r="T1057" t="s">
        <v>4895</v>
      </c>
      <c r="U1057" t="s">
        <v>4896</v>
      </c>
      <c r="V1057" t="s">
        <v>4893</v>
      </c>
      <c r="W1057" t="s">
        <v>1954</v>
      </c>
      <c r="X1057" t="s">
        <v>4897</v>
      </c>
      <c r="Y1057">
        <v>0</v>
      </c>
      <c r="Z1057">
        <v>953.04166666666663</v>
      </c>
    </row>
    <row r="1058" spans="1:26">
      <c r="A1058" s="1">
        <v>1056</v>
      </c>
      <c r="B1058" t="str">
        <f>HYPERLINK("https://bugs.eclipse.org/bugs/show_bug.cgi?id=37270", "37270")</f>
        <v>37270</v>
      </c>
      <c r="C1058" t="s">
        <v>56</v>
      </c>
      <c r="D1058" t="s">
        <v>10</v>
      </c>
      <c r="E1058" t="s">
        <v>14</v>
      </c>
      <c r="F1058" t="s">
        <v>26</v>
      </c>
      <c r="L1058" t="s">
        <v>4898</v>
      </c>
      <c r="P1058" t="s">
        <v>4899</v>
      </c>
      <c r="T1058" t="s">
        <v>4900</v>
      </c>
      <c r="U1058" t="s">
        <v>4898</v>
      </c>
      <c r="V1058" t="s">
        <v>4899</v>
      </c>
      <c r="W1058" t="s">
        <v>80</v>
      </c>
      <c r="X1058" t="s">
        <v>4901</v>
      </c>
      <c r="Y1058">
        <v>0</v>
      </c>
      <c r="Z1058">
        <v>2308</v>
      </c>
    </row>
    <row r="1059" spans="1:26">
      <c r="A1059" s="1">
        <v>1057</v>
      </c>
      <c r="B1059" t="str">
        <f>HYPERLINK("https://bugs.eclipse.org/bugs/show_bug.cgi?id=37283", "37283")</f>
        <v>37283</v>
      </c>
      <c r="C1059" t="s">
        <v>149</v>
      </c>
      <c r="D1059" t="s">
        <v>10</v>
      </c>
      <c r="E1059" t="s">
        <v>12</v>
      </c>
      <c r="F1059" t="s">
        <v>26</v>
      </c>
      <c r="L1059" t="s">
        <v>4902</v>
      </c>
      <c r="N1059" t="s">
        <v>4902</v>
      </c>
      <c r="T1059" t="s">
        <v>4903</v>
      </c>
      <c r="U1059" t="s">
        <v>4904</v>
      </c>
      <c r="V1059" t="s">
        <v>4902</v>
      </c>
      <c r="W1059" t="s">
        <v>49</v>
      </c>
      <c r="X1059" t="s">
        <v>4905</v>
      </c>
      <c r="Y1059">
        <v>10</v>
      </c>
      <c r="Z1059">
        <v>30</v>
      </c>
    </row>
    <row r="1060" spans="1:26">
      <c r="A1060" s="1">
        <v>1058</v>
      </c>
      <c r="B1060" t="str">
        <f>HYPERLINK("https://bugs.eclipse.org/bugs/show_bug.cgi?id=37320", "37320")</f>
        <v>37320</v>
      </c>
      <c r="C1060" t="s">
        <v>88</v>
      </c>
      <c r="D1060" t="s">
        <v>10</v>
      </c>
      <c r="E1060" t="s">
        <v>13</v>
      </c>
      <c r="F1060" t="s">
        <v>26</v>
      </c>
      <c r="L1060" t="s">
        <v>4906</v>
      </c>
      <c r="O1060" t="s">
        <v>4906</v>
      </c>
      <c r="T1060" t="s">
        <v>4907</v>
      </c>
      <c r="U1060" t="s">
        <v>4908</v>
      </c>
      <c r="V1060" t="s">
        <v>4906</v>
      </c>
      <c r="W1060" t="s">
        <v>60</v>
      </c>
      <c r="X1060" t="s">
        <v>4909</v>
      </c>
      <c r="Y1060">
        <v>0</v>
      </c>
      <c r="Z1060">
        <v>65</v>
      </c>
    </row>
    <row r="1061" spans="1:26">
      <c r="A1061" s="1">
        <v>1059</v>
      </c>
      <c r="B1061" t="str">
        <f>HYPERLINK("https://bugs.eclipse.org/bugs/show_bug.cgi?id=37377", "37377")</f>
        <v>37377</v>
      </c>
      <c r="C1061" t="s">
        <v>35</v>
      </c>
      <c r="D1061" t="s">
        <v>11</v>
      </c>
      <c r="E1061" t="s">
        <v>12</v>
      </c>
      <c r="F1061" t="s">
        <v>150</v>
      </c>
      <c r="L1061" t="s">
        <v>4910</v>
      </c>
      <c r="M1061" t="s">
        <v>4911</v>
      </c>
      <c r="N1061" t="s">
        <v>4910</v>
      </c>
      <c r="T1061" t="s">
        <v>4912</v>
      </c>
      <c r="U1061" t="s">
        <v>4913</v>
      </c>
      <c r="V1061" t="s">
        <v>4911</v>
      </c>
      <c r="W1061" t="s">
        <v>60</v>
      </c>
      <c r="X1061" t="s">
        <v>4914</v>
      </c>
      <c r="Y1061">
        <v>0</v>
      </c>
      <c r="Z1061">
        <v>70</v>
      </c>
    </row>
    <row r="1062" spans="1:26">
      <c r="A1062" s="1">
        <v>1060</v>
      </c>
      <c r="B1062" t="str">
        <f>HYPERLINK("https://bugs.eclipse.org/bugs/show_bug.cgi?id=37388", "37388")</f>
        <v>37388</v>
      </c>
      <c r="C1062" t="s">
        <v>56</v>
      </c>
      <c r="D1062" t="s">
        <v>10</v>
      </c>
      <c r="E1062" t="s">
        <v>14</v>
      </c>
      <c r="F1062" t="s">
        <v>26</v>
      </c>
      <c r="L1062" t="s">
        <v>4915</v>
      </c>
      <c r="P1062" t="s">
        <v>4916</v>
      </c>
      <c r="T1062" t="s">
        <v>4917</v>
      </c>
      <c r="U1062" t="s">
        <v>4918</v>
      </c>
      <c r="V1062" t="s">
        <v>4916</v>
      </c>
      <c r="W1062" t="s">
        <v>75</v>
      </c>
      <c r="X1062" t="s">
        <v>4919</v>
      </c>
      <c r="Y1062">
        <v>33</v>
      </c>
      <c r="Z1062">
        <v>2306</v>
      </c>
    </row>
    <row r="1063" spans="1:26">
      <c r="A1063" s="1">
        <v>1061</v>
      </c>
      <c r="B1063" t="str">
        <f>HYPERLINK("https://bugs.eclipse.org/bugs/show_bug.cgi?id=37398", "37398")</f>
        <v>37398</v>
      </c>
      <c r="C1063" t="s">
        <v>149</v>
      </c>
      <c r="D1063" t="s">
        <v>10</v>
      </c>
      <c r="E1063" t="s">
        <v>12</v>
      </c>
      <c r="F1063" t="s">
        <v>26</v>
      </c>
      <c r="L1063" t="s">
        <v>4920</v>
      </c>
      <c r="N1063" t="s">
        <v>4920</v>
      </c>
      <c r="T1063" t="s">
        <v>4921</v>
      </c>
      <c r="U1063" t="s">
        <v>4922</v>
      </c>
      <c r="V1063" t="s">
        <v>4920</v>
      </c>
      <c r="W1063" t="s">
        <v>60</v>
      </c>
      <c r="X1063" t="s">
        <v>4923</v>
      </c>
      <c r="Y1063">
        <v>1</v>
      </c>
      <c r="Z1063">
        <v>6</v>
      </c>
    </row>
    <row r="1064" spans="1:26">
      <c r="A1064" s="1">
        <v>1062</v>
      </c>
      <c r="B1064" t="str">
        <f>HYPERLINK("https://bugs.eclipse.org/bugs/show_bug.cgi?id=37432", "37432")</f>
        <v>37432</v>
      </c>
      <c r="C1064" t="s">
        <v>149</v>
      </c>
      <c r="D1064" t="s">
        <v>10</v>
      </c>
      <c r="E1064" t="s">
        <v>12</v>
      </c>
      <c r="F1064" t="s">
        <v>26</v>
      </c>
      <c r="L1064" t="s">
        <v>4924</v>
      </c>
      <c r="N1064" t="s">
        <v>4924</v>
      </c>
      <c r="T1064" t="s">
        <v>4925</v>
      </c>
      <c r="U1064" t="s">
        <v>4926</v>
      </c>
      <c r="V1064" t="s">
        <v>4924</v>
      </c>
      <c r="W1064" t="s">
        <v>49</v>
      </c>
      <c r="X1064" t="s">
        <v>4927</v>
      </c>
      <c r="Y1064">
        <v>0</v>
      </c>
      <c r="Z1064">
        <v>248.04166666666671</v>
      </c>
    </row>
    <row r="1065" spans="1:26">
      <c r="A1065" s="1">
        <v>1063</v>
      </c>
      <c r="B1065" t="str">
        <f>HYPERLINK("https://bugs.eclipse.org/bugs/show_bug.cgi?id=37458", "37458")</f>
        <v>37458</v>
      </c>
      <c r="C1065" t="s">
        <v>56</v>
      </c>
      <c r="D1065" t="s">
        <v>10</v>
      </c>
      <c r="E1065" t="s">
        <v>14</v>
      </c>
      <c r="F1065" t="s">
        <v>460</v>
      </c>
      <c r="L1065" t="s">
        <v>4928</v>
      </c>
      <c r="P1065" t="s">
        <v>4929</v>
      </c>
      <c r="T1065" t="s">
        <v>4930</v>
      </c>
      <c r="U1065" t="s">
        <v>4931</v>
      </c>
      <c r="V1065" t="s">
        <v>4929</v>
      </c>
      <c r="W1065" t="s">
        <v>80</v>
      </c>
      <c r="X1065" t="s">
        <v>4932</v>
      </c>
      <c r="Y1065">
        <v>3</v>
      </c>
      <c r="Z1065">
        <v>2305</v>
      </c>
    </row>
    <row r="1066" spans="1:26">
      <c r="A1066" s="1">
        <v>1064</v>
      </c>
      <c r="B1066" t="str">
        <f>HYPERLINK("https://bugs.eclipse.org/bugs/show_bug.cgi?id=37466", "37466")</f>
        <v>37466</v>
      </c>
      <c r="C1066" t="s">
        <v>4933</v>
      </c>
      <c r="D1066" t="s">
        <v>10</v>
      </c>
      <c r="E1066" t="s">
        <v>15</v>
      </c>
      <c r="F1066" t="s">
        <v>26</v>
      </c>
      <c r="L1066" t="s">
        <v>4934</v>
      </c>
      <c r="Q1066" t="s">
        <v>4934</v>
      </c>
      <c r="S1066" t="s">
        <v>4935</v>
      </c>
      <c r="T1066" t="s">
        <v>4936</v>
      </c>
      <c r="U1066" t="s">
        <v>4937</v>
      </c>
      <c r="V1066" t="s">
        <v>4934</v>
      </c>
      <c r="W1066" t="s">
        <v>1954</v>
      </c>
      <c r="X1066" t="s">
        <v>4938</v>
      </c>
      <c r="Y1066">
        <v>2</v>
      </c>
      <c r="Z1066">
        <v>1425</v>
      </c>
    </row>
    <row r="1067" spans="1:26">
      <c r="A1067" s="1">
        <v>1065</v>
      </c>
      <c r="B1067" t="str">
        <f>HYPERLINK("https://bugs.eclipse.org/bugs/show_bug.cgi?id=37474", "37474")</f>
        <v>37474</v>
      </c>
      <c r="C1067" t="s">
        <v>56</v>
      </c>
      <c r="D1067" t="s">
        <v>10</v>
      </c>
      <c r="E1067" t="s">
        <v>14</v>
      </c>
      <c r="F1067" t="s">
        <v>26</v>
      </c>
      <c r="G1067" t="s">
        <v>4939</v>
      </c>
      <c r="L1067" t="s">
        <v>4940</v>
      </c>
      <c r="P1067" t="s">
        <v>4941</v>
      </c>
      <c r="S1067" t="s">
        <v>4942</v>
      </c>
      <c r="T1067" t="s">
        <v>4943</v>
      </c>
      <c r="U1067" t="s">
        <v>4944</v>
      </c>
      <c r="V1067" t="s">
        <v>4941</v>
      </c>
      <c r="W1067" t="s">
        <v>80</v>
      </c>
      <c r="X1067" t="s">
        <v>4945</v>
      </c>
      <c r="Y1067">
        <v>2</v>
      </c>
      <c r="Z1067">
        <v>2304</v>
      </c>
    </row>
    <row r="1068" spans="1:26">
      <c r="A1068" s="1">
        <v>1066</v>
      </c>
      <c r="B1068" t="str">
        <f>HYPERLINK("https://bugs.eclipse.org/bugs/show_bug.cgi?id=37540", "37540")</f>
        <v>37540</v>
      </c>
      <c r="C1068" t="s">
        <v>149</v>
      </c>
      <c r="D1068" t="s">
        <v>10</v>
      </c>
      <c r="E1068" t="s">
        <v>12</v>
      </c>
      <c r="F1068" t="s">
        <v>26</v>
      </c>
      <c r="G1068" t="s">
        <v>4946</v>
      </c>
      <c r="L1068" t="s">
        <v>4947</v>
      </c>
      <c r="N1068" t="s">
        <v>4947</v>
      </c>
      <c r="T1068" t="s">
        <v>4948</v>
      </c>
      <c r="U1068" t="s">
        <v>4949</v>
      </c>
      <c r="V1068" t="s">
        <v>4947</v>
      </c>
      <c r="W1068" t="s">
        <v>60</v>
      </c>
      <c r="X1068" t="s">
        <v>4950</v>
      </c>
      <c r="Y1068">
        <v>0</v>
      </c>
      <c r="Z1068">
        <v>69</v>
      </c>
    </row>
    <row r="1069" spans="1:26">
      <c r="A1069" s="1">
        <v>1067</v>
      </c>
      <c r="B1069" t="str">
        <f>HYPERLINK("https://bugs.eclipse.org/bugs/show_bug.cgi?id=37547", "37547")</f>
        <v>37547</v>
      </c>
      <c r="C1069" t="s">
        <v>140</v>
      </c>
      <c r="D1069" t="s">
        <v>10</v>
      </c>
      <c r="E1069" t="s">
        <v>16</v>
      </c>
      <c r="F1069" t="s">
        <v>150</v>
      </c>
      <c r="L1069" t="s">
        <v>4951</v>
      </c>
      <c r="R1069" t="s">
        <v>4951</v>
      </c>
      <c r="T1069" t="s">
        <v>4952</v>
      </c>
      <c r="U1069" t="s">
        <v>4953</v>
      </c>
      <c r="V1069" t="s">
        <v>4951</v>
      </c>
      <c r="W1069" t="s">
        <v>60</v>
      </c>
      <c r="X1069" t="s">
        <v>4954</v>
      </c>
      <c r="Y1069">
        <v>0</v>
      </c>
      <c r="Z1069">
        <v>24</v>
      </c>
    </row>
    <row r="1070" spans="1:26">
      <c r="A1070" s="1">
        <v>1068</v>
      </c>
      <c r="B1070" t="str">
        <f>HYPERLINK("https://bugs.eclipse.org/bugs/show_bug.cgi?id=37566", "37566")</f>
        <v>37566</v>
      </c>
      <c r="C1070" t="s">
        <v>35</v>
      </c>
      <c r="D1070" t="s">
        <v>11</v>
      </c>
      <c r="E1070" t="s">
        <v>12</v>
      </c>
      <c r="F1070" t="s">
        <v>26</v>
      </c>
      <c r="L1070" t="s">
        <v>4955</v>
      </c>
      <c r="M1070" t="s">
        <v>4956</v>
      </c>
      <c r="N1070" t="s">
        <v>4955</v>
      </c>
      <c r="T1070" t="s">
        <v>4957</v>
      </c>
      <c r="U1070" t="s">
        <v>4958</v>
      </c>
      <c r="V1070" t="s">
        <v>4956</v>
      </c>
      <c r="W1070" t="s">
        <v>60</v>
      </c>
      <c r="X1070" t="s">
        <v>4959</v>
      </c>
      <c r="Y1070">
        <v>1</v>
      </c>
      <c r="Z1070">
        <v>21</v>
      </c>
    </row>
    <row r="1071" spans="1:26">
      <c r="A1071" s="1">
        <v>1069</v>
      </c>
      <c r="B1071" t="str">
        <f>HYPERLINK("https://bugs.eclipse.org/bugs/show_bug.cgi?id=37570", "37570")</f>
        <v>37570</v>
      </c>
      <c r="C1071" t="s">
        <v>149</v>
      </c>
      <c r="D1071" t="s">
        <v>10</v>
      </c>
      <c r="E1071" t="s">
        <v>12</v>
      </c>
      <c r="F1071" t="s">
        <v>150</v>
      </c>
      <c r="L1071" t="s">
        <v>4960</v>
      </c>
      <c r="N1071" t="s">
        <v>4960</v>
      </c>
      <c r="T1071" t="s">
        <v>4961</v>
      </c>
      <c r="U1071" t="s">
        <v>4962</v>
      </c>
      <c r="V1071" t="s">
        <v>4960</v>
      </c>
      <c r="W1071" t="s">
        <v>49</v>
      </c>
      <c r="X1071" t="s">
        <v>4963</v>
      </c>
      <c r="Y1071">
        <v>1</v>
      </c>
      <c r="Z1071">
        <v>1</v>
      </c>
    </row>
    <row r="1072" spans="1:26">
      <c r="A1072" s="1">
        <v>1070</v>
      </c>
      <c r="B1072" t="str">
        <f>HYPERLINK("https://bugs.eclipse.org/bugs/show_bug.cgi?id=37572", "37572")</f>
        <v>37572</v>
      </c>
      <c r="C1072" t="s">
        <v>25</v>
      </c>
      <c r="D1072" t="s">
        <v>25</v>
      </c>
      <c r="F1072" t="s">
        <v>51</v>
      </c>
      <c r="G1072" t="s">
        <v>4964</v>
      </c>
      <c r="L1072" t="s">
        <v>4965</v>
      </c>
      <c r="P1072" t="s">
        <v>4966</v>
      </c>
      <c r="S1072" t="s">
        <v>4967</v>
      </c>
      <c r="T1072" t="s">
        <v>4968</v>
      </c>
      <c r="U1072" t="s">
        <v>4965</v>
      </c>
      <c r="V1072" t="s">
        <v>4969</v>
      </c>
      <c r="W1072" t="s">
        <v>851</v>
      </c>
      <c r="X1072" t="s">
        <v>4970</v>
      </c>
      <c r="Y1072">
        <v>1</v>
      </c>
    </row>
    <row r="1073" spans="1:26">
      <c r="A1073" s="1">
        <v>1071</v>
      </c>
      <c r="B1073" t="str">
        <f>HYPERLINK("https://bugs.eclipse.org/bugs/show_bug.cgi?id=37574", "37574")</f>
        <v>37574</v>
      </c>
      <c r="C1073" t="s">
        <v>56</v>
      </c>
      <c r="D1073" t="s">
        <v>10</v>
      </c>
      <c r="E1073" t="s">
        <v>14</v>
      </c>
      <c r="F1073" t="s">
        <v>26</v>
      </c>
      <c r="L1073" t="s">
        <v>4971</v>
      </c>
      <c r="P1073" t="s">
        <v>4972</v>
      </c>
      <c r="T1073" t="s">
        <v>4973</v>
      </c>
      <c r="U1073" t="s">
        <v>4974</v>
      </c>
      <c r="V1073" t="s">
        <v>4972</v>
      </c>
      <c r="W1073" t="s">
        <v>75</v>
      </c>
      <c r="X1073" t="s">
        <v>4975</v>
      </c>
      <c r="Y1073">
        <v>1</v>
      </c>
      <c r="Z1073">
        <v>2301</v>
      </c>
    </row>
    <row r="1074" spans="1:26">
      <c r="A1074" s="1">
        <v>1072</v>
      </c>
      <c r="B1074" t="str">
        <f>HYPERLINK("https://bugs.eclipse.org/bugs/show_bug.cgi?id=37586", "37586")</f>
        <v>37586</v>
      </c>
      <c r="C1074" t="s">
        <v>149</v>
      </c>
      <c r="D1074" t="s">
        <v>10</v>
      </c>
      <c r="E1074" t="s">
        <v>12</v>
      </c>
      <c r="F1074" t="s">
        <v>26</v>
      </c>
      <c r="L1074" t="s">
        <v>4976</v>
      </c>
      <c r="N1074" t="s">
        <v>4976</v>
      </c>
      <c r="T1074" t="s">
        <v>4977</v>
      </c>
      <c r="U1074" t="s">
        <v>4978</v>
      </c>
      <c r="V1074" t="s">
        <v>4976</v>
      </c>
      <c r="W1074" t="s">
        <v>86</v>
      </c>
      <c r="X1074" t="s">
        <v>4979</v>
      </c>
      <c r="Y1074">
        <v>3</v>
      </c>
      <c r="Z1074">
        <v>60</v>
      </c>
    </row>
    <row r="1075" spans="1:26">
      <c r="A1075" s="1">
        <v>1073</v>
      </c>
      <c r="B1075" t="str">
        <f>HYPERLINK("https://bugs.eclipse.org/bugs/show_bug.cgi?id=37588", "37588")</f>
        <v>37588</v>
      </c>
      <c r="C1075" t="s">
        <v>140</v>
      </c>
      <c r="D1075" t="s">
        <v>10</v>
      </c>
      <c r="E1075" t="s">
        <v>16</v>
      </c>
      <c r="F1075" t="s">
        <v>26</v>
      </c>
      <c r="L1075" t="s">
        <v>4980</v>
      </c>
      <c r="R1075" t="s">
        <v>4980</v>
      </c>
      <c r="T1075" t="s">
        <v>4981</v>
      </c>
      <c r="U1075" t="s">
        <v>4980</v>
      </c>
      <c r="V1075" t="s">
        <v>4980</v>
      </c>
      <c r="W1075" t="s">
        <v>86</v>
      </c>
      <c r="X1075" t="s">
        <v>4982</v>
      </c>
      <c r="Y1075">
        <v>27</v>
      </c>
      <c r="Z1075">
        <v>27</v>
      </c>
    </row>
    <row r="1076" spans="1:26">
      <c r="A1076" s="1">
        <v>1074</v>
      </c>
      <c r="B1076" t="str">
        <f>HYPERLINK("https://bugs.eclipse.org/bugs/show_bug.cgi?id=37640", "37640")</f>
        <v>37640</v>
      </c>
      <c r="C1076" t="s">
        <v>35</v>
      </c>
      <c r="D1076" t="s">
        <v>11</v>
      </c>
      <c r="E1076" t="s">
        <v>12</v>
      </c>
      <c r="F1076" t="s">
        <v>150</v>
      </c>
      <c r="G1076" t="s">
        <v>4983</v>
      </c>
      <c r="L1076" t="s">
        <v>4984</v>
      </c>
      <c r="M1076" t="s">
        <v>4985</v>
      </c>
      <c r="N1076" t="s">
        <v>4984</v>
      </c>
      <c r="T1076" t="s">
        <v>4986</v>
      </c>
      <c r="U1076" t="s">
        <v>4987</v>
      </c>
      <c r="V1076" t="s">
        <v>4988</v>
      </c>
      <c r="W1076" t="s">
        <v>86</v>
      </c>
      <c r="X1076" t="s">
        <v>4989</v>
      </c>
      <c r="Y1076">
        <v>1</v>
      </c>
      <c r="Z1076">
        <v>119</v>
      </c>
    </row>
    <row r="1077" spans="1:26">
      <c r="A1077" s="1">
        <v>1075</v>
      </c>
      <c r="B1077" t="str">
        <f>HYPERLINK("https://bugs.eclipse.org/bugs/show_bug.cgi?id=37641", "37641")</f>
        <v>37641</v>
      </c>
      <c r="C1077" t="s">
        <v>4990</v>
      </c>
      <c r="D1077" t="s">
        <v>10</v>
      </c>
      <c r="E1077" t="s">
        <v>15</v>
      </c>
      <c r="F1077" t="s">
        <v>26</v>
      </c>
      <c r="L1077" t="s">
        <v>4991</v>
      </c>
      <c r="Q1077" t="s">
        <v>4991</v>
      </c>
      <c r="T1077" t="s">
        <v>4986</v>
      </c>
      <c r="U1077" t="s">
        <v>4991</v>
      </c>
      <c r="V1077" t="s">
        <v>4991</v>
      </c>
      <c r="W1077" t="s">
        <v>60</v>
      </c>
      <c r="X1077" t="s">
        <v>4992</v>
      </c>
      <c r="Y1077">
        <v>0</v>
      </c>
      <c r="Z1077">
        <v>0</v>
      </c>
    </row>
    <row r="1078" spans="1:26">
      <c r="A1078" s="1">
        <v>1076</v>
      </c>
      <c r="B1078" t="str">
        <f>HYPERLINK("https://bugs.eclipse.org/bugs/show_bug.cgi?id=37756", "37756")</f>
        <v>37756</v>
      </c>
      <c r="C1078" t="s">
        <v>35</v>
      </c>
      <c r="D1078" t="s">
        <v>11</v>
      </c>
      <c r="E1078" t="s">
        <v>12</v>
      </c>
      <c r="F1078" t="s">
        <v>150</v>
      </c>
      <c r="L1078" t="s">
        <v>4993</v>
      </c>
      <c r="M1078" t="s">
        <v>4994</v>
      </c>
      <c r="N1078" t="s">
        <v>4993</v>
      </c>
      <c r="T1078" t="s">
        <v>4995</v>
      </c>
      <c r="U1078" t="s">
        <v>4996</v>
      </c>
      <c r="V1078" t="s">
        <v>4994</v>
      </c>
      <c r="W1078" t="s">
        <v>143</v>
      </c>
      <c r="X1078" t="s">
        <v>4997</v>
      </c>
      <c r="Y1078">
        <v>0</v>
      </c>
      <c r="Z1078">
        <v>145</v>
      </c>
    </row>
    <row r="1079" spans="1:26">
      <c r="A1079" s="1">
        <v>1077</v>
      </c>
      <c r="B1079" t="str">
        <f>HYPERLINK("https://bugs.eclipse.org/bugs/show_bug.cgi?id=37763", "37763")</f>
        <v>37763</v>
      </c>
      <c r="C1079" t="s">
        <v>149</v>
      </c>
      <c r="D1079" t="s">
        <v>10</v>
      </c>
      <c r="E1079" t="s">
        <v>12</v>
      </c>
      <c r="F1079" t="s">
        <v>26</v>
      </c>
      <c r="G1079" t="s">
        <v>4998</v>
      </c>
      <c r="L1079" t="s">
        <v>4999</v>
      </c>
      <c r="N1079" t="s">
        <v>4999</v>
      </c>
      <c r="T1079" t="s">
        <v>5000</v>
      </c>
      <c r="U1079" t="s">
        <v>5001</v>
      </c>
      <c r="V1079" t="s">
        <v>4999</v>
      </c>
      <c r="W1079" t="s">
        <v>851</v>
      </c>
      <c r="X1079" t="s">
        <v>5002</v>
      </c>
      <c r="Y1079">
        <v>0</v>
      </c>
      <c r="Z1079">
        <v>307.04166666666669</v>
      </c>
    </row>
    <row r="1080" spans="1:26">
      <c r="A1080" s="1">
        <v>1078</v>
      </c>
      <c r="B1080" t="str">
        <f>HYPERLINK("https://bugs.eclipse.org/bugs/show_bug.cgi?id=37795", "37795")</f>
        <v>37795</v>
      </c>
      <c r="C1080" t="s">
        <v>56</v>
      </c>
      <c r="D1080" t="s">
        <v>10</v>
      </c>
      <c r="E1080" t="s">
        <v>14</v>
      </c>
      <c r="F1080" t="s">
        <v>26</v>
      </c>
      <c r="L1080" t="s">
        <v>5003</v>
      </c>
      <c r="P1080" t="s">
        <v>5004</v>
      </c>
      <c r="T1080" t="s">
        <v>5005</v>
      </c>
      <c r="U1080" t="s">
        <v>5006</v>
      </c>
      <c r="V1080" t="s">
        <v>5004</v>
      </c>
      <c r="W1080" t="s">
        <v>80</v>
      </c>
      <c r="X1080" t="s">
        <v>5007</v>
      </c>
      <c r="Y1080">
        <v>3</v>
      </c>
      <c r="Z1080">
        <v>2298</v>
      </c>
    </row>
    <row r="1081" spans="1:26">
      <c r="A1081" s="1">
        <v>1079</v>
      </c>
      <c r="B1081" t="str">
        <f>HYPERLINK("https://bugs.eclipse.org/bugs/show_bug.cgi?id=37802", "37802")</f>
        <v>37802</v>
      </c>
      <c r="C1081" t="s">
        <v>56</v>
      </c>
      <c r="D1081" t="s">
        <v>10</v>
      </c>
      <c r="E1081" t="s">
        <v>14</v>
      </c>
      <c r="F1081" t="s">
        <v>26</v>
      </c>
      <c r="L1081" t="s">
        <v>5008</v>
      </c>
      <c r="P1081" t="s">
        <v>5009</v>
      </c>
      <c r="T1081" t="s">
        <v>5010</v>
      </c>
      <c r="U1081" t="s">
        <v>5011</v>
      </c>
      <c r="V1081" t="s">
        <v>5009</v>
      </c>
      <c r="W1081" t="s">
        <v>80</v>
      </c>
      <c r="X1081" t="s">
        <v>5012</v>
      </c>
      <c r="Y1081">
        <v>2</v>
      </c>
      <c r="Z1081">
        <v>2297</v>
      </c>
    </row>
    <row r="1082" spans="1:26">
      <c r="A1082" s="1">
        <v>1080</v>
      </c>
      <c r="B1082" t="str">
        <f>HYPERLINK("https://bugs.eclipse.org/bugs/show_bug.cgi?id=37807", "37807")</f>
        <v>37807</v>
      </c>
      <c r="C1082" t="s">
        <v>149</v>
      </c>
      <c r="D1082" t="s">
        <v>10</v>
      </c>
      <c r="E1082" t="s">
        <v>12</v>
      </c>
      <c r="F1082" t="s">
        <v>26</v>
      </c>
      <c r="L1082" t="s">
        <v>5013</v>
      </c>
      <c r="N1082" t="s">
        <v>5013</v>
      </c>
      <c r="T1082" t="s">
        <v>5014</v>
      </c>
      <c r="U1082" t="s">
        <v>5015</v>
      </c>
      <c r="V1082" t="s">
        <v>5013</v>
      </c>
      <c r="W1082" t="s">
        <v>60</v>
      </c>
      <c r="X1082" t="s">
        <v>5016</v>
      </c>
      <c r="Y1082">
        <v>1</v>
      </c>
      <c r="Z1082">
        <v>86</v>
      </c>
    </row>
    <row r="1083" spans="1:26">
      <c r="A1083" s="1">
        <v>1081</v>
      </c>
      <c r="B1083" t="str">
        <f>HYPERLINK("https://bugs.eclipse.org/bugs/show_bug.cgi?id=37811", "37811")</f>
        <v>37811</v>
      </c>
      <c r="C1083" t="s">
        <v>5017</v>
      </c>
      <c r="D1083" t="s">
        <v>10</v>
      </c>
      <c r="E1083" t="s">
        <v>15</v>
      </c>
      <c r="F1083" t="s">
        <v>26</v>
      </c>
      <c r="L1083" t="s">
        <v>5018</v>
      </c>
      <c r="Q1083" t="s">
        <v>5018</v>
      </c>
      <c r="T1083" t="s">
        <v>5019</v>
      </c>
      <c r="U1083" t="s">
        <v>5020</v>
      </c>
      <c r="V1083" t="s">
        <v>5018</v>
      </c>
      <c r="W1083" t="s">
        <v>86</v>
      </c>
      <c r="X1083" t="s">
        <v>5021</v>
      </c>
      <c r="Y1083">
        <v>0</v>
      </c>
      <c r="Z1083">
        <v>0</v>
      </c>
    </row>
    <row r="1084" spans="1:26">
      <c r="A1084" s="1">
        <v>1082</v>
      </c>
      <c r="B1084" t="str">
        <f>HYPERLINK("https://bugs.eclipse.org/bugs/show_bug.cgi?id=37820", "37820")</f>
        <v>37820</v>
      </c>
      <c r="C1084" t="s">
        <v>56</v>
      </c>
      <c r="D1084" t="s">
        <v>10</v>
      </c>
      <c r="E1084" t="s">
        <v>14</v>
      </c>
      <c r="F1084" t="s">
        <v>26</v>
      </c>
      <c r="L1084" t="s">
        <v>5022</v>
      </c>
      <c r="P1084" t="s">
        <v>5023</v>
      </c>
      <c r="T1084" t="s">
        <v>5024</v>
      </c>
      <c r="U1084" t="s">
        <v>5025</v>
      </c>
      <c r="V1084" t="s">
        <v>5023</v>
      </c>
      <c r="W1084" t="s">
        <v>75</v>
      </c>
      <c r="X1084" t="s">
        <v>5026</v>
      </c>
      <c r="Y1084">
        <v>0</v>
      </c>
      <c r="Z1084">
        <v>2295</v>
      </c>
    </row>
    <row r="1085" spans="1:26">
      <c r="A1085" s="1">
        <v>1083</v>
      </c>
      <c r="B1085" t="str">
        <f>HYPERLINK("https://bugs.eclipse.org/bugs/show_bug.cgi?id=37821", "37821")</f>
        <v>37821</v>
      </c>
      <c r="C1085" t="s">
        <v>56</v>
      </c>
      <c r="D1085" t="s">
        <v>10</v>
      </c>
      <c r="E1085" t="s">
        <v>14</v>
      </c>
      <c r="F1085" t="s">
        <v>26</v>
      </c>
      <c r="L1085" t="s">
        <v>5027</v>
      </c>
      <c r="P1085" t="s">
        <v>5028</v>
      </c>
      <c r="T1085" t="s">
        <v>5029</v>
      </c>
      <c r="U1085" t="s">
        <v>5030</v>
      </c>
      <c r="V1085" t="s">
        <v>5028</v>
      </c>
      <c r="W1085" t="s">
        <v>75</v>
      </c>
      <c r="X1085" t="s">
        <v>5031</v>
      </c>
      <c r="Y1085">
        <v>0</v>
      </c>
      <c r="Z1085">
        <v>2295</v>
      </c>
    </row>
    <row r="1086" spans="1:26">
      <c r="A1086" s="1">
        <v>1084</v>
      </c>
      <c r="B1086" t="str">
        <f>HYPERLINK("https://bugs.eclipse.org/bugs/show_bug.cgi?id=37823", "37823")</f>
        <v>37823</v>
      </c>
      <c r="C1086" t="s">
        <v>56</v>
      </c>
      <c r="D1086" t="s">
        <v>10</v>
      </c>
      <c r="E1086" t="s">
        <v>14</v>
      </c>
      <c r="F1086" t="s">
        <v>26</v>
      </c>
      <c r="G1086" t="s">
        <v>5032</v>
      </c>
      <c r="L1086" t="s">
        <v>5033</v>
      </c>
      <c r="P1086" t="s">
        <v>5034</v>
      </c>
      <c r="T1086" t="s">
        <v>5035</v>
      </c>
      <c r="U1086" t="s">
        <v>5036</v>
      </c>
      <c r="V1086" t="s">
        <v>5034</v>
      </c>
      <c r="W1086" t="s">
        <v>80</v>
      </c>
      <c r="X1086" t="s">
        <v>5037</v>
      </c>
      <c r="Y1086">
        <v>0</v>
      </c>
      <c r="Z1086">
        <v>2295</v>
      </c>
    </row>
    <row r="1087" spans="1:26">
      <c r="A1087" s="1">
        <v>1085</v>
      </c>
      <c r="B1087" t="str">
        <f>HYPERLINK("https://bugs.eclipse.org/bugs/show_bug.cgi?id=37828", "37828")</f>
        <v>37828</v>
      </c>
      <c r="C1087" t="s">
        <v>149</v>
      </c>
      <c r="D1087" t="s">
        <v>10</v>
      </c>
      <c r="E1087" t="s">
        <v>12</v>
      </c>
      <c r="F1087" t="s">
        <v>26</v>
      </c>
      <c r="L1087" t="s">
        <v>5038</v>
      </c>
      <c r="N1087" t="s">
        <v>5038</v>
      </c>
      <c r="T1087" t="s">
        <v>5039</v>
      </c>
      <c r="U1087" t="s">
        <v>5040</v>
      </c>
      <c r="V1087" t="s">
        <v>5038</v>
      </c>
      <c r="W1087" t="s">
        <v>49</v>
      </c>
      <c r="X1087" t="s">
        <v>5041</v>
      </c>
      <c r="Y1087">
        <v>0</v>
      </c>
      <c r="Z1087">
        <v>479</v>
      </c>
    </row>
    <row r="1088" spans="1:26">
      <c r="A1088" s="1">
        <v>1086</v>
      </c>
      <c r="B1088" t="str">
        <f>HYPERLINK("https://bugs.eclipse.org/bugs/show_bug.cgi?id=37834", "37834")</f>
        <v>37834</v>
      </c>
      <c r="C1088" t="s">
        <v>149</v>
      </c>
      <c r="D1088" t="s">
        <v>10</v>
      </c>
      <c r="E1088" t="s">
        <v>12</v>
      </c>
      <c r="F1088" t="s">
        <v>51</v>
      </c>
      <c r="L1088" t="s">
        <v>5042</v>
      </c>
      <c r="N1088" t="s">
        <v>5042</v>
      </c>
      <c r="T1088" t="s">
        <v>5043</v>
      </c>
      <c r="U1088" t="s">
        <v>5044</v>
      </c>
      <c r="V1088" t="s">
        <v>5042</v>
      </c>
      <c r="W1088" t="s">
        <v>60</v>
      </c>
      <c r="X1088" t="s">
        <v>5045</v>
      </c>
      <c r="Y1088">
        <v>0</v>
      </c>
      <c r="Z1088">
        <v>63</v>
      </c>
    </row>
    <row r="1089" spans="1:26">
      <c r="A1089" s="1">
        <v>1087</v>
      </c>
      <c r="B1089" t="str">
        <f>HYPERLINK("https://bugs.eclipse.org/bugs/show_bug.cgi?id=37836", "37836")</f>
        <v>37836</v>
      </c>
      <c r="C1089" t="s">
        <v>149</v>
      </c>
      <c r="D1089" t="s">
        <v>10</v>
      </c>
      <c r="E1089" t="s">
        <v>12</v>
      </c>
      <c r="F1089" t="s">
        <v>26</v>
      </c>
      <c r="L1089" t="s">
        <v>5046</v>
      </c>
      <c r="N1089" t="s">
        <v>5046</v>
      </c>
      <c r="T1089" t="s">
        <v>5047</v>
      </c>
      <c r="U1089" t="s">
        <v>5048</v>
      </c>
      <c r="V1089" t="s">
        <v>5046</v>
      </c>
      <c r="W1089" t="s">
        <v>60</v>
      </c>
      <c r="X1089" t="s">
        <v>5049</v>
      </c>
      <c r="Y1089">
        <v>0</v>
      </c>
      <c r="Z1089">
        <v>84</v>
      </c>
    </row>
    <row r="1090" spans="1:26">
      <c r="A1090" s="1">
        <v>1088</v>
      </c>
      <c r="B1090" t="str">
        <f>HYPERLINK("https://bugs.eclipse.org/bugs/show_bug.cgi?id=37839", "37839")</f>
        <v>37839</v>
      </c>
      <c r="C1090" t="s">
        <v>149</v>
      </c>
      <c r="D1090" t="s">
        <v>10</v>
      </c>
      <c r="E1090" t="s">
        <v>12</v>
      </c>
      <c r="F1090" t="s">
        <v>51</v>
      </c>
      <c r="L1090" t="s">
        <v>5050</v>
      </c>
      <c r="N1090" t="s">
        <v>5050</v>
      </c>
      <c r="T1090" t="s">
        <v>5051</v>
      </c>
      <c r="U1090" t="s">
        <v>5052</v>
      </c>
      <c r="V1090" t="s">
        <v>5050</v>
      </c>
      <c r="W1090" t="s">
        <v>851</v>
      </c>
      <c r="X1090" t="s">
        <v>5053</v>
      </c>
      <c r="Y1090">
        <v>0</v>
      </c>
      <c r="Z1090">
        <v>1911</v>
      </c>
    </row>
    <row r="1091" spans="1:26">
      <c r="A1091" s="1">
        <v>1089</v>
      </c>
      <c r="B1091" t="str">
        <f>HYPERLINK("https://bugs.eclipse.org/bugs/show_bug.cgi?id=37846", "37846")</f>
        <v>37846</v>
      </c>
      <c r="C1091" t="s">
        <v>149</v>
      </c>
      <c r="D1091" t="s">
        <v>10</v>
      </c>
      <c r="E1091" t="s">
        <v>12</v>
      </c>
      <c r="F1091" t="s">
        <v>26</v>
      </c>
      <c r="G1091" t="s">
        <v>5054</v>
      </c>
      <c r="L1091" t="s">
        <v>5055</v>
      </c>
      <c r="N1091" t="s">
        <v>5055</v>
      </c>
      <c r="T1091" t="s">
        <v>5056</v>
      </c>
      <c r="U1091" t="s">
        <v>5057</v>
      </c>
      <c r="V1091" t="s">
        <v>5055</v>
      </c>
      <c r="W1091" t="s">
        <v>49</v>
      </c>
      <c r="X1091" t="s">
        <v>5058</v>
      </c>
      <c r="Y1091">
        <v>0</v>
      </c>
      <c r="Z1091">
        <v>290.04166666666669</v>
      </c>
    </row>
    <row r="1092" spans="1:26">
      <c r="A1092" s="1">
        <v>1090</v>
      </c>
      <c r="B1092" t="str">
        <f>HYPERLINK("https://bugs.eclipse.org/bugs/show_bug.cgi?id=37857", "37857")</f>
        <v>37857</v>
      </c>
      <c r="C1092" t="s">
        <v>140</v>
      </c>
      <c r="D1092" t="s">
        <v>10</v>
      </c>
      <c r="E1092" t="s">
        <v>16</v>
      </c>
      <c r="F1092" t="s">
        <v>26</v>
      </c>
      <c r="L1092" t="s">
        <v>5059</v>
      </c>
      <c r="R1092" t="s">
        <v>5059</v>
      </c>
      <c r="T1092" t="s">
        <v>5060</v>
      </c>
      <c r="U1092" t="s">
        <v>5061</v>
      </c>
      <c r="V1092" t="s">
        <v>5059</v>
      </c>
      <c r="W1092" t="s">
        <v>49</v>
      </c>
      <c r="X1092" t="s">
        <v>5062</v>
      </c>
      <c r="Y1092">
        <v>0</v>
      </c>
      <c r="Z1092">
        <v>1497</v>
      </c>
    </row>
    <row r="1093" spans="1:26">
      <c r="A1093" s="1">
        <v>1091</v>
      </c>
      <c r="B1093" t="str">
        <f>HYPERLINK("https://bugs.eclipse.org/bugs/show_bug.cgi?id=37872", "37872")</f>
        <v>37872</v>
      </c>
      <c r="C1093" t="s">
        <v>35</v>
      </c>
      <c r="D1093" t="s">
        <v>11</v>
      </c>
      <c r="E1093" t="s">
        <v>12</v>
      </c>
      <c r="F1093" t="s">
        <v>26</v>
      </c>
      <c r="H1093" t="s">
        <v>5063</v>
      </c>
      <c r="L1093" t="s">
        <v>5064</v>
      </c>
      <c r="M1093" t="s">
        <v>5065</v>
      </c>
      <c r="N1093" t="s">
        <v>5064</v>
      </c>
      <c r="S1093" t="s">
        <v>5066</v>
      </c>
      <c r="T1093" t="s">
        <v>5067</v>
      </c>
      <c r="U1093" t="s">
        <v>5068</v>
      </c>
      <c r="V1093" t="s">
        <v>5065</v>
      </c>
      <c r="W1093" t="s">
        <v>5069</v>
      </c>
      <c r="X1093" t="s">
        <v>5070</v>
      </c>
      <c r="Y1093">
        <v>0</v>
      </c>
      <c r="Z1093">
        <v>6213</v>
      </c>
    </row>
    <row r="1094" spans="1:26">
      <c r="A1094" s="1">
        <v>1092</v>
      </c>
      <c r="B1094" t="str">
        <f>HYPERLINK("https://bugs.eclipse.org/bugs/show_bug.cgi?id=37879", "37879")</f>
        <v>37879</v>
      </c>
      <c r="C1094" t="s">
        <v>149</v>
      </c>
      <c r="D1094" t="s">
        <v>10</v>
      </c>
      <c r="E1094" t="s">
        <v>12</v>
      </c>
      <c r="F1094" t="s">
        <v>26</v>
      </c>
      <c r="G1094" t="s">
        <v>5071</v>
      </c>
      <c r="L1094" t="s">
        <v>5072</v>
      </c>
      <c r="N1094" t="s">
        <v>5072</v>
      </c>
      <c r="T1094" t="s">
        <v>5073</v>
      </c>
      <c r="U1094" t="s">
        <v>5074</v>
      </c>
      <c r="V1094" t="s">
        <v>5072</v>
      </c>
      <c r="W1094" t="s">
        <v>86</v>
      </c>
      <c r="X1094" t="s">
        <v>5075</v>
      </c>
      <c r="Y1094">
        <v>1</v>
      </c>
      <c r="Z1094">
        <v>609.04166666666663</v>
      </c>
    </row>
    <row r="1095" spans="1:26">
      <c r="A1095" s="1">
        <v>1093</v>
      </c>
      <c r="B1095" t="str">
        <f>HYPERLINK("https://bugs.eclipse.org/bugs/show_bug.cgi?id=37901", "37901")</f>
        <v>37901</v>
      </c>
      <c r="C1095" t="s">
        <v>4483</v>
      </c>
      <c r="D1095" t="s">
        <v>10</v>
      </c>
      <c r="E1095" t="s">
        <v>15</v>
      </c>
      <c r="F1095" t="s">
        <v>26</v>
      </c>
      <c r="L1095" t="s">
        <v>5076</v>
      </c>
      <c r="Q1095" t="s">
        <v>5076</v>
      </c>
      <c r="T1095" t="s">
        <v>5077</v>
      </c>
      <c r="U1095" t="s">
        <v>5076</v>
      </c>
      <c r="V1095" t="s">
        <v>5076</v>
      </c>
      <c r="W1095" t="s">
        <v>86</v>
      </c>
      <c r="X1095" t="s">
        <v>5078</v>
      </c>
      <c r="Y1095">
        <v>5</v>
      </c>
      <c r="Z1095">
        <v>5</v>
      </c>
    </row>
    <row r="1096" spans="1:26">
      <c r="A1096" s="1">
        <v>1094</v>
      </c>
      <c r="B1096" t="str">
        <f>HYPERLINK("https://bugs.eclipse.org/bugs/show_bug.cgi?id=37921", "37921")</f>
        <v>37921</v>
      </c>
      <c r="C1096" t="s">
        <v>149</v>
      </c>
      <c r="D1096" t="s">
        <v>10</v>
      </c>
      <c r="E1096" t="s">
        <v>12</v>
      </c>
      <c r="F1096" t="s">
        <v>26</v>
      </c>
      <c r="L1096" t="s">
        <v>5079</v>
      </c>
      <c r="N1096" t="s">
        <v>5079</v>
      </c>
      <c r="T1096" t="s">
        <v>5080</v>
      </c>
      <c r="U1096" t="s">
        <v>5081</v>
      </c>
      <c r="V1096" t="s">
        <v>5079</v>
      </c>
      <c r="W1096" t="s">
        <v>60</v>
      </c>
      <c r="X1096" t="s">
        <v>5082</v>
      </c>
      <c r="Y1096">
        <v>0</v>
      </c>
      <c r="Z1096">
        <v>16</v>
      </c>
    </row>
    <row r="1097" spans="1:26">
      <c r="A1097" s="1">
        <v>1095</v>
      </c>
      <c r="B1097" t="str">
        <f>HYPERLINK("https://bugs.eclipse.org/bugs/show_bug.cgi?id=37927", "37927")</f>
        <v>37927</v>
      </c>
      <c r="C1097" t="s">
        <v>149</v>
      </c>
      <c r="D1097" t="s">
        <v>10</v>
      </c>
      <c r="E1097" t="s">
        <v>12</v>
      </c>
      <c r="F1097" t="s">
        <v>150</v>
      </c>
      <c r="L1097" t="s">
        <v>5083</v>
      </c>
      <c r="N1097" t="s">
        <v>5083</v>
      </c>
      <c r="T1097" t="s">
        <v>5084</v>
      </c>
      <c r="U1097" t="s">
        <v>5085</v>
      </c>
      <c r="V1097" t="s">
        <v>5083</v>
      </c>
      <c r="W1097" t="s">
        <v>60</v>
      </c>
      <c r="X1097" t="s">
        <v>5086</v>
      </c>
      <c r="Y1097">
        <v>0</v>
      </c>
      <c r="Z1097">
        <v>6</v>
      </c>
    </row>
    <row r="1098" spans="1:26">
      <c r="A1098" s="1">
        <v>1096</v>
      </c>
      <c r="B1098" t="str">
        <f>HYPERLINK("https://bugs.eclipse.org/bugs/show_bug.cgi?id=37932", "37932")</f>
        <v>37932</v>
      </c>
      <c r="C1098" t="s">
        <v>5087</v>
      </c>
      <c r="D1098" t="s">
        <v>11</v>
      </c>
      <c r="E1098" t="s">
        <v>15</v>
      </c>
      <c r="F1098" t="s">
        <v>26</v>
      </c>
      <c r="L1098" t="s">
        <v>5088</v>
      </c>
      <c r="M1098" t="s">
        <v>5089</v>
      </c>
      <c r="Q1098" t="s">
        <v>5088</v>
      </c>
      <c r="T1098" t="s">
        <v>5090</v>
      </c>
      <c r="U1098" t="s">
        <v>5088</v>
      </c>
      <c r="V1098" t="s">
        <v>5089</v>
      </c>
      <c r="W1098" t="s">
        <v>3492</v>
      </c>
      <c r="X1098" t="s">
        <v>5091</v>
      </c>
      <c r="Y1098">
        <v>1</v>
      </c>
      <c r="Z1098">
        <v>1</v>
      </c>
    </row>
    <row r="1099" spans="1:26">
      <c r="A1099" s="1">
        <v>1097</v>
      </c>
      <c r="B1099" t="str">
        <f>HYPERLINK("https://bugs.eclipse.org/bugs/show_bug.cgi?id=37937", "37937")</f>
        <v>37937</v>
      </c>
      <c r="C1099" t="s">
        <v>149</v>
      </c>
      <c r="D1099" t="s">
        <v>10</v>
      </c>
      <c r="E1099" t="s">
        <v>12</v>
      </c>
      <c r="F1099" t="s">
        <v>51</v>
      </c>
      <c r="G1099" t="s">
        <v>5092</v>
      </c>
      <c r="L1099" t="s">
        <v>5093</v>
      </c>
      <c r="N1099" t="s">
        <v>5093</v>
      </c>
      <c r="T1099" t="s">
        <v>5094</v>
      </c>
      <c r="U1099" t="s">
        <v>5095</v>
      </c>
      <c r="V1099" t="s">
        <v>5096</v>
      </c>
      <c r="W1099" t="s">
        <v>143</v>
      </c>
      <c r="X1099" t="s">
        <v>5097</v>
      </c>
      <c r="Y1099">
        <v>0</v>
      </c>
      <c r="Z1099">
        <v>2625</v>
      </c>
    </row>
    <row r="1100" spans="1:26">
      <c r="A1100" s="1">
        <v>1098</v>
      </c>
      <c r="B1100" t="str">
        <f>HYPERLINK("https://bugs.eclipse.org/bugs/show_bug.cgi?id=37960", "37960")</f>
        <v>37960</v>
      </c>
      <c r="C1100" t="s">
        <v>5098</v>
      </c>
      <c r="D1100" t="s">
        <v>11</v>
      </c>
      <c r="E1100" t="s">
        <v>15</v>
      </c>
      <c r="F1100" t="s">
        <v>26</v>
      </c>
      <c r="L1100" t="s">
        <v>5099</v>
      </c>
      <c r="M1100" t="s">
        <v>5100</v>
      </c>
      <c r="Q1100" t="s">
        <v>5099</v>
      </c>
      <c r="T1100" t="s">
        <v>5101</v>
      </c>
      <c r="U1100" t="s">
        <v>5099</v>
      </c>
      <c r="V1100" t="s">
        <v>5100</v>
      </c>
      <c r="W1100" t="s">
        <v>3492</v>
      </c>
      <c r="X1100" t="s">
        <v>5102</v>
      </c>
      <c r="Y1100">
        <v>1</v>
      </c>
      <c r="Z1100">
        <v>1</v>
      </c>
    </row>
    <row r="1101" spans="1:26">
      <c r="A1101" s="1">
        <v>1099</v>
      </c>
      <c r="B1101" t="str">
        <f>HYPERLINK("https://bugs.eclipse.org/bugs/show_bug.cgi?id=37965", "37965")</f>
        <v>37965</v>
      </c>
      <c r="C1101" t="s">
        <v>88</v>
      </c>
      <c r="D1101" t="s">
        <v>10</v>
      </c>
      <c r="E1101" t="s">
        <v>13</v>
      </c>
      <c r="F1101" t="s">
        <v>26</v>
      </c>
      <c r="G1101" t="s">
        <v>5103</v>
      </c>
      <c r="L1101" t="s">
        <v>5104</v>
      </c>
      <c r="O1101" t="s">
        <v>5105</v>
      </c>
      <c r="T1101" t="s">
        <v>5106</v>
      </c>
      <c r="U1101" t="s">
        <v>5107</v>
      </c>
      <c r="V1101" t="s">
        <v>5105</v>
      </c>
      <c r="W1101" t="s">
        <v>75</v>
      </c>
      <c r="X1101" t="s">
        <v>5108</v>
      </c>
      <c r="Y1101">
        <v>0</v>
      </c>
      <c r="Z1101">
        <v>2292</v>
      </c>
    </row>
    <row r="1102" spans="1:26">
      <c r="A1102" s="1">
        <v>1100</v>
      </c>
      <c r="B1102" t="str">
        <f>HYPERLINK("https://bugs.eclipse.org/bugs/show_bug.cgi?id=37968", "37968")</f>
        <v>37968</v>
      </c>
      <c r="C1102" t="s">
        <v>5109</v>
      </c>
      <c r="D1102" t="s">
        <v>10</v>
      </c>
      <c r="E1102" t="s">
        <v>15</v>
      </c>
      <c r="F1102" t="s">
        <v>26</v>
      </c>
      <c r="L1102" t="s">
        <v>5110</v>
      </c>
      <c r="Q1102" t="s">
        <v>5110</v>
      </c>
      <c r="T1102" t="s">
        <v>5111</v>
      </c>
      <c r="U1102" t="s">
        <v>5112</v>
      </c>
      <c r="V1102" t="s">
        <v>5110</v>
      </c>
      <c r="W1102" t="s">
        <v>86</v>
      </c>
      <c r="X1102" t="s">
        <v>5113</v>
      </c>
      <c r="Y1102">
        <v>1</v>
      </c>
      <c r="Z1102">
        <v>1</v>
      </c>
    </row>
    <row r="1103" spans="1:26">
      <c r="A1103" s="1">
        <v>1101</v>
      </c>
      <c r="B1103" t="str">
        <f>HYPERLINK("https://bugs.eclipse.org/bugs/show_bug.cgi?id=38018", "38018")</f>
        <v>38018</v>
      </c>
      <c r="C1103" t="s">
        <v>56</v>
      </c>
      <c r="D1103" t="s">
        <v>10</v>
      </c>
      <c r="E1103" t="s">
        <v>14</v>
      </c>
      <c r="F1103" t="s">
        <v>26</v>
      </c>
      <c r="L1103" t="s">
        <v>5114</v>
      </c>
      <c r="P1103" t="s">
        <v>5114</v>
      </c>
      <c r="T1103" t="s">
        <v>5115</v>
      </c>
      <c r="U1103" t="s">
        <v>5116</v>
      </c>
      <c r="V1103" t="s">
        <v>5114</v>
      </c>
      <c r="W1103" t="s">
        <v>851</v>
      </c>
      <c r="X1103" t="s">
        <v>5117</v>
      </c>
      <c r="Y1103">
        <v>0</v>
      </c>
      <c r="Z1103">
        <v>2574</v>
      </c>
    </row>
    <row r="1104" spans="1:26">
      <c r="A1104" s="1">
        <v>1102</v>
      </c>
      <c r="B1104" t="str">
        <f>HYPERLINK("https://bugs.eclipse.org/bugs/show_bug.cgi?id=38025", "38025")</f>
        <v>38025</v>
      </c>
      <c r="C1104" t="s">
        <v>56</v>
      </c>
      <c r="D1104" t="s">
        <v>10</v>
      </c>
      <c r="E1104" t="s">
        <v>14</v>
      </c>
      <c r="F1104" t="s">
        <v>26</v>
      </c>
      <c r="L1104" t="s">
        <v>5118</v>
      </c>
      <c r="P1104" t="s">
        <v>5119</v>
      </c>
      <c r="T1104" t="s">
        <v>5120</v>
      </c>
      <c r="U1104" t="s">
        <v>5118</v>
      </c>
      <c r="V1104" t="s">
        <v>5119</v>
      </c>
      <c r="W1104" t="s">
        <v>75</v>
      </c>
      <c r="X1104" t="s">
        <v>5121</v>
      </c>
      <c r="Y1104">
        <v>0</v>
      </c>
      <c r="Z1104">
        <v>2291</v>
      </c>
    </row>
    <row r="1105" spans="1:26">
      <c r="A1105" s="1">
        <v>1103</v>
      </c>
      <c r="B1105" t="str">
        <f>HYPERLINK("https://bugs.eclipse.org/bugs/show_bug.cgi?id=38031", "38031")</f>
        <v>38031</v>
      </c>
      <c r="C1105" t="s">
        <v>140</v>
      </c>
      <c r="D1105" t="s">
        <v>10</v>
      </c>
      <c r="E1105" t="s">
        <v>16</v>
      </c>
      <c r="F1105" t="s">
        <v>26</v>
      </c>
      <c r="L1105" t="s">
        <v>5122</v>
      </c>
      <c r="R1105" t="s">
        <v>5122</v>
      </c>
      <c r="T1105" t="s">
        <v>5123</v>
      </c>
      <c r="U1105" t="s">
        <v>5124</v>
      </c>
      <c r="V1105" t="s">
        <v>5122</v>
      </c>
      <c r="W1105" t="s">
        <v>49</v>
      </c>
      <c r="X1105" t="s">
        <v>5125</v>
      </c>
      <c r="Y1105">
        <v>2</v>
      </c>
      <c r="Z1105">
        <v>1119</v>
      </c>
    </row>
    <row r="1106" spans="1:26">
      <c r="A1106" s="1">
        <v>1104</v>
      </c>
      <c r="B1106" t="str">
        <f>HYPERLINK("https://bugs.eclipse.org/bugs/show_bug.cgi?id=38084", "38084")</f>
        <v>38084</v>
      </c>
      <c r="C1106" t="s">
        <v>35</v>
      </c>
      <c r="D1106" t="s">
        <v>11</v>
      </c>
      <c r="E1106" t="s">
        <v>12</v>
      </c>
      <c r="F1106" t="s">
        <v>26</v>
      </c>
      <c r="L1106" t="s">
        <v>5126</v>
      </c>
      <c r="M1106" t="s">
        <v>5127</v>
      </c>
      <c r="N1106" t="s">
        <v>5126</v>
      </c>
      <c r="T1106" t="s">
        <v>5128</v>
      </c>
      <c r="U1106" t="s">
        <v>5129</v>
      </c>
      <c r="V1106" t="s">
        <v>5127</v>
      </c>
      <c r="W1106" t="s">
        <v>3492</v>
      </c>
      <c r="X1106" t="s">
        <v>5130</v>
      </c>
      <c r="Y1106">
        <v>1</v>
      </c>
      <c r="Z1106">
        <v>129</v>
      </c>
    </row>
    <row r="1107" spans="1:26">
      <c r="A1107" s="1">
        <v>1105</v>
      </c>
      <c r="B1107" t="str">
        <f>HYPERLINK("https://bugs.eclipse.org/bugs/show_bug.cgi?id=38093", "38093")</f>
        <v>38093</v>
      </c>
      <c r="C1107" t="s">
        <v>149</v>
      </c>
      <c r="D1107" t="s">
        <v>10</v>
      </c>
      <c r="E1107" t="s">
        <v>12</v>
      </c>
      <c r="F1107" t="s">
        <v>26</v>
      </c>
      <c r="L1107" t="s">
        <v>5131</v>
      </c>
      <c r="N1107" t="s">
        <v>5131</v>
      </c>
      <c r="S1107" t="s">
        <v>5132</v>
      </c>
      <c r="T1107" t="s">
        <v>5133</v>
      </c>
      <c r="U1107" t="s">
        <v>5134</v>
      </c>
      <c r="V1107" t="s">
        <v>5131</v>
      </c>
      <c r="W1107" t="s">
        <v>86</v>
      </c>
      <c r="X1107" t="s">
        <v>5135</v>
      </c>
      <c r="Y1107">
        <v>1</v>
      </c>
      <c r="Z1107">
        <v>324</v>
      </c>
    </row>
    <row r="1108" spans="1:26">
      <c r="A1108" s="1">
        <v>1106</v>
      </c>
      <c r="B1108" t="str">
        <f>HYPERLINK("https://bugs.eclipse.org/bugs/show_bug.cgi?id=38105", "38105")</f>
        <v>38105</v>
      </c>
      <c r="C1108" t="s">
        <v>5136</v>
      </c>
      <c r="D1108" t="s">
        <v>10</v>
      </c>
      <c r="E1108" t="s">
        <v>15</v>
      </c>
      <c r="F1108" t="s">
        <v>26</v>
      </c>
      <c r="G1108" t="s">
        <v>5137</v>
      </c>
      <c r="L1108" t="s">
        <v>5138</v>
      </c>
      <c r="Q1108" t="s">
        <v>5138</v>
      </c>
      <c r="S1108" t="s">
        <v>5139</v>
      </c>
      <c r="T1108" t="s">
        <v>5140</v>
      </c>
      <c r="U1108" t="s">
        <v>5141</v>
      </c>
      <c r="V1108" t="s">
        <v>5138</v>
      </c>
      <c r="W1108" t="s">
        <v>851</v>
      </c>
      <c r="X1108" t="s">
        <v>5142</v>
      </c>
      <c r="Y1108">
        <v>0</v>
      </c>
      <c r="Z1108">
        <v>1031.041666666667</v>
      </c>
    </row>
    <row r="1109" spans="1:26">
      <c r="A1109" s="1">
        <v>1107</v>
      </c>
      <c r="B1109" t="str">
        <f>HYPERLINK("https://bugs.eclipse.org/bugs/show_bug.cgi?id=38108", "38108")</f>
        <v>38108</v>
      </c>
      <c r="C1109" t="s">
        <v>56</v>
      </c>
      <c r="D1109" t="s">
        <v>10</v>
      </c>
      <c r="E1109" t="s">
        <v>14</v>
      </c>
      <c r="F1109" t="s">
        <v>26</v>
      </c>
      <c r="L1109" t="s">
        <v>5143</v>
      </c>
      <c r="P1109" t="s">
        <v>5143</v>
      </c>
      <c r="T1109" t="s">
        <v>5144</v>
      </c>
      <c r="U1109" t="s">
        <v>5145</v>
      </c>
      <c r="V1109" t="s">
        <v>5143</v>
      </c>
      <c r="W1109" t="s">
        <v>49</v>
      </c>
      <c r="X1109" t="s">
        <v>5146</v>
      </c>
      <c r="Y1109">
        <v>1</v>
      </c>
      <c r="Z1109">
        <v>1113</v>
      </c>
    </row>
    <row r="1110" spans="1:26">
      <c r="A1110" s="1">
        <v>1108</v>
      </c>
      <c r="B1110" t="str">
        <f>HYPERLINK("https://bugs.eclipse.org/bugs/show_bug.cgi?id=38110", "38110")</f>
        <v>38110</v>
      </c>
      <c r="C1110" t="s">
        <v>995</v>
      </c>
      <c r="D1110" t="s">
        <v>192</v>
      </c>
      <c r="E1110" t="s">
        <v>12</v>
      </c>
      <c r="F1110" t="s">
        <v>26</v>
      </c>
      <c r="G1110" t="s">
        <v>5147</v>
      </c>
      <c r="L1110" t="s">
        <v>5148</v>
      </c>
      <c r="N1110" t="s">
        <v>5148</v>
      </c>
      <c r="T1110" t="s">
        <v>5149</v>
      </c>
      <c r="U1110" t="s">
        <v>5150</v>
      </c>
      <c r="V1110" t="s">
        <v>5151</v>
      </c>
      <c r="W1110" t="s">
        <v>1000</v>
      </c>
      <c r="X1110" t="s">
        <v>5152</v>
      </c>
      <c r="Y1110">
        <v>0</v>
      </c>
      <c r="Z1110">
        <v>261.04166666666669</v>
      </c>
    </row>
    <row r="1111" spans="1:26">
      <c r="A1111" s="1">
        <v>1109</v>
      </c>
      <c r="B1111" t="str">
        <f>HYPERLINK("https://bugs.eclipse.org/bugs/show_bug.cgi?id=38114", "38114")</f>
        <v>38114</v>
      </c>
      <c r="C1111" t="s">
        <v>149</v>
      </c>
      <c r="D1111" t="s">
        <v>10</v>
      </c>
      <c r="E1111" t="s">
        <v>12</v>
      </c>
      <c r="F1111" t="s">
        <v>26</v>
      </c>
      <c r="L1111" t="s">
        <v>5153</v>
      </c>
      <c r="N1111" t="s">
        <v>5153</v>
      </c>
      <c r="T1111" t="s">
        <v>5154</v>
      </c>
      <c r="U1111" t="s">
        <v>5155</v>
      </c>
      <c r="V1111" t="s">
        <v>5153</v>
      </c>
      <c r="W1111" t="s">
        <v>60</v>
      </c>
      <c r="X1111" t="s">
        <v>5156</v>
      </c>
      <c r="Y1111">
        <v>0</v>
      </c>
      <c r="Z1111">
        <v>56</v>
      </c>
    </row>
    <row r="1112" spans="1:26">
      <c r="A1112" s="1">
        <v>1110</v>
      </c>
      <c r="B1112" t="str">
        <f>HYPERLINK("https://bugs.eclipse.org/bugs/show_bug.cgi?id=38137", "38137")</f>
        <v>38137</v>
      </c>
      <c r="C1112" t="s">
        <v>35</v>
      </c>
      <c r="D1112" t="s">
        <v>11</v>
      </c>
      <c r="E1112" t="s">
        <v>12</v>
      </c>
      <c r="F1112" t="s">
        <v>26</v>
      </c>
      <c r="L1112" t="s">
        <v>5157</v>
      </c>
      <c r="M1112" t="s">
        <v>5158</v>
      </c>
      <c r="N1112" t="s">
        <v>5157</v>
      </c>
      <c r="S1112" t="s">
        <v>5159</v>
      </c>
      <c r="T1112" t="s">
        <v>5160</v>
      </c>
      <c r="U1112" t="s">
        <v>5161</v>
      </c>
      <c r="V1112" t="s">
        <v>5158</v>
      </c>
      <c r="W1112" t="s">
        <v>143</v>
      </c>
      <c r="X1112" t="s">
        <v>5162</v>
      </c>
      <c r="Y1112">
        <v>0</v>
      </c>
      <c r="Z1112">
        <v>134</v>
      </c>
    </row>
    <row r="1113" spans="1:26">
      <c r="A1113" s="1">
        <v>1111</v>
      </c>
      <c r="B1113" t="str">
        <f>HYPERLINK("https://bugs.eclipse.org/bugs/show_bug.cgi?id=38153", "38153")</f>
        <v>38153</v>
      </c>
      <c r="C1113" t="s">
        <v>3336</v>
      </c>
      <c r="D1113" t="s">
        <v>10</v>
      </c>
      <c r="E1113" t="s">
        <v>15</v>
      </c>
      <c r="F1113" t="s">
        <v>26</v>
      </c>
      <c r="L1113" t="s">
        <v>5163</v>
      </c>
      <c r="Q1113" t="s">
        <v>5163</v>
      </c>
      <c r="T1113" t="s">
        <v>5164</v>
      </c>
      <c r="U1113" t="s">
        <v>5165</v>
      </c>
      <c r="V1113" t="s">
        <v>5163</v>
      </c>
      <c r="W1113" t="s">
        <v>86</v>
      </c>
      <c r="X1113" t="s">
        <v>5166</v>
      </c>
      <c r="Y1113">
        <v>0</v>
      </c>
      <c r="Z1113">
        <v>0</v>
      </c>
    </row>
    <row r="1114" spans="1:26">
      <c r="A1114" s="1">
        <v>1112</v>
      </c>
      <c r="B1114" t="str">
        <f>HYPERLINK("https://bugs.eclipse.org/bugs/show_bug.cgi?id=38170", "38170")</f>
        <v>38170</v>
      </c>
      <c r="C1114" t="s">
        <v>5167</v>
      </c>
      <c r="D1114" t="s">
        <v>10</v>
      </c>
      <c r="E1114" t="s">
        <v>15</v>
      </c>
      <c r="F1114" t="s">
        <v>26</v>
      </c>
      <c r="L1114" t="s">
        <v>5168</v>
      </c>
      <c r="Q1114" t="s">
        <v>5168</v>
      </c>
      <c r="T1114" t="s">
        <v>5169</v>
      </c>
      <c r="U1114" t="s">
        <v>5168</v>
      </c>
      <c r="V1114" t="s">
        <v>5168</v>
      </c>
      <c r="W1114" t="s">
        <v>60</v>
      </c>
      <c r="X1114" t="s">
        <v>5170</v>
      </c>
      <c r="Y1114">
        <v>1</v>
      </c>
      <c r="Z1114">
        <v>1</v>
      </c>
    </row>
    <row r="1115" spans="1:26">
      <c r="A1115" s="1">
        <v>1113</v>
      </c>
      <c r="B1115" t="str">
        <f>HYPERLINK("https://bugs.eclipse.org/bugs/show_bug.cgi?id=38181", "38181")</f>
        <v>38181</v>
      </c>
      <c r="C1115" t="s">
        <v>149</v>
      </c>
      <c r="D1115" t="s">
        <v>10</v>
      </c>
      <c r="E1115" t="s">
        <v>12</v>
      </c>
      <c r="F1115" t="s">
        <v>26</v>
      </c>
      <c r="L1115" t="s">
        <v>5171</v>
      </c>
      <c r="N1115" t="s">
        <v>5171</v>
      </c>
      <c r="T1115" t="s">
        <v>5172</v>
      </c>
      <c r="U1115" t="s">
        <v>5173</v>
      </c>
      <c r="V1115" t="s">
        <v>5171</v>
      </c>
      <c r="W1115" t="s">
        <v>60</v>
      </c>
      <c r="X1115" t="s">
        <v>5174</v>
      </c>
      <c r="Y1115">
        <v>0</v>
      </c>
      <c r="Z1115">
        <v>33</v>
      </c>
    </row>
    <row r="1116" spans="1:26">
      <c r="A1116" s="1">
        <v>1114</v>
      </c>
      <c r="B1116" t="str">
        <f>HYPERLINK("https://bugs.eclipse.org/bugs/show_bug.cgi?id=38195", "38195")</f>
        <v>38195</v>
      </c>
      <c r="C1116" t="s">
        <v>149</v>
      </c>
      <c r="D1116" t="s">
        <v>10</v>
      </c>
      <c r="E1116" t="s">
        <v>12</v>
      </c>
      <c r="F1116" t="s">
        <v>26</v>
      </c>
      <c r="L1116" t="s">
        <v>5175</v>
      </c>
      <c r="N1116" t="s">
        <v>5175</v>
      </c>
      <c r="T1116" t="s">
        <v>5176</v>
      </c>
      <c r="U1116" t="s">
        <v>5177</v>
      </c>
      <c r="V1116" t="s">
        <v>5175</v>
      </c>
      <c r="W1116" t="s">
        <v>60</v>
      </c>
      <c r="X1116" t="s">
        <v>5178</v>
      </c>
      <c r="Y1116">
        <v>0</v>
      </c>
      <c r="Z1116">
        <v>8</v>
      </c>
    </row>
    <row r="1117" spans="1:26">
      <c r="A1117" s="1">
        <v>1115</v>
      </c>
      <c r="B1117" t="str">
        <f>HYPERLINK("https://bugs.eclipse.org/bugs/show_bug.cgi?id=38223", "38223")</f>
        <v>38223</v>
      </c>
      <c r="C1117" t="s">
        <v>1062</v>
      </c>
      <c r="D1117" t="s">
        <v>10</v>
      </c>
      <c r="E1117" t="s">
        <v>15</v>
      </c>
      <c r="F1117" t="s">
        <v>26</v>
      </c>
      <c r="L1117" t="s">
        <v>5179</v>
      </c>
      <c r="Q1117" t="s">
        <v>5179</v>
      </c>
      <c r="T1117" t="s">
        <v>5180</v>
      </c>
      <c r="U1117" t="s">
        <v>5181</v>
      </c>
      <c r="V1117" t="s">
        <v>5179</v>
      </c>
      <c r="W1117" t="s">
        <v>60</v>
      </c>
      <c r="X1117" t="s">
        <v>5182</v>
      </c>
      <c r="Y1117">
        <v>0</v>
      </c>
      <c r="Z1117">
        <v>4</v>
      </c>
    </row>
    <row r="1118" spans="1:26">
      <c r="A1118" s="1">
        <v>1116</v>
      </c>
      <c r="B1118" t="str">
        <f>HYPERLINK("https://bugs.eclipse.org/bugs/show_bug.cgi?id=38226", "38226")</f>
        <v>38226</v>
      </c>
      <c r="C1118" t="s">
        <v>56</v>
      </c>
      <c r="D1118" t="s">
        <v>10</v>
      </c>
      <c r="E1118" t="s">
        <v>14</v>
      </c>
      <c r="F1118" t="s">
        <v>26</v>
      </c>
      <c r="L1118" t="s">
        <v>5183</v>
      </c>
      <c r="P1118" t="s">
        <v>5183</v>
      </c>
      <c r="T1118" t="s">
        <v>5184</v>
      </c>
      <c r="U1118" t="s">
        <v>5185</v>
      </c>
      <c r="V1118" t="s">
        <v>5183</v>
      </c>
      <c r="W1118" t="s">
        <v>49</v>
      </c>
      <c r="X1118" t="s">
        <v>5186</v>
      </c>
      <c r="Y1118">
        <v>5</v>
      </c>
      <c r="Z1118">
        <v>84</v>
      </c>
    </row>
    <row r="1119" spans="1:26">
      <c r="A1119" s="1">
        <v>1117</v>
      </c>
      <c r="B1119" t="str">
        <f>HYPERLINK("https://bugs.eclipse.org/bugs/show_bug.cgi?id=38227", "38227")</f>
        <v>38227</v>
      </c>
      <c r="C1119" t="s">
        <v>5187</v>
      </c>
      <c r="D1119" t="s">
        <v>10</v>
      </c>
      <c r="E1119" t="s">
        <v>15</v>
      </c>
      <c r="F1119" t="s">
        <v>26</v>
      </c>
      <c r="L1119" t="s">
        <v>5188</v>
      </c>
      <c r="Q1119" t="s">
        <v>5188</v>
      </c>
      <c r="T1119" t="s">
        <v>5189</v>
      </c>
      <c r="U1119" t="s">
        <v>5190</v>
      </c>
      <c r="V1119" t="s">
        <v>5188</v>
      </c>
      <c r="W1119" t="s">
        <v>60</v>
      </c>
      <c r="X1119" t="s">
        <v>5191</v>
      </c>
      <c r="Y1119">
        <v>5</v>
      </c>
      <c r="Z1119">
        <v>7</v>
      </c>
    </row>
    <row r="1120" spans="1:26">
      <c r="A1120" s="1">
        <v>1118</v>
      </c>
      <c r="B1120" t="str">
        <f>HYPERLINK("https://bugs.eclipse.org/bugs/show_bug.cgi?id=38253", "38253")</f>
        <v>38253</v>
      </c>
      <c r="C1120" t="s">
        <v>140</v>
      </c>
      <c r="D1120" t="s">
        <v>10</v>
      </c>
      <c r="E1120" t="s">
        <v>16</v>
      </c>
      <c r="F1120" t="s">
        <v>150</v>
      </c>
      <c r="L1120" t="s">
        <v>5192</v>
      </c>
      <c r="R1120" t="s">
        <v>5192</v>
      </c>
      <c r="T1120" t="s">
        <v>5193</v>
      </c>
      <c r="U1120" t="s">
        <v>5194</v>
      </c>
      <c r="V1120" t="s">
        <v>5192</v>
      </c>
      <c r="W1120" t="s">
        <v>60</v>
      </c>
      <c r="X1120" t="s">
        <v>5195</v>
      </c>
      <c r="Y1120">
        <v>5</v>
      </c>
      <c r="Z1120">
        <v>32</v>
      </c>
    </row>
    <row r="1121" spans="1:26">
      <c r="A1121" s="1">
        <v>1119</v>
      </c>
      <c r="B1121" t="str">
        <f>HYPERLINK("https://bugs.eclipse.org/bugs/show_bug.cgi?id=38281", "38281")</f>
        <v>38281</v>
      </c>
      <c r="C1121" t="s">
        <v>149</v>
      </c>
      <c r="D1121" t="s">
        <v>10</v>
      </c>
      <c r="E1121" t="s">
        <v>12</v>
      </c>
      <c r="F1121" t="s">
        <v>26</v>
      </c>
      <c r="L1121" t="s">
        <v>5196</v>
      </c>
      <c r="N1121" t="s">
        <v>5196</v>
      </c>
      <c r="T1121" t="s">
        <v>5197</v>
      </c>
      <c r="U1121" t="s">
        <v>5198</v>
      </c>
      <c r="V1121" t="s">
        <v>5196</v>
      </c>
      <c r="W1121" t="s">
        <v>86</v>
      </c>
      <c r="X1121" t="s">
        <v>5199</v>
      </c>
      <c r="Y1121">
        <v>4</v>
      </c>
      <c r="Z1121">
        <v>45</v>
      </c>
    </row>
    <row r="1122" spans="1:26">
      <c r="A1122" s="1">
        <v>1120</v>
      </c>
      <c r="B1122" t="str">
        <f>HYPERLINK("https://bugs.eclipse.org/bugs/show_bug.cgi?id=38310", "38310")</f>
        <v>38310</v>
      </c>
      <c r="C1122" t="s">
        <v>149</v>
      </c>
      <c r="D1122" t="s">
        <v>10</v>
      </c>
      <c r="E1122" t="s">
        <v>12</v>
      </c>
      <c r="F1122" t="s">
        <v>26</v>
      </c>
      <c r="L1122" t="s">
        <v>5200</v>
      </c>
      <c r="N1122" t="s">
        <v>5200</v>
      </c>
      <c r="T1122" t="s">
        <v>5201</v>
      </c>
      <c r="U1122" t="s">
        <v>5202</v>
      </c>
      <c r="V1122" t="s">
        <v>5200</v>
      </c>
      <c r="W1122" t="s">
        <v>60</v>
      </c>
      <c r="X1122" t="s">
        <v>5203</v>
      </c>
      <c r="Y1122">
        <v>2</v>
      </c>
      <c r="Z1122">
        <v>73</v>
      </c>
    </row>
    <row r="1123" spans="1:26">
      <c r="A1123" s="1">
        <v>1121</v>
      </c>
      <c r="B1123" t="str">
        <f>HYPERLINK("https://bugs.eclipse.org/bugs/show_bug.cgi?id=38366", "38366")</f>
        <v>38366</v>
      </c>
      <c r="C1123" t="s">
        <v>149</v>
      </c>
      <c r="D1123" t="s">
        <v>10</v>
      </c>
      <c r="E1123" t="s">
        <v>12</v>
      </c>
      <c r="F1123" t="s">
        <v>26</v>
      </c>
      <c r="L1123" t="s">
        <v>5204</v>
      </c>
      <c r="N1123" t="s">
        <v>5204</v>
      </c>
      <c r="T1123" t="s">
        <v>5205</v>
      </c>
      <c r="U1123" t="s">
        <v>5206</v>
      </c>
      <c r="V1123" t="s">
        <v>5204</v>
      </c>
      <c r="W1123" t="s">
        <v>60</v>
      </c>
      <c r="X1123" t="s">
        <v>5207</v>
      </c>
      <c r="Y1123">
        <v>0</v>
      </c>
      <c r="Z1123">
        <v>3</v>
      </c>
    </row>
    <row r="1124" spans="1:26">
      <c r="A1124" s="1">
        <v>1122</v>
      </c>
      <c r="B1124" t="str">
        <f>HYPERLINK("https://bugs.eclipse.org/bugs/show_bug.cgi?id=38379", "38379")</f>
        <v>38379</v>
      </c>
      <c r="C1124" t="s">
        <v>140</v>
      </c>
      <c r="D1124" t="s">
        <v>10</v>
      </c>
      <c r="E1124" t="s">
        <v>16</v>
      </c>
      <c r="F1124" t="s">
        <v>26</v>
      </c>
      <c r="L1124" t="s">
        <v>5208</v>
      </c>
      <c r="R1124" t="s">
        <v>5208</v>
      </c>
      <c r="T1124" t="s">
        <v>5209</v>
      </c>
      <c r="U1124" t="s">
        <v>5210</v>
      </c>
      <c r="V1124" t="s">
        <v>5208</v>
      </c>
      <c r="W1124" t="s">
        <v>60</v>
      </c>
      <c r="X1124" t="s">
        <v>5211</v>
      </c>
      <c r="Y1124">
        <v>1</v>
      </c>
      <c r="Z1124">
        <v>35</v>
      </c>
    </row>
    <row r="1125" spans="1:26">
      <c r="A1125" s="1">
        <v>1123</v>
      </c>
      <c r="B1125" t="str">
        <f>HYPERLINK("https://bugs.eclipse.org/bugs/show_bug.cgi?id=38392", "38392")</f>
        <v>38392</v>
      </c>
      <c r="C1125" t="s">
        <v>149</v>
      </c>
      <c r="D1125" t="s">
        <v>10</v>
      </c>
      <c r="E1125" t="s">
        <v>12</v>
      </c>
      <c r="F1125" t="s">
        <v>26</v>
      </c>
      <c r="L1125" t="s">
        <v>5212</v>
      </c>
      <c r="N1125" t="s">
        <v>5212</v>
      </c>
      <c r="T1125" t="s">
        <v>5213</v>
      </c>
      <c r="U1125" t="s">
        <v>5214</v>
      </c>
      <c r="V1125" t="s">
        <v>5212</v>
      </c>
      <c r="W1125" t="s">
        <v>60</v>
      </c>
      <c r="X1125" t="s">
        <v>5215</v>
      </c>
      <c r="Y1125">
        <v>1</v>
      </c>
      <c r="Z1125">
        <v>3</v>
      </c>
    </row>
    <row r="1126" spans="1:26">
      <c r="A1126" s="1">
        <v>1124</v>
      </c>
      <c r="B1126" t="str">
        <f>HYPERLINK("https://bugs.eclipse.org/bugs/show_bug.cgi?id=38442", "38442")</f>
        <v>38442</v>
      </c>
      <c r="C1126" t="s">
        <v>56</v>
      </c>
      <c r="D1126" t="s">
        <v>10</v>
      </c>
      <c r="E1126" t="s">
        <v>14</v>
      </c>
      <c r="F1126" t="s">
        <v>26</v>
      </c>
      <c r="L1126" t="s">
        <v>5216</v>
      </c>
      <c r="O1126" t="s">
        <v>5217</v>
      </c>
      <c r="P1126" t="s">
        <v>5216</v>
      </c>
      <c r="S1126" t="s">
        <v>5218</v>
      </c>
      <c r="T1126" t="s">
        <v>5219</v>
      </c>
      <c r="U1126" t="s">
        <v>5220</v>
      </c>
      <c r="V1126" t="s">
        <v>5216</v>
      </c>
      <c r="W1126" t="s">
        <v>134</v>
      </c>
      <c r="X1126" t="s">
        <v>5221</v>
      </c>
      <c r="Y1126">
        <v>0</v>
      </c>
      <c r="Z1126">
        <v>7</v>
      </c>
    </row>
    <row r="1127" spans="1:26">
      <c r="A1127" s="1">
        <v>1125</v>
      </c>
      <c r="B1127" t="str">
        <f>HYPERLINK("https://bugs.eclipse.org/bugs/show_bug.cgi?id=38446", "38446")</f>
        <v>38446</v>
      </c>
      <c r="C1127" t="s">
        <v>56</v>
      </c>
      <c r="D1127" t="s">
        <v>10</v>
      </c>
      <c r="E1127" t="s">
        <v>14</v>
      </c>
      <c r="F1127" t="s">
        <v>26</v>
      </c>
      <c r="G1127" t="s">
        <v>5222</v>
      </c>
      <c r="L1127" t="s">
        <v>5223</v>
      </c>
      <c r="P1127" t="s">
        <v>5223</v>
      </c>
      <c r="T1127" t="s">
        <v>5224</v>
      </c>
      <c r="U1127" t="s">
        <v>5225</v>
      </c>
      <c r="V1127" t="s">
        <v>5226</v>
      </c>
      <c r="W1127" t="s">
        <v>65</v>
      </c>
      <c r="X1127" t="s">
        <v>5227</v>
      </c>
      <c r="Y1127">
        <v>5</v>
      </c>
      <c r="Z1127">
        <v>4267.041666666667</v>
      </c>
    </row>
    <row r="1128" spans="1:26">
      <c r="A1128" s="1">
        <v>1126</v>
      </c>
      <c r="B1128" t="str">
        <f>HYPERLINK("https://bugs.eclipse.org/bugs/show_bug.cgi?id=38453", "38453")</f>
        <v>38453</v>
      </c>
      <c r="C1128" t="s">
        <v>149</v>
      </c>
      <c r="D1128" t="s">
        <v>10</v>
      </c>
      <c r="E1128" t="s">
        <v>12</v>
      </c>
      <c r="F1128" t="s">
        <v>145</v>
      </c>
      <c r="L1128" t="s">
        <v>5228</v>
      </c>
      <c r="N1128" t="s">
        <v>5228</v>
      </c>
      <c r="T1128" t="s">
        <v>5229</v>
      </c>
      <c r="U1128" t="s">
        <v>5230</v>
      </c>
      <c r="V1128" t="s">
        <v>5228</v>
      </c>
      <c r="W1128" t="s">
        <v>60</v>
      </c>
      <c r="X1128" t="s">
        <v>5231</v>
      </c>
      <c r="Y1128">
        <v>0</v>
      </c>
      <c r="Z1128">
        <v>0</v>
      </c>
    </row>
    <row r="1129" spans="1:26">
      <c r="A1129" s="1">
        <v>1127</v>
      </c>
      <c r="B1129" t="str">
        <f>HYPERLINK("https://bugs.eclipse.org/bugs/show_bug.cgi?id=38467", "38467")</f>
        <v>38467</v>
      </c>
      <c r="C1129" t="s">
        <v>149</v>
      </c>
      <c r="D1129" t="s">
        <v>10</v>
      </c>
      <c r="E1129" t="s">
        <v>12</v>
      </c>
      <c r="F1129" t="s">
        <v>145</v>
      </c>
      <c r="L1129" t="s">
        <v>5232</v>
      </c>
      <c r="N1129" t="s">
        <v>5232</v>
      </c>
      <c r="T1129" t="s">
        <v>5233</v>
      </c>
      <c r="U1129" t="s">
        <v>5234</v>
      </c>
      <c r="V1129" t="s">
        <v>5232</v>
      </c>
      <c r="W1129" t="s">
        <v>60</v>
      </c>
      <c r="X1129" t="s">
        <v>5235</v>
      </c>
      <c r="Y1129">
        <v>0</v>
      </c>
      <c r="Z1129">
        <v>0</v>
      </c>
    </row>
    <row r="1130" spans="1:26">
      <c r="A1130" s="1">
        <v>1128</v>
      </c>
      <c r="B1130" t="str">
        <f>HYPERLINK("https://bugs.eclipse.org/bugs/show_bug.cgi?id=38469", "38469")</f>
        <v>38469</v>
      </c>
      <c r="C1130" t="s">
        <v>149</v>
      </c>
      <c r="D1130" t="s">
        <v>10</v>
      </c>
      <c r="E1130" t="s">
        <v>12</v>
      </c>
      <c r="F1130" t="s">
        <v>26</v>
      </c>
      <c r="L1130" t="s">
        <v>5236</v>
      </c>
      <c r="N1130" t="s">
        <v>5236</v>
      </c>
      <c r="T1130" t="s">
        <v>5237</v>
      </c>
      <c r="U1130" t="s">
        <v>5238</v>
      </c>
      <c r="V1130" t="s">
        <v>5236</v>
      </c>
      <c r="W1130" t="s">
        <v>86</v>
      </c>
      <c r="X1130" t="s">
        <v>5239</v>
      </c>
      <c r="Y1130">
        <v>5</v>
      </c>
      <c r="Z1130">
        <v>944.04166666666663</v>
      </c>
    </row>
    <row r="1131" spans="1:26">
      <c r="A1131" s="1">
        <v>1129</v>
      </c>
      <c r="B1131" t="str">
        <f>HYPERLINK("https://bugs.eclipse.org/bugs/show_bug.cgi?id=38471", "38471")</f>
        <v>38471</v>
      </c>
      <c r="C1131" t="s">
        <v>149</v>
      </c>
      <c r="D1131" t="s">
        <v>10</v>
      </c>
      <c r="E1131" t="s">
        <v>12</v>
      </c>
      <c r="F1131" t="s">
        <v>26</v>
      </c>
      <c r="L1131" t="s">
        <v>5240</v>
      </c>
      <c r="N1131" t="s">
        <v>5240</v>
      </c>
      <c r="T1131" t="s">
        <v>5241</v>
      </c>
      <c r="U1131" t="s">
        <v>5242</v>
      </c>
      <c r="V1131" t="s">
        <v>5240</v>
      </c>
      <c r="W1131" t="s">
        <v>86</v>
      </c>
      <c r="X1131" t="s">
        <v>5243</v>
      </c>
      <c r="Y1131">
        <v>5</v>
      </c>
      <c r="Z1131">
        <v>111</v>
      </c>
    </row>
    <row r="1132" spans="1:26">
      <c r="A1132" s="1">
        <v>1130</v>
      </c>
      <c r="B1132" t="str">
        <f>HYPERLINK("https://bugs.eclipse.org/bugs/show_bug.cgi?id=38472", "38472")</f>
        <v>38472</v>
      </c>
      <c r="C1132" t="s">
        <v>149</v>
      </c>
      <c r="D1132" t="s">
        <v>10</v>
      </c>
      <c r="E1132" t="s">
        <v>12</v>
      </c>
      <c r="F1132" t="s">
        <v>26</v>
      </c>
      <c r="L1132" t="s">
        <v>5244</v>
      </c>
      <c r="N1132" t="s">
        <v>5244</v>
      </c>
      <c r="T1132" t="s">
        <v>5245</v>
      </c>
      <c r="U1132" t="s">
        <v>5246</v>
      </c>
      <c r="V1132" t="s">
        <v>5244</v>
      </c>
      <c r="W1132" t="s">
        <v>49</v>
      </c>
      <c r="X1132" t="s">
        <v>5247</v>
      </c>
      <c r="Y1132">
        <v>5</v>
      </c>
      <c r="Z1132">
        <v>12</v>
      </c>
    </row>
    <row r="1133" spans="1:26">
      <c r="A1133" s="1">
        <v>1131</v>
      </c>
      <c r="B1133" t="str">
        <f>HYPERLINK("https://bugs.eclipse.org/bugs/show_bug.cgi?id=38480", "38480")</f>
        <v>38480</v>
      </c>
      <c r="C1133" t="s">
        <v>149</v>
      </c>
      <c r="D1133" t="s">
        <v>10</v>
      </c>
      <c r="E1133" t="s">
        <v>12</v>
      </c>
      <c r="F1133" t="s">
        <v>150</v>
      </c>
      <c r="L1133" t="s">
        <v>5248</v>
      </c>
      <c r="N1133" t="s">
        <v>5248</v>
      </c>
      <c r="T1133" t="s">
        <v>5249</v>
      </c>
      <c r="U1133" t="s">
        <v>5250</v>
      </c>
      <c r="V1133" t="s">
        <v>5248</v>
      </c>
      <c r="W1133" t="s">
        <v>49</v>
      </c>
      <c r="X1133" t="s">
        <v>5251</v>
      </c>
      <c r="Y1133">
        <v>0</v>
      </c>
      <c r="Z1133">
        <v>0</v>
      </c>
    </row>
    <row r="1134" spans="1:26">
      <c r="A1134" s="1">
        <v>1132</v>
      </c>
      <c r="B1134" t="str">
        <f>HYPERLINK("https://bugs.eclipse.org/bugs/show_bug.cgi?id=38483", "38483")</f>
        <v>38483</v>
      </c>
      <c r="C1134" t="s">
        <v>149</v>
      </c>
      <c r="D1134" t="s">
        <v>10</v>
      </c>
      <c r="E1134" t="s">
        <v>12</v>
      </c>
      <c r="F1134" t="s">
        <v>26</v>
      </c>
      <c r="L1134" t="s">
        <v>5252</v>
      </c>
      <c r="N1134" t="s">
        <v>5252</v>
      </c>
      <c r="T1134" t="s">
        <v>5253</v>
      </c>
      <c r="U1134" t="s">
        <v>5254</v>
      </c>
      <c r="V1134" t="s">
        <v>5252</v>
      </c>
      <c r="W1134" t="s">
        <v>86</v>
      </c>
      <c r="X1134" t="s">
        <v>5255</v>
      </c>
      <c r="Y1134">
        <v>5</v>
      </c>
      <c r="Z1134">
        <v>337</v>
      </c>
    </row>
    <row r="1135" spans="1:26">
      <c r="A1135" s="1">
        <v>1133</v>
      </c>
      <c r="B1135" t="str">
        <f>HYPERLINK("https://bugs.eclipse.org/bugs/show_bug.cgi?id=38625", "38625")</f>
        <v>38625</v>
      </c>
      <c r="C1135" t="s">
        <v>140</v>
      </c>
      <c r="D1135" t="s">
        <v>10</v>
      </c>
      <c r="E1135" t="s">
        <v>16</v>
      </c>
      <c r="F1135" t="s">
        <v>26</v>
      </c>
      <c r="L1135" t="s">
        <v>5256</v>
      </c>
      <c r="R1135" t="s">
        <v>5256</v>
      </c>
      <c r="T1135" t="s">
        <v>5257</v>
      </c>
      <c r="U1135" t="s">
        <v>5258</v>
      </c>
      <c r="V1135" t="s">
        <v>5256</v>
      </c>
      <c r="W1135" t="s">
        <v>60</v>
      </c>
      <c r="X1135" t="s">
        <v>5259</v>
      </c>
      <c r="Y1135">
        <v>3</v>
      </c>
      <c r="Z1135">
        <v>34</v>
      </c>
    </row>
    <row r="1136" spans="1:26">
      <c r="A1136" s="1">
        <v>1134</v>
      </c>
      <c r="B1136" t="str">
        <f>HYPERLINK("https://bugs.eclipse.org/bugs/show_bug.cgi?id=38648", "38648")</f>
        <v>38648</v>
      </c>
      <c r="C1136" t="s">
        <v>25</v>
      </c>
      <c r="D1136" t="s">
        <v>25</v>
      </c>
      <c r="F1136" t="s">
        <v>26</v>
      </c>
      <c r="T1136" t="s">
        <v>5260</v>
      </c>
      <c r="U1136" t="s">
        <v>5261</v>
      </c>
      <c r="V1136" t="s">
        <v>5262</v>
      </c>
      <c r="W1136" t="s">
        <v>60</v>
      </c>
      <c r="X1136" t="s">
        <v>5263</v>
      </c>
      <c r="Y1136">
        <v>1</v>
      </c>
    </row>
    <row r="1137" spans="1:26">
      <c r="A1137" s="1">
        <v>1135</v>
      </c>
      <c r="B1137" t="str">
        <f>HYPERLINK("https://bugs.eclipse.org/bugs/show_bug.cgi?id=38680", "38680")</f>
        <v>38680</v>
      </c>
      <c r="C1137" t="s">
        <v>5264</v>
      </c>
      <c r="D1137" t="s">
        <v>10</v>
      </c>
      <c r="E1137" t="s">
        <v>15</v>
      </c>
      <c r="F1137" t="s">
        <v>26</v>
      </c>
      <c r="L1137" t="s">
        <v>5265</v>
      </c>
      <c r="Q1137" t="s">
        <v>5265</v>
      </c>
      <c r="T1137" t="s">
        <v>5266</v>
      </c>
      <c r="U1137" t="s">
        <v>5267</v>
      </c>
      <c r="V1137" t="s">
        <v>5265</v>
      </c>
      <c r="W1137" t="s">
        <v>86</v>
      </c>
      <c r="X1137" t="s">
        <v>5268</v>
      </c>
      <c r="Y1137">
        <v>2</v>
      </c>
      <c r="Z1137">
        <v>3</v>
      </c>
    </row>
    <row r="1138" spans="1:26">
      <c r="A1138" s="1">
        <v>1136</v>
      </c>
      <c r="B1138" t="str">
        <f>HYPERLINK("https://bugs.eclipse.org/bugs/show_bug.cgi?id=38756", "38756")</f>
        <v>38756</v>
      </c>
      <c r="C1138" t="s">
        <v>149</v>
      </c>
      <c r="D1138" t="s">
        <v>10</v>
      </c>
      <c r="E1138" t="s">
        <v>12</v>
      </c>
      <c r="F1138" t="s">
        <v>26</v>
      </c>
      <c r="L1138" t="s">
        <v>5269</v>
      </c>
      <c r="N1138" t="s">
        <v>5269</v>
      </c>
      <c r="T1138" t="s">
        <v>5270</v>
      </c>
      <c r="U1138" t="s">
        <v>5271</v>
      </c>
      <c r="V1138" t="s">
        <v>5269</v>
      </c>
      <c r="W1138" t="s">
        <v>60</v>
      </c>
      <c r="X1138" t="s">
        <v>5272</v>
      </c>
      <c r="Y1138">
        <v>0</v>
      </c>
      <c r="Z1138">
        <v>62</v>
      </c>
    </row>
    <row r="1139" spans="1:26">
      <c r="A1139" s="1">
        <v>1137</v>
      </c>
      <c r="B1139" t="str">
        <f>HYPERLINK("https://bugs.eclipse.org/bugs/show_bug.cgi?id=38797", "38797")</f>
        <v>38797</v>
      </c>
      <c r="C1139" t="s">
        <v>149</v>
      </c>
      <c r="D1139" t="s">
        <v>10</v>
      </c>
      <c r="E1139" t="s">
        <v>12</v>
      </c>
      <c r="F1139" t="s">
        <v>150</v>
      </c>
      <c r="G1139" t="s">
        <v>5273</v>
      </c>
      <c r="L1139" t="s">
        <v>5274</v>
      </c>
      <c r="N1139" t="s">
        <v>5274</v>
      </c>
      <c r="T1139" t="s">
        <v>5275</v>
      </c>
      <c r="U1139" t="s">
        <v>5276</v>
      </c>
      <c r="V1139" t="s">
        <v>5274</v>
      </c>
      <c r="W1139" t="s">
        <v>60</v>
      </c>
      <c r="X1139" t="s">
        <v>5277</v>
      </c>
      <c r="Y1139">
        <v>0</v>
      </c>
      <c r="Z1139">
        <v>64</v>
      </c>
    </row>
    <row r="1140" spans="1:26">
      <c r="A1140" s="1">
        <v>1138</v>
      </c>
      <c r="B1140" t="str">
        <f>HYPERLINK("https://bugs.eclipse.org/bugs/show_bug.cgi?id=38876", "38876")</f>
        <v>38876</v>
      </c>
      <c r="C1140" t="s">
        <v>56</v>
      </c>
      <c r="D1140" t="s">
        <v>10</v>
      </c>
      <c r="E1140" t="s">
        <v>14</v>
      </c>
      <c r="F1140" t="s">
        <v>51</v>
      </c>
      <c r="L1140" t="s">
        <v>5278</v>
      </c>
      <c r="P1140" t="s">
        <v>5279</v>
      </c>
      <c r="T1140" t="s">
        <v>5280</v>
      </c>
      <c r="U1140" t="s">
        <v>5278</v>
      </c>
      <c r="V1140" t="s">
        <v>5279</v>
      </c>
      <c r="W1140" t="s">
        <v>80</v>
      </c>
      <c r="X1140" t="s">
        <v>5281</v>
      </c>
      <c r="Y1140">
        <v>30</v>
      </c>
      <c r="Z1140">
        <v>2270</v>
      </c>
    </row>
    <row r="1141" spans="1:26">
      <c r="A1141" s="1">
        <v>1139</v>
      </c>
      <c r="B1141" t="str">
        <f>HYPERLINK("https://bugs.eclipse.org/bugs/show_bug.cgi?id=38886", "38886")</f>
        <v>38886</v>
      </c>
      <c r="C1141" t="s">
        <v>149</v>
      </c>
      <c r="D1141" t="s">
        <v>10</v>
      </c>
      <c r="E1141" t="s">
        <v>12</v>
      </c>
      <c r="F1141" t="s">
        <v>26</v>
      </c>
      <c r="G1141" t="s">
        <v>5282</v>
      </c>
      <c r="H1141" t="s">
        <v>5283</v>
      </c>
      <c r="L1141" t="s">
        <v>5284</v>
      </c>
      <c r="N1141" t="s">
        <v>5284</v>
      </c>
      <c r="T1141" t="s">
        <v>5285</v>
      </c>
      <c r="U1141" t="s">
        <v>5286</v>
      </c>
      <c r="V1141" t="s">
        <v>5284</v>
      </c>
      <c r="W1141" t="s">
        <v>60</v>
      </c>
      <c r="X1141" t="s">
        <v>5287</v>
      </c>
      <c r="Y1141">
        <v>0</v>
      </c>
      <c r="Z1141">
        <v>28</v>
      </c>
    </row>
    <row r="1142" spans="1:26">
      <c r="A1142" s="1">
        <v>1140</v>
      </c>
      <c r="B1142" t="str">
        <f>HYPERLINK("https://bugs.eclipse.org/bugs/show_bug.cgi?id=38932", "38932")</f>
        <v>38932</v>
      </c>
      <c r="C1142" t="s">
        <v>149</v>
      </c>
      <c r="D1142" t="s">
        <v>10</v>
      </c>
      <c r="E1142" t="s">
        <v>12</v>
      </c>
      <c r="F1142" t="s">
        <v>26</v>
      </c>
      <c r="L1142" t="s">
        <v>5288</v>
      </c>
      <c r="N1142" t="s">
        <v>5288</v>
      </c>
      <c r="T1142" t="s">
        <v>5289</v>
      </c>
      <c r="U1142" t="s">
        <v>5290</v>
      </c>
      <c r="V1142" t="s">
        <v>5288</v>
      </c>
      <c r="W1142" t="s">
        <v>49</v>
      </c>
      <c r="X1142" t="s">
        <v>5291</v>
      </c>
      <c r="Y1142">
        <v>0</v>
      </c>
      <c r="Z1142">
        <v>68</v>
      </c>
    </row>
    <row r="1143" spans="1:26">
      <c r="A1143" s="1">
        <v>1141</v>
      </c>
      <c r="B1143" t="str">
        <f>HYPERLINK("https://bugs.eclipse.org/bugs/show_bug.cgi?id=38954", "38954")</f>
        <v>38954</v>
      </c>
      <c r="C1143" t="s">
        <v>88</v>
      </c>
      <c r="D1143" t="s">
        <v>10</v>
      </c>
      <c r="E1143" t="s">
        <v>13</v>
      </c>
      <c r="F1143" t="s">
        <v>150</v>
      </c>
      <c r="L1143" t="s">
        <v>5292</v>
      </c>
      <c r="O1143" t="s">
        <v>5292</v>
      </c>
      <c r="T1143" t="s">
        <v>5293</v>
      </c>
      <c r="U1143" t="s">
        <v>5294</v>
      </c>
      <c r="V1143" t="s">
        <v>5292</v>
      </c>
      <c r="W1143" t="s">
        <v>60</v>
      </c>
      <c r="X1143" t="s">
        <v>5295</v>
      </c>
      <c r="Y1143">
        <v>0</v>
      </c>
      <c r="Z1143">
        <v>56</v>
      </c>
    </row>
    <row r="1144" spans="1:26">
      <c r="A1144" s="1">
        <v>1142</v>
      </c>
      <c r="B1144" t="str">
        <f>HYPERLINK("https://bugs.eclipse.org/bugs/show_bug.cgi?id=38994", "38994")</f>
        <v>38994</v>
      </c>
      <c r="C1144" t="s">
        <v>35</v>
      </c>
      <c r="D1144" t="s">
        <v>11</v>
      </c>
      <c r="E1144" t="s">
        <v>12</v>
      </c>
      <c r="F1144" t="s">
        <v>26</v>
      </c>
      <c r="L1144" t="s">
        <v>5296</v>
      </c>
      <c r="M1144" t="s">
        <v>5297</v>
      </c>
      <c r="N1144" t="s">
        <v>5296</v>
      </c>
      <c r="T1144" t="s">
        <v>5298</v>
      </c>
      <c r="U1144" t="s">
        <v>5299</v>
      </c>
      <c r="V1144" t="s">
        <v>5297</v>
      </c>
      <c r="W1144" t="s">
        <v>1161</v>
      </c>
      <c r="X1144" t="s">
        <v>5300</v>
      </c>
      <c r="Y1144">
        <v>0</v>
      </c>
      <c r="Z1144">
        <v>337</v>
      </c>
    </row>
    <row r="1145" spans="1:26">
      <c r="A1145" s="1">
        <v>1143</v>
      </c>
      <c r="B1145" t="str">
        <f>HYPERLINK("https://bugs.eclipse.org/bugs/show_bug.cgi?id=39008", "39008")</f>
        <v>39008</v>
      </c>
      <c r="C1145" t="s">
        <v>149</v>
      </c>
      <c r="D1145" t="s">
        <v>10</v>
      </c>
      <c r="E1145" t="s">
        <v>12</v>
      </c>
      <c r="F1145" t="s">
        <v>150</v>
      </c>
      <c r="L1145" t="s">
        <v>5301</v>
      </c>
      <c r="N1145" t="s">
        <v>5301</v>
      </c>
      <c r="T1145" t="s">
        <v>5302</v>
      </c>
      <c r="U1145" t="s">
        <v>5303</v>
      </c>
      <c r="V1145" t="s">
        <v>5301</v>
      </c>
      <c r="W1145" t="s">
        <v>60</v>
      </c>
      <c r="X1145" t="s">
        <v>5304</v>
      </c>
      <c r="Y1145">
        <v>0</v>
      </c>
      <c r="Z1145">
        <v>55</v>
      </c>
    </row>
    <row r="1146" spans="1:26">
      <c r="A1146" s="1">
        <v>1144</v>
      </c>
      <c r="B1146" t="str">
        <f>HYPERLINK("https://bugs.eclipse.org/bugs/show_bug.cgi?id=39036", "39036")</f>
        <v>39036</v>
      </c>
      <c r="C1146" t="s">
        <v>56</v>
      </c>
      <c r="D1146" t="s">
        <v>10</v>
      </c>
      <c r="E1146" t="s">
        <v>14</v>
      </c>
      <c r="F1146" t="s">
        <v>51</v>
      </c>
      <c r="L1146" t="s">
        <v>5305</v>
      </c>
      <c r="P1146" t="s">
        <v>5306</v>
      </c>
      <c r="T1146" t="s">
        <v>5307</v>
      </c>
      <c r="U1146" t="s">
        <v>5308</v>
      </c>
      <c r="V1146" t="s">
        <v>5306</v>
      </c>
      <c r="W1146" t="s">
        <v>80</v>
      </c>
      <c r="X1146" t="s">
        <v>5309</v>
      </c>
      <c r="Y1146">
        <v>0</v>
      </c>
      <c r="Z1146">
        <v>2266</v>
      </c>
    </row>
    <row r="1147" spans="1:26">
      <c r="A1147" s="1">
        <v>1145</v>
      </c>
      <c r="B1147" t="str">
        <f>HYPERLINK("https://bugs.eclipse.org/bugs/show_bug.cgi?id=39044", "39044")</f>
        <v>39044</v>
      </c>
      <c r="C1147" t="s">
        <v>149</v>
      </c>
      <c r="D1147" t="s">
        <v>10</v>
      </c>
      <c r="E1147" t="s">
        <v>12</v>
      </c>
      <c r="F1147" t="s">
        <v>26</v>
      </c>
      <c r="L1147" t="s">
        <v>5310</v>
      </c>
      <c r="N1147" t="s">
        <v>5310</v>
      </c>
      <c r="T1147" t="s">
        <v>5311</v>
      </c>
      <c r="U1147" t="s">
        <v>5312</v>
      </c>
      <c r="V1147" t="s">
        <v>5310</v>
      </c>
      <c r="W1147" t="s">
        <v>49</v>
      </c>
      <c r="X1147" t="s">
        <v>5313</v>
      </c>
      <c r="Y1147">
        <v>0</v>
      </c>
      <c r="Z1147">
        <v>3</v>
      </c>
    </row>
    <row r="1148" spans="1:26">
      <c r="A1148" s="1">
        <v>1146</v>
      </c>
      <c r="B1148" t="str">
        <f>HYPERLINK("https://bugs.eclipse.org/bugs/show_bug.cgi?id=39085", "39085")</f>
        <v>39085</v>
      </c>
      <c r="C1148" t="s">
        <v>88</v>
      </c>
      <c r="D1148" t="s">
        <v>10</v>
      </c>
      <c r="E1148" t="s">
        <v>13</v>
      </c>
      <c r="F1148" t="s">
        <v>26</v>
      </c>
      <c r="L1148" t="s">
        <v>5314</v>
      </c>
      <c r="O1148" t="s">
        <v>5315</v>
      </c>
      <c r="T1148" t="s">
        <v>5316</v>
      </c>
      <c r="U1148" t="s">
        <v>5317</v>
      </c>
      <c r="V1148" t="s">
        <v>5315</v>
      </c>
      <c r="W1148" t="s">
        <v>75</v>
      </c>
      <c r="X1148" t="s">
        <v>5318</v>
      </c>
      <c r="Y1148">
        <v>1</v>
      </c>
      <c r="Z1148">
        <v>2265</v>
      </c>
    </row>
    <row r="1149" spans="1:26">
      <c r="A1149" s="1">
        <v>1147</v>
      </c>
      <c r="B1149" t="str">
        <f>HYPERLINK("https://bugs.eclipse.org/bugs/show_bug.cgi?id=39155", "39155")</f>
        <v>39155</v>
      </c>
      <c r="C1149" t="s">
        <v>149</v>
      </c>
      <c r="D1149" t="s">
        <v>10</v>
      </c>
      <c r="E1149" t="s">
        <v>12</v>
      </c>
      <c r="F1149" t="s">
        <v>26</v>
      </c>
      <c r="L1149" t="s">
        <v>5319</v>
      </c>
      <c r="N1149" t="s">
        <v>5319</v>
      </c>
      <c r="T1149" t="s">
        <v>5320</v>
      </c>
      <c r="U1149" t="s">
        <v>5321</v>
      </c>
      <c r="V1149" t="s">
        <v>5319</v>
      </c>
      <c r="W1149" t="s">
        <v>86</v>
      </c>
      <c r="X1149" t="s">
        <v>5322</v>
      </c>
      <c r="Y1149">
        <v>0</v>
      </c>
      <c r="Z1149">
        <v>178.04166666666671</v>
      </c>
    </row>
    <row r="1150" spans="1:26">
      <c r="A1150" s="1">
        <v>1148</v>
      </c>
      <c r="B1150" t="str">
        <f>HYPERLINK("https://bugs.eclipse.org/bugs/show_bug.cgi?id=39195", "39195")</f>
        <v>39195</v>
      </c>
      <c r="C1150" t="s">
        <v>149</v>
      </c>
      <c r="D1150" t="s">
        <v>10</v>
      </c>
      <c r="E1150" t="s">
        <v>12</v>
      </c>
      <c r="F1150" t="s">
        <v>26</v>
      </c>
      <c r="L1150" t="s">
        <v>5323</v>
      </c>
      <c r="N1150" t="s">
        <v>5323</v>
      </c>
      <c r="T1150" t="s">
        <v>5324</v>
      </c>
      <c r="U1150" t="s">
        <v>5325</v>
      </c>
      <c r="V1150" t="s">
        <v>5323</v>
      </c>
      <c r="W1150" t="s">
        <v>60</v>
      </c>
      <c r="X1150" t="s">
        <v>5326</v>
      </c>
      <c r="Y1150">
        <v>8</v>
      </c>
      <c r="Z1150">
        <v>20</v>
      </c>
    </row>
    <row r="1151" spans="1:26">
      <c r="A1151" s="1">
        <v>1149</v>
      </c>
      <c r="B1151" t="str">
        <f>HYPERLINK("https://bugs.eclipse.org/bugs/show_bug.cgi?id=39217", "39217")</f>
        <v>39217</v>
      </c>
      <c r="C1151" t="s">
        <v>149</v>
      </c>
      <c r="D1151" t="s">
        <v>10</v>
      </c>
      <c r="E1151" t="s">
        <v>12</v>
      </c>
      <c r="F1151" t="s">
        <v>26</v>
      </c>
      <c r="L1151" t="s">
        <v>5327</v>
      </c>
      <c r="N1151" t="s">
        <v>5327</v>
      </c>
      <c r="T1151" t="s">
        <v>5328</v>
      </c>
      <c r="U1151" t="s">
        <v>5329</v>
      </c>
      <c r="V1151" t="s">
        <v>5327</v>
      </c>
      <c r="W1151" t="s">
        <v>60</v>
      </c>
      <c r="X1151" t="s">
        <v>5330</v>
      </c>
      <c r="Y1151">
        <v>18</v>
      </c>
      <c r="Z1151">
        <v>28</v>
      </c>
    </row>
    <row r="1152" spans="1:26">
      <c r="A1152" s="1">
        <v>1150</v>
      </c>
      <c r="B1152" t="str">
        <f>HYPERLINK("https://bugs.eclipse.org/bugs/show_bug.cgi?id=39246", "39246")</f>
        <v>39246</v>
      </c>
      <c r="C1152" t="s">
        <v>149</v>
      </c>
      <c r="D1152" t="s">
        <v>10</v>
      </c>
      <c r="E1152" t="s">
        <v>12</v>
      </c>
      <c r="F1152" t="s">
        <v>26</v>
      </c>
      <c r="G1152" t="s">
        <v>5331</v>
      </c>
      <c r="L1152" t="s">
        <v>5332</v>
      </c>
      <c r="N1152" t="s">
        <v>5332</v>
      </c>
      <c r="T1152" t="s">
        <v>5333</v>
      </c>
      <c r="U1152" t="s">
        <v>5334</v>
      </c>
      <c r="V1152" t="s">
        <v>5332</v>
      </c>
      <c r="W1152" t="s">
        <v>60</v>
      </c>
      <c r="X1152" t="s">
        <v>5335</v>
      </c>
      <c r="Y1152">
        <v>1</v>
      </c>
      <c r="Z1152">
        <v>15</v>
      </c>
    </row>
    <row r="1153" spans="1:26">
      <c r="A1153" s="1">
        <v>1151</v>
      </c>
      <c r="B1153" t="str">
        <f>HYPERLINK("https://bugs.eclipse.org/bugs/show_bug.cgi?id=39260", "39260")</f>
        <v>39260</v>
      </c>
      <c r="C1153" t="s">
        <v>35</v>
      </c>
      <c r="D1153" t="s">
        <v>11</v>
      </c>
      <c r="E1153" t="s">
        <v>12</v>
      </c>
      <c r="F1153" t="s">
        <v>26</v>
      </c>
      <c r="G1153" t="s">
        <v>5336</v>
      </c>
      <c r="L1153" t="s">
        <v>5337</v>
      </c>
      <c r="M1153" t="s">
        <v>5338</v>
      </c>
      <c r="N1153" t="s">
        <v>5337</v>
      </c>
      <c r="T1153" t="s">
        <v>5339</v>
      </c>
      <c r="U1153" t="s">
        <v>5340</v>
      </c>
      <c r="V1153" t="s">
        <v>5338</v>
      </c>
      <c r="W1153" t="s">
        <v>2668</v>
      </c>
      <c r="X1153" t="s">
        <v>5341</v>
      </c>
      <c r="Y1153">
        <v>0</v>
      </c>
      <c r="Z1153">
        <v>819</v>
      </c>
    </row>
    <row r="1154" spans="1:26">
      <c r="A1154" s="1">
        <v>1152</v>
      </c>
      <c r="B1154" t="str">
        <f>HYPERLINK("https://bugs.eclipse.org/bugs/show_bug.cgi?id=39275", "39275")</f>
        <v>39275</v>
      </c>
      <c r="C1154" t="s">
        <v>5342</v>
      </c>
      <c r="D1154" t="s">
        <v>10</v>
      </c>
      <c r="E1154" t="s">
        <v>15</v>
      </c>
      <c r="F1154" t="s">
        <v>26</v>
      </c>
      <c r="L1154" t="s">
        <v>5343</v>
      </c>
      <c r="Q1154" t="s">
        <v>5343</v>
      </c>
      <c r="T1154" t="s">
        <v>5344</v>
      </c>
      <c r="U1154" t="s">
        <v>5343</v>
      </c>
      <c r="V1154" t="s">
        <v>5343</v>
      </c>
      <c r="W1154" t="s">
        <v>86</v>
      </c>
      <c r="X1154" t="s">
        <v>5345</v>
      </c>
      <c r="Y1154">
        <v>0</v>
      </c>
      <c r="Z1154">
        <v>0</v>
      </c>
    </row>
    <row r="1155" spans="1:26">
      <c r="A1155" s="1">
        <v>1153</v>
      </c>
      <c r="B1155" t="str">
        <f>HYPERLINK("https://bugs.eclipse.org/bugs/show_bug.cgi?id=39285", "39285")</f>
        <v>39285</v>
      </c>
      <c r="C1155" t="s">
        <v>5342</v>
      </c>
      <c r="D1155" t="s">
        <v>10</v>
      </c>
      <c r="E1155" t="s">
        <v>15</v>
      </c>
      <c r="F1155" t="s">
        <v>26</v>
      </c>
      <c r="L1155" t="s">
        <v>5346</v>
      </c>
      <c r="Q1155" t="s">
        <v>5346</v>
      </c>
      <c r="T1155" t="s">
        <v>5347</v>
      </c>
      <c r="U1155" t="s">
        <v>5346</v>
      </c>
      <c r="V1155" t="s">
        <v>5346</v>
      </c>
      <c r="W1155" t="s">
        <v>86</v>
      </c>
      <c r="X1155" t="s">
        <v>5348</v>
      </c>
      <c r="Y1155">
        <v>1</v>
      </c>
      <c r="Z1155">
        <v>1</v>
      </c>
    </row>
    <row r="1156" spans="1:26">
      <c r="A1156" s="1">
        <v>1154</v>
      </c>
      <c r="B1156" t="str">
        <f>HYPERLINK("https://bugs.eclipse.org/bugs/show_bug.cgi?id=39290", "39290")</f>
        <v>39290</v>
      </c>
      <c r="C1156" t="s">
        <v>56</v>
      </c>
      <c r="D1156" t="s">
        <v>10</v>
      </c>
      <c r="E1156" t="s">
        <v>14</v>
      </c>
      <c r="F1156" t="s">
        <v>26</v>
      </c>
      <c r="L1156" t="s">
        <v>5349</v>
      </c>
      <c r="P1156" t="s">
        <v>5350</v>
      </c>
      <c r="T1156" t="s">
        <v>5351</v>
      </c>
      <c r="U1156" t="s">
        <v>5352</v>
      </c>
      <c r="V1156" t="s">
        <v>5350</v>
      </c>
      <c r="W1156" t="s">
        <v>75</v>
      </c>
      <c r="X1156" t="s">
        <v>5353</v>
      </c>
      <c r="Y1156">
        <v>1</v>
      </c>
      <c r="Z1156">
        <v>2259</v>
      </c>
    </row>
    <row r="1157" spans="1:26">
      <c r="A1157" s="1">
        <v>1155</v>
      </c>
      <c r="B1157" t="str">
        <f>HYPERLINK("https://bugs.eclipse.org/bugs/show_bug.cgi?id=39310", "39310")</f>
        <v>39310</v>
      </c>
      <c r="C1157" t="s">
        <v>5354</v>
      </c>
      <c r="D1157" t="s">
        <v>10</v>
      </c>
      <c r="E1157" t="s">
        <v>15</v>
      </c>
      <c r="F1157" t="s">
        <v>26</v>
      </c>
      <c r="L1157" t="s">
        <v>5355</v>
      </c>
      <c r="Q1157" t="s">
        <v>5355</v>
      </c>
      <c r="T1157" t="s">
        <v>5356</v>
      </c>
      <c r="U1157" t="s">
        <v>5357</v>
      </c>
      <c r="V1157" t="s">
        <v>5355</v>
      </c>
      <c r="W1157" t="s">
        <v>60</v>
      </c>
      <c r="X1157" t="s">
        <v>5358</v>
      </c>
      <c r="Y1157">
        <v>18</v>
      </c>
      <c r="Z1157">
        <v>51</v>
      </c>
    </row>
    <row r="1158" spans="1:26">
      <c r="A1158" s="1">
        <v>1156</v>
      </c>
      <c r="B1158" t="str">
        <f>HYPERLINK("https://bugs.eclipse.org/bugs/show_bug.cgi?id=39328", "39328")</f>
        <v>39328</v>
      </c>
      <c r="C1158" t="s">
        <v>35</v>
      </c>
      <c r="D1158" t="s">
        <v>11</v>
      </c>
      <c r="E1158" t="s">
        <v>12</v>
      </c>
      <c r="F1158" t="s">
        <v>26</v>
      </c>
      <c r="L1158" t="s">
        <v>5359</v>
      </c>
      <c r="M1158" t="s">
        <v>5360</v>
      </c>
      <c r="N1158" t="s">
        <v>5359</v>
      </c>
      <c r="T1158" t="s">
        <v>5361</v>
      </c>
      <c r="U1158" t="s">
        <v>5362</v>
      </c>
      <c r="V1158" t="s">
        <v>5360</v>
      </c>
      <c r="W1158" t="s">
        <v>1161</v>
      </c>
      <c r="X1158" t="s">
        <v>5363</v>
      </c>
      <c r="Y1158">
        <v>0</v>
      </c>
      <c r="Z1158">
        <v>338</v>
      </c>
    </row>
    <row r="1159" spans="1:26">
      <c r="A1159" s="1">
        <v>1157</v>
      </c>
      <c r="B1159" t="str">
        <f>HYPERLINK("https://bugs.eclipse.org/bugs/show_bug.cgi?id=39332", "39332")</f>
        <v>39332</v>
      </c>
      <c r="C1159" t="s">
        <v>5342</v>
      </c>
      <c r="D1159" t="s">
        <v>10</v>
      </c>
      <c r="E1159" t="s">
        <v>15</v>
      </c>
      <c r="F1159" t="s">
        <v>26</v>
      </c>
      <c r="L1159" t="s">
        <v>5364</v>
      </c>
      <c r="Q1159" t="s">
        <v>5364</v>
      </c>
      <c r="T1159" t="s">
        <v>5365</v>
      </c>
      <c r="U1159" t="s">
        <v>5364</v>
      </c>
      <c r="V1159" t="s">
        <v>5364</v>
      </c>
      <c r="W1159" t="s">
        <v>86</v>
      </c>
      <c r="X1159" t="s">
        <v>5366</v>
      </c>
      <c r="Y1159">
        <v>0</v>
      </c>
      <c r="Z1159">
        <v>0</v>
      </c>
    </row>
    <row r="1160" spans="1:26">
      <c r="A1160" s="1">
        <v>1158</v>
      </c>
      <c r="B1160" t="str">
        <f>HYPERLINK("https://bugs.eclipse.org/bugs/show_bug.cgi?id=39363", "39363")</f>
        <v>39363</v>
      </c>
      <c r="C1160" t="s">
        <v>149</v>
      </c>
      <c r="D1160" t="s">
        <v>10</v>
      </c>
      <c r="E1160" t="s">
        <v>12</v>
      </c>
      <c r="F1160" t="s">
        <v>26</v>
      </c>
      <c r="L1160" t="s">
        <v>5367</v>
      </c>
      <c r="N1160" t="s">
        <v>5367</v>
      </c>
      <c r="T1160" t="s">
        <v>5368</v>
      </c>
      <c r="U1160" t="s">
        <v>5369</v>
      </c>
      <c r="V1160" t="s">
        <v>5367</v>
      </c>
      <c r="W1160" t="s">
        <v>60</v>
      </c>
      <c r="X1160" t="s">
        <v>5370</v>
      </c>
      <c r="Y1160">
        <v>0</v>
      </c>
      <c r="Z1160">
        <v>12</v>
      </c>
    </row>
    <row r="1161" spans="1:26">
      <c r="A1161" s="1">
        <v>1159</v>
      </c>
      <c r="B1161" t="str">
        <f>HYPERLINK("https://bugs.eclipse.org/bugs/show_bug.cgi?id=39375", "39375")</f>
        <v>39375</v>
      </c>
      <c r="C1161" t="s">
        <v>35</v>
      </c>
      <c r="D1161" t="s">
        <v>11</v>
      </c>
      <c r="E1161" t="s">
        <v>12</v>
      </c>
      <c r="F1161" t="s">
        <v>26</v>
      </c>
      <c r="L1161" t="s">
        <v>5371</v>
      </c>
      <c r="M1161" t="s">
        <v>5372</v>
      </c>
      <c r="N1161" t="s">
        <v>5371</v>
      </c>
      <c r="T1161" t="s">
        <v>5373</v>
      </c>
      <c r="U1161" t="s">
        <v>5374</v>
      </c>
      <c r="V1161" t="s">
        <v>5372</v>
      </c>
      <c r="W1161" t="s">
        <v>60</v>
      </c>
      <c r="X1161" t="s">
        <v>5375</v>
      </c>
      <c r="Y1161">
        <v>0</v>
      </c>
      <c r="Z1161">
        <v>21</v>
      </c>
    </row>
    <row r="1162" spans="1:26">
      <c r="A1162" s="1">
        <v>1160</v>
      </c>
      <c r="B1162" t="str">
        <f>HYPERLINK("https://bugs.eclipse.org/bugs/show_bug.cgi?id=39402", "39402")</f>
        <v>39402</v>
      </c>
      <c r="C1162" t="s">
        <v>56</v>
      </c>
      <c r="D1162" t="s">
        <v>10</v>
      </c>
      <c r="E1162" t="s">
        <v>14</v>
      </c>
      <c r="F1162" t="s">
        <v>26</v>
      </c>
      <c r="L1162" t="s">
        <v>5376</v>
      </c>
      <c r="P1162" t="s">
        <v>5376</v>
      </c>
      <c r="T1162" t="s">
        <v>5377</v>
      </c>
      <c r="U1162" t="s">
        <v>5376</v>
      </c>
      <c r="V1162" t="s">
        <v>5376</v>
      </c>
      <c r="W1162" t="s">
        <v>60</v>
      </c>
      <c r="X1162" t="s">
        <v>5378</v>
      </c>
      <c r="Y1162">
        <v>1</v>
      </c>
      <c r="Z1162">
        <v>1</v>
      </c>
    </row>
    <row r="1163" spans="1:26">
      <c r="A1163" s="1">
        <v>1161</v>
      </c>
      <c r="B1163" t="str">
        <f>HYPERLINK("https://bugs.eclipse.org/bugs/show_bug.cgi?id=39414", "39414")</f>
        <v>39414</v>
      </c>
      <c r="C1163" t="s">
        <v>149</v>
      </c>
      <c r="D1163" t="s">
        <v>10</v>
      </c>
      <c r="E1163" t="s">
        <v>12</v>
      </c>
      <c r="F1163" t="s">
        <v>26</v>
      </c>
      <c r="L1163" t="s">
        <v>5379</v>
      </c>
      <c r="N1163" t="s">
        <v>5379</v>
      </c>
      <c r="T1163" t="s">
        <v>5380</v>
      </c>
      <c r="U1163" t="s">
        <v>5381</v>
      </c>
      <c r="V1163" t="s">
        <v>5379</v>
      </c>
      <c r="W1163" t="s">
        <v>60</v>
      </c>
      <c r="X1163" t="s">
        <v>5382</v>
      </c>
      <c r="Y1163">
        <v>0</v>
      </c>
      <c r="Z1163">
        <v>5</v>
      </c>
    </row>
    <row r="1164" spans="1:26">
      <c r="A1164" s="1">
        <v>1162</v>
      </c>
      <c r="B1164" t="str">
        <f>HYPERLINK("https://bugs.eclipse.org/bugs/show_bug.cgi?id=39419", "39419")</f>
        <v>39419</v>
      </c>
      <c r="C1164" t="s">
        <v>4646</v>
      </c>
      <c r="D1164" t="s">
        <v>10</v>
      </c>
      <c r="E1164" t="s">
        <v>15</v>
      </c>
      <c r="F1164" t="s">
        <v>26</v>
      </c>
      <c r="L1164" t="s">
        <v>5383</v>
      </c>
      <c r="Q1164" t="s">
        <v>5383</v>
      </c>
      <c r="T1164" t="s">
        <v>5384</v>
      </c>
      <c r="U1164" t="s">
        <v>5385</v>
      </c>
      <c r="V1164" t="s">
        <v>5383</v>
      </c>
      <c r="W1164" t="s">
        <v>60</v>
      </c>
      <c r="X1164" t="s">
        <v>5386</v>
      </c>
      <c r="Y1164">
        <v>0</v>
      </c>
      <c r="Z1164">
        <v>14</v>
      </c>
    </row>
    <row r="1165" spans="1:26">
      <c r="A1165" s="1">
        <v>1163</v>
      </c>
      <c r="B1165" t="str">
        <f>HYPERLINK("https://bugs.eclipse.org/bugs/show_bug.cgi?id=39423", "39423")</f>
        <v>39423</v>
      </c>
      <c r="C1165" t="s">
        <v>149</v>
      </c>
      <c r="D1165" t="s">
        <v>10</v>
      </c>
      <c r="E1165" t="s">
        <v>12</v>
      </c>
      <c r="F1165" t="s">
        <v>26</v>
      </c>
      <c r="L1165" t="s">
        <v>5387</v>
      </c>
      <c r="N1165" t="s">
        <v>5387</v>
      </c>
      <c r="T1165" t="s">
        <v>5388</v>
      </c>
      <c r="U1165" t="s">
        <v>5389</v>
      </c>
      <c r="V1165" t="s">
        <v>5390</v>
      </c>
      <c r="W1165" t="s">
        <v>60</v>
      </c>
      <c r="X1165" t="s">
        <v>5391</v>
      </c>
      <c r="Y1165">
        <v>0</v>
      </c>
      <c r="Z1165">
        <v>3</v>
      </c>
    </row>
    <row r="1166" spans="1:26">
      <c r="A1166" s="1">
        <v>1164</v>
      </c>
      <c r="B1166" t="str">
        <f>HYPERLINK("https://bugs.eclipse.org/bugs/show_bug.cgi?id=39447", "39447")</f>
        <v>39447</v>
      </c>
      <c r="C1166" t="s">
        <v>88</v>
      </c>
      <c r="D1166" t="s">
        <v>10</v>
      </c>
      <c r="E1166" t="s">
        <v>13</v>
      </c>
      <c r="F1166" t="s">
        <v>26</v>
      </c>
      <c r="L1166" t="s">
        <v>5392</v>
      </c>
      <c r="O1166" t="s">
        <v>5393</v>
      </c>
      <c r="S1166" t="s">
        <v>5394</v>
      </c>
      <c r="T1166" t="s">
        <v>5395</v>
      </c>
      <c r="U1166" t="s">
        <v>5396</v>
      </c>
      <c r="V1166" t="s">
        <v>5393</v>
      </c>
      <c r="W1166" t="s">
        <v>75</v>
      </c>
      <c r="X1166" t="s">
        <v>5397</v>
      </c>
      <c r="Y1166">
        <v>0</v>
      </c>
      <c r="Z1166">
        <v>2256</v>
      </c>
    </row>
    <row r="1167" spans="1:26">
      <c r="A1167" s="1">
        <v>1165</v>
      </c>
      <c r="B1167" t="str">
        <f>HYPERLINK("https://bugs.eclipse.org/bugs/show_bug.cgi?id=39453", "39453")</f>
        <v>39453</v>
      </c>
      <c r="C1167" t="s">
        <v>140</v>
      </c>
      <c r="D1167" t="s">
        <v>10</v>
      </c>
      <c r="E1167" t="s">
        <v>16</v>
      </c>
      <c r="F1167" t="s">
        <v>26</v>
      </c>
      <c r="G1167" t="s">
        <v>5398</v>
      </c>
      <c r="L1167" t="s">
        <v>5399</v>
      </c>
      <c r="R1167" t="s">
        <v>5399</v>
      </c>
      <c r="T1167" t="s">
        <v>5400</v>
      </c>
      <c r="U1167" t="s">
        <v>5401</v>
      </c>
      <c r="V1167" t="s">
        <v>5402</v>
      </c>
      <c r="W1167" t="s">
        <v>143</v>
      </c>
      <c r="X1167" t="s">
        <v>5403</v>
      </c>
      <c r="Y1167">
        <v>2</v>
      </c>
      <c r="Z1167">
        <v>3867.041666666667</v>
      </c>
    </row>
    <row r="1168" spans="1:26">
      <c r="A1168" s="1">
        <v>1166</v>
      </c>
      <c r="B1168" t="str">
        <f>HYPERLINK("https://bugs.eclipse.org/bugs/show_bug.cgi?id=39520", "39520")</f>
        <v>39520</v>
      </c>
      <c r="C1168" t="s">
        <v>149</v>
      </c>
      <c r="D1168" t="s">
        <v>10</v>
      </c>
      <c r="E1168" t="s">
        <v>12</v>
      </c>
      <c r="F1168" t="s">
        <v>26</v>
      </c>
      <c r="L1168" t="s">
        <v>5404</v>
      </c>
      <c r="N1168" t="s">
        <v>5404</v>
      </c>
      <c r="T1168" t="s">
        <v>5405</v>
      </c>
      <c r="U1168" t="s">
        <v>5406</v>
      </c>
      <c r="V1168" t="s">
        <v>5404</v>
      </c>
      <c r="W1168" t="s">
        <v>60</v>
      </c>
      <c r="X1168" t="s">
        <v>5407</v>
      </c>
      <c r="Y1168">
        <v>0</v>
      </c>
      <c r="Z1168">
        <v>0</v>
      </c>
    </row>
    <row r="1169" spans="1:26">
      <c r="A1169" s="1">
        <v>1167</v>
      </c>
      <c r="B1169" t="str">
        <f>HYPERLINK("https://bugs.eclipse.org/bugs/show_bug.cgi?id=39529", "39529")</f>
        <v>39529</v>
      </c>
      <c r="C1169" t="s">
        <v>149</v>
      </c>
      <c r="D1169" t="s">
        <v>10</v>
      </c>
      <c r="E1169" t="s">
        <v>12</v>
      </c>
      <c r="F1169" t="s">
        <v>26</v>
      </c>
      <c r="L1169" t="s">
        <v>5408</v>
      </c>
      <c r="N1169" t="s">
        <v>5408</v>
      </c>
      <c r="T1169" t="s">
        <v>5409</v>
      </c>
      <c r="U1169" t="s">
        <v>5410</v>
      </c>
      <c r="V1169" t="s">
        <v>5408</v>
      </c>
      <c r="W1169" t="s">
        <v>86</v>
      </c>
      <c r="X1169" t="s">
        <v>5411</v>
      </c>
      <c r="Y1169">
        <v>11</v>
      </c>
      <c r="Z1169">
        <v>49</v>
      </c>
    </row>
    <row r="1170" spans="1:26">
      <c r="A1170" s="1">
        <v>1168</v>
      </c>
      <c r="B1170" t="str">
        <f>HYPERLINK("https://bugs.eclipse.org/bugs/show_bug.cgi?id=39630", "39630")</f>
        <v>39630</v>
      </c>
      <c r="C1170" t="s">
        <v>5412</v>
      </c>
      <c r="D1170" t="s">
        <v>10</v>
      </c>
      <c r="E1170" t="s">
        <v>15</v>
      </c>
      <c r="F1170" t="s">
        <v>26</v>
      </c>
      <c r="L1170" t="s">
        <v>5413</v>
      </c>
      <c r="Q1170" t="s">
        <v>5413</v>
      </c>
      <c r="T1170" t="s">
        <v>5414</v>
      </c>
      <c r="U1170" t="s">
        <v>5415</v>
      </c>
      <c r="V1170" t="s">
        <v>5413</v>
      </c>
      <c r="W1170" t="s">
        <v>2668</v>
      </c>
      <c r="X1170" t="s">
        <v>5416</v>
      </c>
      <c r="Y1170">
        <v>0</v>
      </c>
      <c r="Z1170">
        <v>1007</v>
      </c>
    </row>
    <row r="1171" spans="1:26">
      <c r="A1171" s="1">
        <v>1169</v>
      </c>
      <c r="B1171" t="str">
        <f>HYPERLINK("https://bugs.eclipse.org/bugs/show_bug.cgi?id=39633", "39633")</f>
        <v>39633</v>
      </c>
      <c r="C1171" t="s">
        <v>149</v>
      </c>
      <c r="D1171" t="s">
        <v>10</v>
      </c>
      <c r="E1171" t="s">
        <v>12</v>
      </c>
      <c r="F1171" t="s">
        <v>26</v>
      </c>
      <c r="L1171" t="s">
        <v>5417</v>
      </c>
      <c r="N1171" t="s">
        <v>5417</v>
      </c>
      <c r="T1171" t="s">
        <v>5418</v>
      </c>
      <c r="U1171" t="s">
        <v>5419</v>
      </c>
      <c r="V1171" t="s">
        <v>5417</v>
      </c>
      <c r="W1171" t="s">
        <v>60</v>
      </c>
      <c r="X1171" t="s">
        <v>5420</v>
      </c>
      <c r="Y1171">
        <v>0</v>
      </c>
      <c r="Z1171">
        <v>0</v>
      </c>
    </row>
    <row r="1172" spans="1:26">
      <c r="A1172" s="1">
        <v>1170</v>
      </c>
      <c r="B1172" t="str">
        <f>HYPERLINK("https://bugs.eclipse.org/bugs/show_bug.cgi?id=39642", "39642")</f>
        <v>39642</v>
      </c>
      <c r="C1172" t="s">
        <v>149</v>
      </c>
      <c r="D1172" t="s">
        <v>10</v>
      </c>
      <c r="E1172" t="s">
        <v>12</v>
      </c>
      <c r="F1172" t="s">
        <v>150</v>
      </c>
      <c r="L1172" t="s">
        <v>5421</v>
      </c>
      <c r="N1172" t="s">
        <v>5421</v>
      </c>
      <c r="T1172" t="s">
        <v>5422</v>
      </c>
      <c r="U1172" t="s">
        <v>5423</v>
      </c>
      <c r="V1172" t="s">
        <v>5421</v>
      </c>
      <c r="W1172" t="s">
        <v>60</v>
      </c>
      <c r="X1172" t="s">
        <v>5424</v>
      </c>
      <c r="Y1172">
        <v>0</v>
      </c>
      <c r="Z1172">
        <v>40</v>
      </c>
    </row>
    <row r="1173" spans="1:26">
      <c r="A1173" s="1">
        <v>1171</v>
      </c>
      <c r="B1173" t="str">
        <f>HYPERLINK("https://bugs.eclipse.org/bugs/show_bug.cgi?id=39656", "39656")</f>
        <v>39656</v>
      </c>
      <c r="C1173" t="s">
        <v>4692</v>
      </c>
      <c r="D1173" t="s">
        <v>4692</v>
      </c>
      <c r="F1173" t="s">
        <v>26</v>
      </c>
      <c r="T1173" t="s">
        <v>5425</v>
      </c>
      <c r="U1173" t="s">
        <v>5426</v>
      </c>
      <c r="V1173" t="s">
        <v>5427</v>
      </c>
      <c r="W1173" t="s">
        <v>49</v>
      </c>
      <c r="X1173" t="s">
        <v>5428</v>
      </c>
      <c r="Y1173">
        <v>0</v>
      </c>
    </row>
    <row r="1174" spans="1:26">
      <c r="A1174" s="1">
        <v>1172</v>
      </c>
      <c r="B1174" t="str">
        <f>HYPERLINK("https://bugs.eclipse.org/bugs/show_bug.cgi?id=39715", "39715")</f>
        <v>39715</v>
      </c>
      <c r="C1174" t="s">
        <v>5429</v>
      </c>
      <c r="D1174" t="s">
        <v>10</v>
      </c>
      <c r="E1174" t="s">
        <v>15</v>
      </c>
      <c r="F1174" t="s">
        <v>26</v>
      </c>
      <c r="L1174" t="s">
        <v>5430</v>
      </c>
      <c r="Q1174" t="s">
        <v>5430</v>
      </c>
      <c r="S1174" t="s">
        <v>5431</v>
      </c>
      <c r="T1174" t="s">
        <v>5432</v>
      </c>
      <c r="U1174" t="s">
        <v>5433</v>
      </c>
      <c r="V1174" t="s">
        <v>5430</v>
      </c>
      <c r="W1174" t="s">
        <v>1954</v>
      </c>
      <c r="X1174" t="s">
        <v>5434</v>
      </c>
      <c r="Y1174">
        <v>1</v>
      </c>
      <c r="Z1174">
        <v>1478</v>
      </c>
    </row>
    <row r="1175" spans="1:26">
      <c r="A1175" s="1">
        <v>1173</v>
      </c>
      <c r="B1175" t="str">
        <f>HYPERLINK("https://bugs.eclipse.org/bugs/show_bug.cgi?id=39716", "39716")</f>
        <v>39716</v>
      </c>
      <c r="C1175" t="s">
        <v>149</v>
      </c>
      <c r="D1175" t="s">
        <v>10</v>
      </c>
      <c r="E1175" t="s">
        <v>12</v>
      </c>
      <c r="F1175" t="s">
        <v>26</v>
      </c>
      <c r="L1175" t="s">
        <v>5435</v>
      </c>
      <c r="N1175" t="s">
        <v>5435</v>
      </c>
      <c r="T1175" t="s">
        <v>5436</v>
      </c>
      <c r="U1175" t="s">
        <v>5437</v>
      </c>
      <c r="V1175" t="s">
        <v>5435</v>
      </c>
      <c r="W1175" t="s">
        <v>60</v>
      </c>
      <c r="X1175" t="s">
        <v>5438</v>
      </c>
      <c r="Y1175">
        <v>1</v>
      </c>
      <c r="Z1175">
        <v>1</v>
      </c>
    </row>
    <row r="1176" spans="1:26">
      <c r="A1176" s="1">
        <v>1174</v>
      </c>
      <c r="B1176" t="str">
        <f>HYPERLINK("https://bugs.eclipse.org/bugs/show_bug.cgi?id=39726", "39726")</f>
        <v>39726</v>
      </c>
      <c r="C1176" t="s">
        <v>56</v>
      </c>
      <c r="D1176" t="s">
        <v>10</v>
      </c>
      <c r="E1176" t="s">
        <v>14</v>
      </c>
      <c r="F1176" t="s">
        <v>51</v>
      </c>
      <c r="L1176" t="s">
        <v>5439</v>
      </c>
      <c r="P1176" t="s">
        <v>5439</v>
      </c>
      <c r="T1176" t="s">
        <v>5440</v>
      </c>
      <c r="U1176" t="s">
        <v>5441</v>
      </c>
      <c r="V1176" t="s">
        <v>5439</v>
      </c>
      <c r="W1176" t="s">
        <v>86</v>
      </c>
      <c r="X1176" t="s">
        <v>5442</v>
      </c>
      <c r="Y1176">
        <v>0</v>
      </c>
      <c r="Z1176">
        <v>435</v>
      </c>
    </row>
    <row r="1177" spans="1:26">
      <c r="A1177" s="1">
        <v>1175</v>
      </c>
      <c r="B1177" t="str">
        <f>HYPERLINK("https://bugs.eclipse.org/bugs/show_bug.cgi?id=39738", "39738")</f>
        <v>39738</v>
      </c>
      <c r="C1177" t="s">
        <v>149</v>
      </c>
      <c r="D1177" t="s">
        <v>10</v>
      </c>
      <c r="E1177" t="s">
        <v>12</v>
      </c>
      <c r="F1177" t="s">
        <v>26</v>
      </c>
      <c r="G1177" t="s">
        <v>5443</v>
      </c>
      <c r="L1177" t="s">
        <v>5444</v>
      </c>
      <c r="N1177" t="s">
        <v>5444</v>
      </c>
      <c r="T1177" t="s">
        <v>5445</v>
      </c>
      <c r="U1177" t="s">
        <v>5446</v>
      </c>
      <c r="V1177" t="s">
        <v>5447</v>
      </c>
      <c r="W1177" t="s">
        <v>86</v>
      </c>
      <c r="X1177" t="s">
        <v>5448</v>
      </c>
      <c r="Y1177">
        <v>0</v>
      </c>
      <c r="Z1177">
        <v>0</v>
      </c>
    </row>
    <row r="1178" spans="1:26">
      <c r="A1178" s="1">
        <v>1176</v>
      </c>
      <c r="B1178" t="str">
        <f>HYPERLINK("https://bugs.eclipse.org/bugs/show_bug.cgi?id=39743", "39743")</f>
        <v>39743</v>
      </c>
      <c r="C1178" t="s">
        <v>149</v>
      </c>
      <c r="D1178" t="s">
        <v>10</v>
      </c>
      <c r="E1178" t="s">
        <v>12</v>
      </c>
      <c r="F1178" t="s">
        <v>26</v>
      </c>
      <c r="L1178" t="s">
        <v>5449</v>
      </c>
      <c r="N1178" t="s">
        <v>5449</v>
      </c>
      <c r="T1178" t="s">
        <v>5450</v>
      </c>
      <c r="U1178" t="s">
        <v>5451</v>
      </c>
      <c r="V1178" t="s">
        <v>5449</v>
      </c>
      <c r="W1178" t="s">
        <v>60</v>
      </c>
      <c r="X1178" t="s">
        <v>5452</v>
      </c>
      <c r="Y1178">
        <v>0</v>
      </c>
      <c r="Z1178">
        <v>0</v>
      </c>
    </row>
    <row r="1179" spans="1:26">
      <c r="A1179" s="1">
        <v>1177</v>
      </c>
      <c r="B1179" t="str">
        <f>HYPERLINK("https://bugs.eclipse.org/bugs/show_bug.cgi?id=39744", "39744")</f>
        <v>39744</v>
      </c>
      <c r="C1179" t="s">
        <v>149</v>
      </c>
      <c r="D1179" t="s">
        <v>10</v>
      </c>
      <c r="E1179" t="s">
        <v>12</v>
      </c>
      <c r="F1179" t="s">
        <v>26</v>
      </c>
      <c r="L1179" t="s">
        <v>5453</v>
      </c>
      <c r="N1179" t="s">
        <v>5453</v>
      </c>
      <c r="T1179" t="s">
        <v>5454</v>
      </c>
      <c r="U1179" t="s">
        <v>5455</v>
      </c>
      <c r="V1179" t="s">
        <v>5453</v>
      </c>
      <c r="W1179" t="s">
        <v>86</v>
      </c>
      <c r="X1179" t="s">
        <v>5456</v>
      </c>
      <c r="Y1179">
        <v>0</v>
      </c>
      <c r="Z1179">
        <v>294</v>
      </c>
    </row>
    <row r="1180" spans="1:26">
      <c r="A1180" s="1">
        <v>1178</v>
      </c>
      <c r="B1180" t="str">
        <f>HYPERLINK("https://bugs.eclipse.org/bugs/show_bug.cgi?id=39756", "39756")</f>
        <v>39756</v>
      </c>
      <c r="C1180" t="s">
        <v>5457</v>
      </c>
      <c r="D1180" t="s">
        <v>10</v>
      </c>
      <c r="E1180" t="s">
        <v>15</v>
      </c>
      <c r="F1180" t="s">
        <v>26</v>
      </c>
      <c r="L1180" t="s">
        <v>5447</v>
      </c>
      <c r="Q1180" t="s">
        <v>5447</v>
      </c>
      <c r="T1180" t="s">
        <v>5458</v>
      </c>
      <c r="U1180" t="s">
        <v>5447</v>
      </c>
      <c r="V1180" t="s">
        <v>5447</v>
      </c>
      <c r="W1180" t="s">
        <v>86</v>
      </c>
      <c r="X1180" t="s">
        <v>5459</v>
      </c>
      <c r="Y1180">
        <v>0</v>
      </c>
      <c r="Z1180">
        <v>0</v>
      </c>
    </row>
    <row r="1181" spans="1:26">
      <c r="A1181" s="1">
        <v>1179</v>
      </c>
      <c r="B1181" t="str">
        <f>HYPERLINK("https://bugs.eclipse.org/bugs/show_bug.cgi?id=39791", "39791")</f>
        <v>39791</v>
      </c>
      <c r="C1181" t="s">
        <v>149</v>
      </c>
      <c r="D1181" t="s">
        <v>10</v>
      </c>
      <c r="E1181" t="s">
        <v>12</v>
      </c>
      <c r="F1181" t="s">
        <v>26</v>
      </c>
      <c r="L1181" t="s">
        <v>5460</v>
      </c>
      <c r="N1181" t="s">
        <v>5460</v>
      </c>
      <c r="T1181" t="s">
        <v>5461</v>
      </c>
      <c r="U1181" t="s">
        <v>5462</v>
      </c>
      <c r="V1181" t="s">
        <v>5460</v>
      </c>
      <c r="W1181" t="s">
        <v>60</v>
      </c>
      <c r="X1181" t="s">
        <v>5463</v>
      </c>
      <c r="Y1181">
        <v>0</v>
      </c>
      <c r="Z1181">
        <v>0</v>
      </c>
    </row>
    <row r="1182" spans="1:26">
      <c r="A1182" s="1">
        <v>1180</v>
      </c>
      <c r="B1182" t="str">
        <f>HYPERLINK("https://bugs.eclipse.org/bugs/show_bug.cgi?id=39794", "39794")</f>
        <v>39794</v>
      </c>
      <c r="C1182" t="s">
        <v>35</v>
      </c>
      <c r="D1182" t="s">
        <v>11</v>
      </c>
      <c r="E1182" t="s">
        <v>12</v>
      </c>
      <c r="F1182" t="s">
        <v>26</v>
      </c>
      <c r="L1182" t="s">
        <v>5464</v>
      </c>
      <c r="M1182" t="s">
        <v>5465</v>
      </c>
      <c r="N1182" t="s">
        <v>5464</v>
      </c>
      <c r="T1182" t="s">
        <v>5466</v>
      </c>
      <c r="U1182" t="s">
        <v>5467</v>
      </c>
      <c r="V1182" t="s">
        <v>5465</v>
      </c>
      <c r="W1182" t="s">
        <v>60</v>
      </c>
      <c r="X1182" t="s">
        <v>5468</v>
      </c>
      <c r="Y1182">
        <v>0</v>
      </c>
      <c r="Z1182">
        <v>8</v>
      </c>
    </row>
    <row r="1183" spans="1:26">
      <c r="A1183" s="1">
        <v>1181</v>
      </c>
      <c r="B1183" t="str">
        <f>HYPERLINK("https://bugs.eclipse.org/bugs/show_bug.cgi?id=39795", "39795")</f>
        <v>39795</v>
      </c>
      <c r="C1183" t="s">
        <v>149</v>
      </c>
      <c r="D1183" t="s">
        <v>10</v>
      </c>
      <c r="E1183" t="s">
        <v>12</v>
      </c>
      <c r="F1183" t="s">
        <v>26</v>
      </c>
      <c r="L1183" t="s">
        <v>5469</v>
      </c>
      <c r="N1183" t="s">
        <v>5469</v>
      </c>
      <c r="T1183" t="s">
        <v>5470</v>
      </c>
      <c r="U1183" t="s">
        <v>5471</v>
      </c>
      <c r="V1183" t="s">
        <v>5469</v>
      </c>
      <c r="W1183" t="s">
        <v>86</v>
      </c>
      <c r="X1183" t="s">
        <v>5472</v>
      </c>
      <c r="Y1183">
        <v>0</v>
      </c>
      <c r="Z1183">
        <v>0</v>
      </c>
    </row>
    <row r="1184" spans="1:26">
      <c r="A1184" s="1">
        <v>1182</v>
      </c>
      <c r="B1184" t="str">
        <f>HYPERLINK("https://bugs.eclipse.org/bugs/show_bug.cgi?id=39809", "39809")</f>
        <v>39809</v>
      </c>
      <c r="C1184" t="s">
        <v>2571</v>
      </c>
      <c r="D1184" t="s">
        <v>10</v>
      </c>
      <c r="E1184" t="s">
        <v>15</v>
      </c>
      <c r="F1184" t="s">
        <v>26</v>
      </c>
      <c r="L1184" t="s">
        <v>5473</v>
      </c>
      <c r="Q1184" t="s">
        <v>5473</v>
      </c>
      <c r="T1184" t="s">
        <v>5474</v>
      </c>
      <c r="U1184" t="s">
        <v>5475</v>
      </c>
      <c r="V1184" t="s">
        <v>5473</v>
      </c>
      <c r="W1184" t="s">
        <v>86</v>
      </c>
      <c r="X1184" t="s">
        <v>5476</v>
      </c>
      <c r="Y1184">
        <v>0</v>
      </c>
      <c r="Z1184">
        <v>0</v>
      </c>
    </row>
    <row r="1185" spans="1:26">
      <c r="A1185" s="1">
        <v>1183</v>
      </c>
      <c r="B1185" t="str">
        <f>HYPERLINK("https://bugs.eclipse.org/bugs/show_bug.cgi?id=39858", "39858")</f>
        <v>39858</v>
      </c>
      <c r="C1185" t="s">
        <v>149</v>
      </c>
      <c r="D1185" t="s">
        <v>10</v>
      </c>
      <c r="E1185" t="s">
        <v>12</v>
      </c>
      <c r="F1185" t="s">
        <v>26</v>
      </c>
      <c r="L1185" t="s">
        <v>5477</v>
      </c>
      <c r="N1185" t="s">
        <v>5477</v>
      </c>
      <c r="T1185" t="s">
        <v>5478</v>
      </c>
      <c r="U1185" t="s">
        <v>5479</v>
      </c>
      <c r="V1185" t="s">
        <v>5477</v>
      </c>
      <c r="W1185" t="s">
        <v>86</v>
      </c>
      <c r="X1185" t="s">
        <v>5480</v>
      </c>
      <c r="Y1185">
        <v>3</v>
      </c>
      <c r="Z1185">
        <v>4</v>
      </c>
    </row>
    <row r="1186" spans="1:26">
      <c r="A1186" s="1">
        <v>1184</v>
      </c>
      <c r="B1186" t="str">
        <f>HYPERLINK("https://bugs.eclipse.org/bugs/show_bug.cgi?id=39859", "39859")</f>
        <v>39859</v>
      </c>
      <c r="C1186" t="s">
        <v>149</v>
      </c>
      <c r="D1186" t="s">
        <v>10</v>
      </c>
      <c r="E1186" t="s">
        <v>12</v>
      </c>
      <c r="F1186" t="s">
        <v>26</v>
      </c>
      <c r="G1186" t="s">
        <v>5481</v>
      </c>
      <c r="L1186" t="s">
        <v>5482</v>
      </c>
      <c r="N1186" t="s">
        <v>5482</v>
      </c>
      <c r="T1186" t="s">
        <v>5483</v>
      </c>
      <c r="U1186" t="s">
        <v>5484</v>
      </c>
      <c r="V1186" t="s">
        <v>5482</v>
      </c>
      <c r="W1186" t="s">
        <v>86</v>
      </c>
      <c r="X1186" t="s">
        <v>5485</v>
      </c>
      <c r="Y1186">
        <v>0</v>
      </c>
      <c r="Z1186">
        <v>4</v>
      </c>
    </row>
    <row r="1187" spans="1:26">
      <c r="A1187" s="1">
        <v>1185</v>
      </c>
      <c r="B1187" t="str">
        <f>HYPERLINK("https://bugs.eclipse.org/bugs/show_bug.cgi?id=39860", "39860")</f>
        <v>39860</v>
      </c>
      <c r="C1187" t="s">
        <v>5486</v>
      </c>
      <c r="D1187" t="s">
        <v>10</v>
      </c>
      <c r="E1187" t="s">
        <v>15</v>
      </c>
      <c r="F1187" t="s">
        <v>26</v>
      </c>
      <c r="L1187" t="s">
        <v>5487</v>
      </c>
      <c r="Q1187" t="s">
        <v>5487</v>
      </c>
      <c r="T1187" t="s">
        <v>5488</v>
      </c>
      <c r="U1187" t="s">
        <v>5487</v>
      </c>
      <c r="V1187" t="s">
        <v>5487</v>
      </c>
      <c r="W1187" t="s">
        <v>86</v>
      </c>
      <c r="X1187" t="s">
        <v>5489</v>
      </c>
      <c r="Y1187">
        <v>0</v>
      </c>
      <c r="Z1187">
        <v>0</v>
      </c>
    </row>
    <row r="1188" spans="1:26">
      <c r="A1188" s="1">
        <v>1186</v>
      </c>
      <c r="B1188" t="str">
        <f>HYPERLINK("https://bugs.eclipse.org/bugs/show_bug.cgi?id=39861", "39861")</f>
        <v>39861</v>
      </c>
      <c r="C1188" t="s">
        <v>5490</v>
      </c>
      <c r="D1188" t="s">
        <v>10</v>
      </c>
      <c r="E1188" t="s">
        <v>15</v>
      </c>
      <c r="F1188" t="s">
        <v>26</v>
      </c>
      <c r="L1188" t="s">
        <v>5484</v>
      </c>
      <c r="Q1188" t="s">
        <v>5484</v>
      </c>
      <c r="T1188" t="s">
        <v>5491</v>
      </c>
      <c r="U1188" t="s">
        <v>5484</v>
      </c>
      <c r="V1188" t="s">
        <v>5484</v>
      </c>
      <c r="W1188" t="s">
        <v>60</v>
      </c>
      <c r="X1188" t="s">
        <v>5492</v>
      </c>
      <c r="Y1188">
        <v>0</v>
      </c>
      <c r="Z1188">
        <v>0</v>
      </c>
    </row>
    <row r="1189" spans="1:26">
      <c r="A1189" s="1">
        <v>1187</v>
      </c>
      <c r="B1189" t="str">
        <f>HYPERLINK("https://bugs.eclipse.org/bugs/show_bug.cgi?id=39862", "39862")</f>
        <v>39862</v>
      </c>
      <c r="C1189" t="s">
        <v>149</v>
      </c>
      <c r="D1189" t="s">
        <v>10</v>
      </c>
      <c r="E1189" t="s">
        <v>12</v>
      </c>
      <c r="F1189" t="s">
        <v>26</v>
      </c>
      <c r="G1189" t="s">
        <v>5493</v>
      </c>
      <c r="L1189" t="s">
        <v>5494</v>
      </c>
      <c r="N1189" t="s">
        <v>5494</v>
      </c>
      <c r="T1189" t="s">
        <v>5495</v>
      </c>
      <c r="U1189" t="s">
        <v>5496</v>
      </c>
      <c r="V1189" t="s">
        <v>5494</v>
      </c>
      <c r="W1189" t="s">
        <v>2668</v>
      </c>
      <c r="X1189" t="s">
        <v>5497</v>
      </c>
      <c r="Y1189">
        <v>0</v>
      </c>
      <c r="Z1189">
        <v>610.04166666666663</v>
      </c>
    </row>
    <row r="1190" spans="1:26">
      <c r="A1190" s="1">
        <v>1188</v>
      </c>
      <c r="B1190" t="str">
        <f>HYPERLINK("https://bugs.eclipse.org/bugs/show_bug.cgi?id=39871", "39871")</f>
        <v>39871</v>
      </c>
      <c r="C1190" t="s">
        <v>149</v>
      </c>
      <c r="D1190" t="s">
        <v>10</v>
      </c>
      <c r="E1190" t="s">
        <v>12</v>
      </c>
      <c r="F1190" t="s">
        <v>26</v>
      </c>
      <c r="L1190" t="s">
        <v>5498</v>
      </c>
      <c r="N1190" t="s">
        <v>5498</v>
      </c>
      <c r="T1190" t="s">
        <v>5499</v>
      </c>
      <c r="U1190" t="s">
        <v>5500</v>
      </c>
      <c r="V1190" t="s">
        <v>5498</v>
      </c>
      <c r="W1190" t="s">
        <v>60</v>
      </c>
      <c r="X1190" t="s">
        <v>5501</v>
      </c>
      <c r="Y1190">
        <v>0</v>
      </c>
      <c r="Z1190">
        <v>1</v>
      </c>
    </row>
    <row r="1191" spans="1:26">
      <c r="A1191" s="1">
        <v>1189</v>
      </c>
      <c r="B1191" t="str">
        <f>HYPERLINK("https://bugs.eclipse.org/bugs/show_bug.cgi?id=39896", "39896")</f>
        <v>39896</v>
      </c>
      <c r="C1191" t="s">
        <v>149</v>
      </c>
      <c r="D1191" t="s">
        <v>10</v>
      </c>
      <c r="E1191" t="s">
        <v>12</v>
      </c>
      <c r="F1191" t="s">
        <v>26</v>
      </c>
      <c r="L1191" t="s">
        <v>5502</v>
      </c>
      <c r="N1191" t="s">
        <v>5502</v>
      </c>
      <c r="T1191" t="s">
        <v>5503</v>
      </c>
      <c r="U1191" t="s">
        <v>5504</v>
      </c>
      <c r="V1191" t="s">
        <v>5502</v>
      </c>
      <c r="W1191" t="s">
        <v>2668</v>
      </c>
      <c r="X1191" t="s">
        <v>5505</v>
      </c>
      <c r="Y1191">
        <v>1</v>
      </c>
      <c r="Z1191">
        <v>502.04166666666669</v>
      </c>
    </row>
    <row r="1192" spans="1:26">
      <c r="A1192" s="1">
        <v>1190</v>
      </c>
      <c r="B1192" t="str">
        <f>HYPERLINK("https://bugs.eclipse.org/bugs/show_bug.cgi?id=39904", "39904")</f>
        <v>39904</v>
      </c>
      <c r="C1192" t="s">
        <v>56</v>
      </c>
      <c r="D1192" t="s">
        <v>10</v>
      </c>
      <c r="E1192" t="s">
        <v>14</v>
      </c>
      <c r="F1192" t="s">
        <v>26</v>
      </c>
      <c r="H1192" t="s">
        <v>5506</v>
      </c>
      <c r="L1192" t="s">
        <v>5507</v>
      </c>
      <c r="P1192" t="s">
        <v>5508</v>
      </c>
      <c r="T1192" t="s">
        <v>5509</v>
      </c>
      <c r="U1192" t="s">
        <v>5510</v>
      </c>
      <c r="V1192" t="s">
        <v>5508</v>
      </c>
      <c r="W1192" t="s">
        <v>80</v>
      </c>
      <c r="X1192" t="s">
        <v>5511</v>
      </c>
      <c r="Y1192">
        <v>0</v>
      </c>
      <c r="Z1192">
        <v>2242</v>
      </c>
    </row>
    <row r="1193" spans="1:26">
      <c r="A1193" s="1">
        <v>1191</v>
      </c>
      <c r="B1193" t="str">
        <f>HYPERLINK("https://bugs.eclipse.org/bugs/show_bug.cgi?id=39907", "39907")</f>
        <v>39907</v>
      </c>
      <c r="C1193" t="s">
        <v>149</v>
      </c>
      <c r="D1193" t="s">
        <v>10</v>
      </c>
      <c r="E1193" t="s">
        <v>12</v>
      </c>
      <c r="F1193" t="s">
        <v>26</v>
      </c>
      <c r="G1193" t="s">
        <v>5512</v>
      </c>
      <c r="L1193" t="s">
        <v>5513</v>
      </c>
      <c r="N1193" t="s">
        <v>5513</v>
      </c>
      <c r="T1193" t="s">
        <v>5514</v>
      </c>
      <c r="U1193" t="s">
        <v>5515</v>
      </c>
      <c r="V1193" t="s">
        <v>5513</v>
      </c>
      <c r="W1193" t="s">
        <v>49</v>
      </c>
      <c r="X1193" t="s">
        <v>5516</v>
      </c>
      <c r="Y1193">
        <v>31</v>
      </c>
      <c r="Z1193">
        <v>33</v>
      </c>
    </row>
    <row r="1194" spans="1:26">
      <c r="A1194" s="1">
        <v>1192</v>
      </c>
      <c r="B1194" t="str">
        <f>HYPERLINK("https://bugs.eclipse.org/bugs/show_bug.cgi?id=39923", "39923")</f>
        <v>39923</v>
      </c>
      <c r="C1194" t="s">
        <v>149</v>
      </c>
      <c r="D1194" t="s">
        <v>10</v>
      </c>
      <c r="E1194" t="s">
        <v>12</v>
      </c>
      <c r="F1194" t="s">
        <v>26</v>
      </c>
      <c r="L1194" t="s">
        <v>5517</v>
      </c>
      <c r="N1194" t="s">
        <v>5517</v>
      </c>
      <c r="T1194" t="s">
        <v>5518</v>
      </c>
      <c r="U1194" t="s">
        <v>5519</v>
      </c>
      <c r="V1194" t="s">
        <v>5517</v>
      </c>
      <c r="W1194" t="s">
        <v>86</v>
      </c>
      <c r="X1194" t="s">
        <v>5520</v>
      </c>
      <c r="Y1194">
        <v>2</v>
      </c>
      <c r="Z1194">
        <v>3</v>
      </c>
    </row>
    <row r="1195" spans="1:26">
      <c r="A1195" s="1">
        <v>1193</v>
      </c>
      <c r="B1195" t="str">
        <f>HYPERLINK("https://bugs.eclipse.org/bugs/show_bug.cgi?id=39991", "39991")</f>
        <v>39991</v>
      </c>
      <c r="C1195" t="s">
        <v>149</v>
      </c>
      <c r="D1195" t="s">
        <v>10</v>
      </c>
      <c r="E1195" t="s">
        <v>12</v>
      </c>
      <c r="F1195" t="s">
        <v>150</v>
      </c>
      <c r="L1195" t="s">
        <v>5521</v>
      </c>
      <c r="N1195" t="s">
        <v>5521</v>
      </c>
      <c r="T1195" t="s">
        <v>5522</v>
      </c>
      <c r="U1195" t="s">
        <v>5523</v>
      </c>
      <c r="V1195" t="s">
        <v>5521</v>
      </c>
      <c r="W1195" t="s">
        <v>60</v>
      </c>
      <c r="X1195" t="s">
        <v>5524</v>
      </c>
      <c r="Y1195">
        <v>0</v>
      </c>
      <c r="Z1195">
        <v>31</v>
      </c>
    </row>
    <row r="1196" spans="1:26">
      <c r="A1196" s="1">
        <v>1194</v>
      </c>
      <c r="B1196" t="str">
        <f>HYPERLINK("https://bugs.eclipse.org/bugs/show_bug.cgi?id=40047", "40047")</f>
        <v>40047</v>
      </c>
      <c r="C1196" t="s">
        <v>149</v>
      </c>
      <c r="D1196" t="s">
        <v>10</v>
      </c>
      <c r="E1196" t="s">
        <v>12</v>
      </c>
      <c r="F1196" t="s">
        <v>26</v>
      </c>
      <c r="L1196" t="s">
        <v>5525</v>
      </c>
      <c r="N1196" t="s">
        <v>5525</v>
      </c>
      <c r="T1196" t="s">
        <v>5526</v>
      </c>
      <c r="U1196" t="s">
        <v>5527</v>
      </c>
      <c r="V1196" t="s">
        <v>5525</v>
      </c>
      <c r="W1196" t="s">
        <v>86</v>
      </c>
      <c r="X1196" t="s">
        <v>5528</v>
      </c>
      <c r="Y1196">
        <v>0</v>
      </c>
      <c r="Z1196">
        <v>37</v>
      </c>
    </row>
    <row r="1197" spans="1:26">
      <c r="A1197" s="1">
        <v>1195</v>
      </c>
      <c r="B1197" t="str">
        <f>HYPERLINK("https://bugs.eclipse.org/bugs/show_bug.cgi?id=40079", "40079")</f>
        <v>40079</v>
      </c>
      <c r="C1197" t="s">
        <v>149</v>
      </c>
      <c r="D1197" t="s">
        <v>10</v>
      </c>
      <c r="E1197" t="s">
        <v>12</v>
      </c>
      <c r="F1197" t="s">
        <v>26</v>
      </c>
      <c r="L1197" t="s">
        <v>5529</v>
      </c>
      <c r="N1197" t="s">
        <v>5529</v>
      </c>
      <c r="T1197" t="s">
        <v>5530</v>
      </c>
      <c r="U1197" t="s">
        <v>5529</v>
      </c>
      <c r="V1197" t="s">
        <v>5529</v>
      </c>
      <c r="W1197" t="s">
        <v>86</v>
      </c>
      <c r="X1197" t="s">
        <v>5531</v>
      </c>
      <c r="Y1197">
        <v>0</v>
      </c>
      <c r="Z1197">
        <v>0</v>
      </c>
    </row>
    <row r="1198" spans="1:26">
      <c r="A1198" s="1">
        <v>1196</v>
      </c>
      <c r="B1198" t="str">
        <f>HYPERLINK("https://bugs.eclipse.org/bugs/show_bug.cgi?id=40092", "40092")</f>
        <v>40092</v>
      </c>
      <c r="C1198" t="s">
        <v>149</v>
      </c>
      <c r="D1198" t="s">
        <v>10</v>
      </c>
      <c r="E1198" t="s">
        <v>12</v>
      </c>
      <c r="F1198" t="s">
        <v>26</v>
      </c>
      <c r="L1198" t="s">
        <v>5532</v>
      </c>
      <c r="N1198" t="s">
        <v>5532</v>
      </c>
      <c r="T1198" t="s">
        <v>5533</v>
      </c>
      <c r="U1198" t="s">
        <v>5534</v>
      </c>
      <c r="V1198" t="s">
        <v>5532</v>
      </c>
      <c r="W1198" t="s">
        <v>86</v>
      </c>
      <c r="X1198" t="s">
        <v>5535</v>
      </c>
      <c r="Y1198">
        <v>1</v>
      </c>
      <c r="Z1198">
        <v>1</v>
      </c>
    </row>
    <row r="1199" spans="1:26">
      <c r="A1199" s="1">
        <v>1197</v>
      </c>
      <c r="B1199" t="str">
        <f>HYPERLINK("https://bugs.eclipse.org/bugs/show_bug.cgi?id=40119", "40119")</f>
        <v>40119</v>
      </c>
      <c r="C1199" t="s">
        <v>5536</v>
      </c>
      <c r="D1199" t="s">
        <v>10</v>
      </c>
      <c r="E1199" t="s">
        <v>15</v>
      </c>
      <c r="F1199" t="s">
        <v>26</v>
      </c>
      <c r="L1199" t="s">
        <v>5537</v>
      </c>
      <c r="Q1199" t="s">
        <v>5537</v>
      </c>
      <c r="T1199" t="s">
        <v>5538</v>
      </c>
      <c r="U1199" t="s">
        <v>5537</v>
      </c>
      <c r="V1199" t="s">
        <v>5537</v>
      </c>
      <c r="W1199" t="s">
        <v>60</v>
      </c>
      <c r="X1199" t="s">
        <v>5539</v>
      </c>
      <c r="Y1199">
        <v>0</v>
      </c>
      <c r="Z1199">
        <v>0</v>
      </c>
    </row>
    <row r="1200" spans="1:26">
      <c r="A1200" s="1">
        <v>1198</v>
      </c>
      <c r="B1200" t="str">
        <f>HYPERLINK("https://bugs.eclipse.org/bugs/show_bug.cgi?id=40120", "40120")</f>
        <v>40120</v>
      </c>
      <c r="C1200" t="s">
        <v>149</v>
      </c>
      <c r="D1200" t="s">
        <v>10</v>
      </c>
      <c r="E1200" t="s">
        <v>12</v>
      </c>
      <c r="F1200" t="s">
        <v>26</v>
      </c>
      <c r="G1200" t="s">
        <v>5540</v>
      </c>
      <c r="L1200" t="s">
        <v>5541</v>
      </c>
      <c r="N1200" t="s">
        <v>5541</v>
      </c>
      <c r="T1200" t="s">
        <v>5538</v>
      </c>
      <c r="U1200" t="s">
        <v>5542</v>
      </c>
      <c r="V1200" t="s">
        <v>5541</v>
      </c>
      <c r="W1200" t="s">
        <v>60</v>
      </c>
      <c r="X1200" t="s">
        <v>5543</v>
      </c>
      <c r="Y1200">
        <v>0</v>
      </c>
      <c r="Z1200">
        <v>29</v>
      </c>
    </row>
    <row r="1201" spans="1:26">
      <c r="A1201" s="1">
        <v>1199</v>
      </c>
      <c r="B1201" t="str">
        <f>HYPERLINK("https://bugs.eclipse.org/bugs/show_bug.cgi?id=40135", "40135")</f>
        <v>40135</v>
      </c>
      <c r="C1201" t="s">
        <v>5544</v>
      </c>
      <c r="D1201" t="s">
        <v>10</v>
      </c>
      <c r="E1201" t="s">
        <v>15</v>
      </c>
      <c r="F1201" t="s">
        <v>26</v>
      </c>
      <c r="L1201" t="s">
        <v>5545</v>
      </c>
      <c r="Q1201" t="s">
        <v>5545</v>
      </c>
      <c r="T1201" t="s">
        <v>5546</v>
      </c>
      <c r="U1201" t="s">
        <v>5547</v>
      </c>
      <c r="V1201" t="s">
        <v>5545</v>
      </c>
      <c r="W1201" t="s">
        <v>60</v>
      </c>
      <c r="X1201" t="s">
        <v>5548</v>
      </c>
      <c r="Y1201">
        <v>1</v>
      </c>
      <c r="Z1201">
        <v>3</v>
      </c>
    </row>
    <row r="1202" spans="1:26">
      <c r="A1202" s="1">
        <v>1200</v>
      </c>
      <c r="B1202" t="str">
        <f>HYPERLINK("https://bugs.eclipse.org/bugs/show_bug.cgi?id=40148", "40148")</f>
        <v>40148</v>
      </c>
      <c r="C1202" t="s">
        <v>140</v>
      </c>
      <c r="D1202" t="s">
        <v>10</v>
      </c>
      <c r="E1202" t="s">
        <v>16</v>
      </c>
      <c r="F1202" t="s">
        <v>26</v>
      </c>
      <c r="L1202" t="s">
        <v>5549</v>
      </c>
      <c r="R1202" t="s">
        <v>5549</v>
      </c>
      <c r="T1202" t="s">
        <v>5550</v>
      </c>
      <c r="U1202" t="s">
        <v>5551</v>
      </c>
      <c r="V1202" t="s">
        <v>5549</v>
      </c>
      <c r="W1202" t="s">
        <v>60</v>
      </c>
      <c r="X1202" t="s">
        <v>5552</v>
      </c>
      <c r="Y1202">
        <v>1</v>
      </c>
      <c r="Z1202">
        <v>1</v>
      </c>
    </row>
    <row r="1203" spans="1:26">
      <c r="A1203" s="1">
        <v>1201</v>
      </c>
      <c r="B1203" t="str">
        <f>HYPERLINK("https://bugs.eclipse.org/bugs/show_bug.cgi?id=40215", "40215")</f>
        <v>40215</v>
      </c>
      <c r="C1203" t="s">
        <v>995</v>
      </c>
      <c r="D1203" t="s">
        <v>192</v>
      </c>
      <c r="E1203" t="s">
        <v>12</v>
      </c>
      <c r="F1203" t="s">
        <v>26</v>
      </c>
      <c r="L1203" t="s">
        <v>5553</v>
      </c>
      <c r="M1203" t="s">
        <v>5554</v>
      </c>
      <c r="N1203" t="s">
        <v>5553</v>
      </c>
      <c r="T1203" t="s">
        <v>5555</v>
      </c>
      <c r="U1203" t="s">
        <v>5553</v>
      </c>
      <c r="V1203" t="s">
        <v>5556</v>
      </c>
      <c r="W1203" t="s">
        <v>5557</v>
      </c>
      <c r="X1203" t="s">
        <v>5558</v>
      </c>
      <c r="Y1203">
        <v>0</v>
      </c>
      <c r="Z1203">
        <v>18</v>
      </c>
    </row>
    <row r="1204" spans="1:26">
      <c r="A1204" s="1">
        <v>1202</v>
      </c>
      <c r="B1204" t="str">
        <f>HYPERLINK("https://bugs.eclipse.org/bugs/show_bug.cgi?id=40243", "40243")</f>
        <v>40243</v>
      </c>
      <c r="C1204" t="s">
        <v>35</v>
      </c>
      <c r="D1204" t="s">
        <v>11</v>
      </c>
      <c r="E1204" t="s">
        <v>12</v>
      </c>
      <c r="F1204" t="s">
        <v>26</v>
      </c>
      <c r="G1204" t="s">
        <v>5559</v>
      </c>
      <c r="L1204" t="s">
        <v>5560</v>
      </c>
      <c r="M1204" t="s">
        <v>5561</v>
      </c>
      <c r="N1204" t="s">
        <v>5560</v>
      </c>
      <c r="T1204" t="s">
        <v>5562</v>
      </c>
      <c r="U1204" t="s">
        <v>5563</v>
      </c>
      <c r="V1204" t="s">
        <v>5561</v>
      </c>
      <c r="W1204" t="s">
        <v>143</v>
      </c>
      <c r="X1204" t="s">
        <v>5564</v>
      </c>
      <c r="Y1204">
        <v>2</v>
      </c>
      <c r="Z1204">
        <v>583.04166666666663</v>
      </c>
    </row>
    <row r="1205" spans="1:26">
      <c r="A1205" s="1">
        <v>1203</v>
      </c>
      <c r="B1205" t="str">
        <f>HYPERLINK("https://bugs.eclipse.org/bugs/show_bug.cgi?id=40304", "40304")</f>
        <v>40304</v>
      </c>
      <c r="C1205" t="s">
        <v>149</v>
      </c>
      <c r="D1205" t="s">
        <v>10</v>
      </c>
      <c r="E1205" t="s">
        <v>12</v>
      </c>
      <c r="F1205" t="s">
        <v>26</v>
      </c>
      <c r="L1205" t="s">
        <v>5565</v>
      </c>
      <c r="N1205" t="s">
        <v>5565</v>
      </c>
      <c r="T1205" t="s">
        <v>5566</v>
      </c>
      <c r="U1205" t="s">
        <v>5567</v>
      </c>
      <c r="V1205" t="s">
        <v>5565</v>
      </c>
      <c r="W1205" t="s">
        <v>49</v>
      </c>
      <c r="X1205" t="s">
        <v>5568</v>
      </c>
      <c r="Y1205">
        <v>0</v>
      </c>
      <c r="Z1205">
        <v>67</v>
      </c>
    </row>
    <row r="1206" spans="1:26">
      <c r="A1206" s="1">
        <v>1204</v>
      </c>
      <c r="B1206" t="str">
        <f>HYPERLINK("https://bugs.eclipse.org/bugs/show_bug.cgi?id=40320", "40320")</f>
        <v>40320</v>
      </c>
      <c r="C1206" t="s">
        <v>149</v>
      </c>
      <c r="D1206" t="s">
        <v>10</v>
      </c>
      <c r="E1206" t="s">
        <v>12</v>
      </c>
      <c r="F1206" t="s">
        <v>26</v>
      </c>
      <c r="L1206" t="s">
        <v>5569</v>
      </c>
      <c r="N1206" t="s">
        <v>5569</v>
      </c>
      <c r="T1206" t="s">
        <v>5570</v>
      </c>
      <c r="U1206" t="s">
        <v>5571</v>
      </c>
      <c r="V1206" t="s">
        <v>5569</v>
      </c>
      <c r="W1206" t="s">
        <v>86</v>
      </c>
      <c r="X1206" t="s">
        <v>5572</v>
      </c>
      <c r="Y1206">
        <v>0</v>
      </c>
      <c r="Z1206">
        <v>1</v>
      </c>
    </row>
    <row r="1207" spans="1:26">
      <c r="A1207" s="1">
        <v>1205</v>
      </c>
      <c r="B1207" t="str">
        <f>HYPERLINK("https://bugs.eclipse.org/bugs/show_bug.cgi?id=40325", "40325")</f>
        <v>40325</v>
      </c>
      <c r="C1207" t="s">
        <v>149</v>
      </c>
      <c r="D1207" t="s">
        <v>10</v>
      </c>
      <c r="E1207" t="s">
        <v>12</v>
      </c>
      <c r="F1207" t="s">
        <v>26</v>
      </c>
      <c r="L1207" t="s">
        <v>5573</v>
      </c>
      <c r="N1207" t="s">
        <v>5573</v>
      </c>
      <c r="T1207" t="s">
        <v>5574</v>
      </c>
      <c r="U1207" t="s">
        <v>5575</v>
      </c>
      <c r="V1207" t="s">
        <v>5573</v>
      </c>
      <c r="W1207" t="s">
        <v>86</v>
      </c>
      <c r="X1207" t="s">
        <v>5576</v>
      </c>
      <c r="Y1207">
        <v>1</v>
      </c>
      <c r="Z1207">
        <v>1</v>
      </c>
    </row>
    <row r="1208" spans="1:26">
      <c r="A1208" s="1">
        <v>1206</v>
      </c>
      <c r="B1208" t="str">
        <f>HYPERLINK("https://bugs.eclipse.org/bugs/show_bug.cgi?id=40336", "40336")</f>
        <v>40336</v>
      </c>
      <c r="C1208" t="s">
        <v>149</v>
      </c>
      <c r="D1208" t="s">
        <v>10</v>
      </c>
      <c r="E1208" t="s">
        <v>12</v>
      </c>
      <c r="F1208" t="s">
        <v>51</v>
      </c>
      <c r="L1208" t="s">
        <v>5577</v>
      </c>
      <c r="N1208" t="s">
        <v>5577</v>
      </c>
      <c r="T1208" t="s">
        <v>5578</v>
      </c>
      <c r="U1208" t="s">
        <v>5579</v>
      </c>
      <c r="V1208" t="s">
        <v>5577</v>
      </c>
      <c r="W1208" t="s">
        <v>86</v>
      </c>
      <c r="X1208" t="s">
        <v>5580</v>
      </c>
      <c r="Y1208">
        <v>1</v>
      </c>
      <c r="Z1208">
        <v>14</v>
      </c>
    </row>
    <row r="1209" spans="1:26">
      <c r="A1209" s="1">
        <v>1207</v>
      </c>
      <c r="B1209" t="str">
        <f>HYPERLINK("https://bugs.eclipse.org/bugs/show_bug.cgi?id=40350", "40350")</f>
        <v>40350</v>
      </c>
      <c r="C1209" t="s">
        <v>149</v>
      </c>
      <c r="D1209" t="s">
        <v>10</v>
      </c>
      <c r="E1209" t="s">
        <v>12</v>
      </c>
      <c r="F1209" t="s">
        <v>26</v>
      </c>
      <c r="L1209" t="s">
        <v>5581</v>
      </c>
      <c r="N1209" t="s">
        <v>5581</v>
      </c>
      <c r="T1209" t="s">
        <v>5582</v>
      </c>
      <c r="U1209" t="s">
        <v>5583</v>
      </c>
      <c r="V1209" t="s">
        <v>5581</v>
      </c>
      <c r="W1209" t="s">
        <v>86</v>
      </c>
      <c r="X1209" t="s">
        <v>5584</v>
      </c>
      <c r="Y1209">
        <v>0</v>
      </c>
      <c r="Z1209">
        <v>14</v>
      </c>
    </row>
    <row r="1210" spans="1:26">
      <c r="A1210" s="1">
        <v>1208</v>
      </c>
      <c r="B1210" t="str">
        <f>HYPERLINK("https://bugs.eclipse.org/bugs/show_bug.cgi?id=40352", "40352")</f>
        <v>40352</v>
      </c>
      <c r="C1210" t="s">
        <v>149</v>
      </c>
      <c r="D1210" t="s">
        <v>10</v>
      </c>
      <c r="E1210" t="s">
        <v>12</v>
      </c>
      <c r="F1210" t="s">
        <v>150</v>
      </c>
      <c r="L1210" t="s">
        <v>5585</v>
      </c>
      <c r="N1210" t="s">
        <v>5585</v>
      </c>
      <c r="T1210" t="s">
        <v>5586</v>
      </c>
      <c r="U1210" t="s">
        <v>5587</v>
      </c>
      <c r="V1210" t="s">
        <v>5585</v>
      </c>
      <c r="W1210" t="s">
        <v>86</v>
      </c>
      <c r="X1210" t="s">
        <v>5588</v>
      </c>
      <c r="Y1210">
        <v>0</v>
      </c>
      <c r="Z1210">
        <v>14</v>
      </c>
    </row>
    <row r="1211" spans="1:26">
      <c r="A1211" s="1">
        <v>1209</v>
      </c>
      <c r="B1211" t="str">
        <f>HYPERLINK("https://bugs.eclipse.org/bugs/show_bug.cgi?id=40353", "40353")</f>
        <v>40353</v>
      </c>
      <c r="C1211" t="s">
        <v>149</v>
      </c>
      <c r="D1211" t="s">
        <v>10</v>
      </c>
      <c r="E1211" t="s">
        <v>12</v>
      </c>
      <c r="F1211" t="s">
        <v>26</v>
      </c>
      <c r="L1211" t="s">
        <v>5589</v>
      </c>
      <c r="N1211" t="s">
        <v>5589</v>
      </c>
      <c r="T1211" t="s">
        <v>5590</v>
      </c>
      <c r="U1211" t="s">
        <v>5591</v>
      </c>
      <c r="V1211" t="s">
        <v>5592</v>
      </c>
      <c r="W1211" t="s">
        <v>60</v>
      </c>
      <c r="X1211" t="s">
        <v>5593</v>
      </c>
      <c r="Y1211">
        <v>0</v>
      </c>
      <c r="Z1211">
        <v>27</v>
      </c>
    </row>
    <row r="1212" spans="1:26">
      <c r="A1212" s="1">
        <v>1210</v>
      </c>
      <c r="B1212" t="str">
        <f>HYPERLINK("https://bugs.eclipse.org/bugs/show_bug.cgi?id=40358", "40358")</f>
        <v>40358</v>
      </c>
      <c r="C1212" t="s">
        <v>5594</v>
      </c>
      <c r="D1212" t="s">
        <v>10</v>
      </c>
      <c r="E1212" t="s">
        <v>15</v>
      </c>
      <c r="F1212" t="s">
        <v>51</v>
      </c>
      <c r="L1212" t="s">
        <v>5595</v>
      </c>
      <c r="P1212" t="s">
        <v>5596</v>
      </c>
      <c r="Q1212" t="s">
        <v>5597</v>
      </c>
      <c r="T1212" t="s">
        <v>5598</v>
      </c>
      <c r="U1212" t="s">
        <v>5599</v>
      </c>
      <c r="V1212" t="s">
        <v>5597</v>
      </c>
      <c r="W1212" t="s">
        <v>851</v>
      </c>
      <c r="X1212" t="s">
        <v>5600</v>
      </c>
      <c r="Y1212">
        <v>1</v>
      </c>
      <c r="Z1212">
        <v>2384.041666666667</v>
      </c>
    </row>
    <row r="1213" spans="1:26">
      <c r="A1213" s="1">
        <v>1211</v>
      </c>
      <c r="B1213" t="str">
        <f>HYPERLINK("https://bugs.eclipse.org/bugs/show_bug.cgi?id=40360", "40360")</f>
        <v>40360</v>
      </c>
      <c r="C1213" t="s">
        <v>149</v>
      </c>
      <c r="D1213" t="s">
        <v>10</v>
      </c>
      <c r="E1213" t="s">
        <v>12</v>
      </c>
      <c r="F1213" t="s">
        <v>26</v>
      </c>
      <c r="L1213" t="s">
        <v>5601</v>
      </c>
      <c r="N1213" t="s">
        <v>5601</v>
      </c>
      <c r="T1213" t="s">
        <v>5602</v>
      </c>
      <c r="U1213" t="s">
        <v>5603</v>
      </c>
      <c r="V1213" t="s">
        <v>5601</v>
      </c>
      <c r="W1213" t="s">
        <v>86</v>
      </c>
      <c r="X1213" t="s">
        <v>5604</v>
      </c>
      <c r="Y1213">
        <v>0</v>
      </c>
      <c r="Z1213">
        <v>34</v>
      </c>
    </row>
    <row r="1214" spans="1:26">
      <c r="A1214" s="1">
        <v>1212</v>
      </c>
      <c r="B1214" t="str">
        <f>HYPERLINK("https://bugs.eclipse.org/bugs/show_bug.cgi?id=40363", "40363")</f>
        <v>40363</v>
      </c>
      <c r="C1214" t="s">
        <v>56</v>
      </c>
      <c r="D1214" t="s">
        <v>10</v>
      </c>
      <c r="E1214" t="s">
        <v>14</v>
      </c>
      <c r="F1214" t="s">
        <v>51</v>
      </c>
      <c r="L1214" t="s">
        <v>5605</v>
      </c>
      <c r="P1214" t="s">
        <v>5605</v>
      </c>
      <c r="T1214" t="s">
        <v>5606</v>
      </c>
      <c r="U1214" t="s">
        <v>5607</v>
      </c>
      <c r="V1214" t="s">
        <v>5605</v>
      </c>
      <c r="W1214" t="s">
        <v>86</v>
      </c>
      <c r="X1214" t="s">
        <v>5608</v>
      </c>
      <c r="Y1214">
        <v>1</v>
      </c>
      <c r="Z1214">
        <v>14</v>
      </c>
    </row>
    <row r="1215" spans="1:26">
      <c r="A1215" s="1">
        <v>1213</v>
      </c>
      <c r="B1215" t="str">
        <f>HYPERLINK("https://bugs.eclipse.org/bugs/show_bug.cgi?id=40364", "40364")</f>
        <v>40364</v>
      </c>
      <c r="C1215" t="s">
        <v>149</v>
      </c>
      <c r="D1215" t="s">
        <v>10</v>
      </c>
      <c r="E1215" t="s">
        <v>12</v>
      </c>
      <c r="F1215" t="s">
        <v>26</v>
      </c>
      <c r="L1215" t="s">
        <v>5609</v>
      </c>
      <c r="N1215" t="s">
        <v>5609</v>
      </c>
      <c r="T1215" t="s">
        <v>5610</v>
      </c>
      <c r="U1215" t="s">
        <v>5611</v>
      </c>
      <c r="V1215" t="s">
        <v>5609</v>
      </c>
      <c r="W1215" t="s">
        <v>86</v>
      </c>
      <c r="X1215" t="s">
        <v>5612</v>
      </c>
      <c r="Y1215">
        <v>0</v>
      </c>
      <c r="Z1215">
        <v>0</v>
      </c>
    </row>
    <row r="1216" spans="1:26">
      <c r="A1216" s="1">
        <v>1214</v>
      </c>
      <c r="B1216" t="str">
        <f>HYPERLINK("https://bugs.eclipse.org/bugs/show_bug.cgi?id=40365", "40365")</f>
        <v>40365</v>
      </c>
      <c r="C1216" t="s">
        <v>149</v>
      </c>
      <c r="D1216" t="s">
        <v>10</v>
      </c>
      <c r="E1216" t="s">
        <v>12</v>
      </c>
      <c r="F1216" t="s">
        <v>51</v>
      </c>
      <c r="L1216" t="s">
        <v>5613</v>
      </c>
      <c r="N1216" t="s">
        <v>5613</v>
      </c>
      <c r="T1216" t="s">
        <v>5614</v>
      </c>
      <c r="U1216" t="s">
        <v>5615</v>
      </c>
      <c r="V1216" t="s">
        <v>5613</v>
      </c>
      <c r="W1216" t="s">
        <v>2668</v>
      </c>
      <c r="X1216" t="s">
        <v>5616</v>
      </c>
      <c r="Y1216">
        <v>0</v>
      </c>
      <c r="Z1216">
        <v>550.04166666666663</v>
      </c>
    </row>
    <row r="1217" spans="1:26">
      <c r="A1217" s="1">
        <v>1215</v>
      </c>
      <c r="B1217" t="str">
        <f>HYPERLINK("https://bugs.eclipse.org/bugs/show_bug.cgi?id=40367", "40367")</f>
        <v>40367</v>
      </c>
      <c r="C1217" t="s">
        <v>149</v>
      </c>
      <c r="D1217" t="s">
        <v>10</v>
      </c>
      <c r="E1217" t="s">
        <v>12</v>
      </c>
      <c r="F1217" t="s">
        <v>26</v>
      </c>
      <c r="L1217" t="s">
        <v>5617</v>
      </c>
      <c r="N1217" t="s">
        <v>5617</v>
      </c>
      <c r="T1217" t="s">
        <v>5618</v>
      </c>
      <c r="U1217" t="s">
        <v>5619</v>
      </c>
      <c r="V1217" t="s">
        <v>5617</v>
      </c>
      <c r="W1217" t="s">
        <v>86</v>
      </c>
      <c r="X1217" t="s">
        <v>5620</v>
      </c>
      <c r="Y1217">
        <v>0</v>
      </c>
      <c r="Z1217">
        <v>36</v>
      </c>
    </row>
    <row r="1218" spans="1:26">
      <c r="A1218" s="1">
        <v>1216</v>
      </c>
      <c r="B1218" t="str">
        <f>HYPERLINK("https://bugs.eclipse.org/bugs/show_bug.cgi?id=40368", "40368")</f>
        <v>40368</v>
      </c>
      <c r="C1218" t="s">
        <v>149</v>
      </c>
      <c r="D1218" t="s">
        <v>10</v>
      </c>
      <c r="E1218" t="s">
        <v>12</v>
      </c>
      <c r="F1218" t="s">
        <v>26</v>
      </c>
      <c r="L1218" t="s">
        <v>5621</v>
      </c>
      <c r="N1218" t="s">
        <v>5621</v>
      </c>
      <c r="T1218" t="s">
        <v>5622</v>
      </c>
      <c r="U1218" t="s">
        <v>5623</v>
      </c>
      <c r="V1218" t="s">
        <v>5621</v>
      </c>
      <c r="W1218" t="s">
        <v>86</v>
      </c>
      <c r="X1218" t="s">
        <v>5624</v>
      </c>
      <c r="Y1218">
        <v>0</v>
      </c>
      <c r="Z1218">
        <v>0</v>
      </c>
    </row>
    <row r="1219" spans="1:26">
      <c r="A1219" s="1">
        <v>1217</v>
      </c>
      <c r="B1219" t="str">
        <f>HYPERLINK("https://bugs.eclipse.org/bugs/show_bug.cgi?id=40370", "40370")</f>
        <v>40370</v>
      </c>
      <c r="C1219" t="s">
        <v>149</v>
      </c>
      <c r="D1219" t="s">
        <v>10</v>
      </c>
      <c r="E1219" t="s">
        <v>12</v>
      </c>
      <c r="F1219" t="s">
        <v>26</v>
      </c>
      <c r="L1219" t="s">
        <v>5625</v>
      </c>
      <c r="N1219" t="s">
        <v>5625</v>
      </c>
      <c r="T1219" t="s">
        <v>5626</v>
      </c>
      <c r="U1219" t="s">
        <v>5627</v>
      </c>
      <c r="V1219" t="s">
        <v>5625</v>
      </c>
      <c r="W1219" t="s">
        <v>60</v>
      </c>
      <c r="X1219" t="s">
        <v>5628</v>
      </c>
      <c r="Y1219">
        <v>0</v>
      </c>
      <c r="Z1219">
        <v>0</v>
      </c>
    </row>
    <row r="1220" spans="1:26">
      <c r="A1220" s="1">
        <v>1218</v>
      </c>
      <c r="B1220" t="str">
        <f>HYPERLINK("https://bugs.eclipse.org/bugs/show_bug.cgi?id=40372", "40372")</f>
        <v>40372</v>
      </c>
      <c r="C1220" t="s">
        <v>56</v>
      </c>
      <c r="D1220" t="s">
        <v>10</v>
      </c>
      <c r="E1220" t="s">
        <v>14</v>
      </c>
      <c r="F1220" t="s">
        <v>26</v>
      </c>
      <c r="L1220" t="s">
        <v>5629</v>
      </c>
      <c r="P1220" t="s">
        <v>5629</v>
      </c>
      <c r="T1220" t="s">
        <v>5630</v>
      </c>
      <c r="U1220" t="s">
        <v>5631</v>
      </c>
      <c r="V1220" t="s">
        <v>5629</v>
      </c>
      <c r="W1220" t="s">
        <v>86</v>
      </c>
      <c r="X1220" t="s">
        <v>5632</v>
      </c>
      <c r="Y1220">
        <v>1</v>
      </c>
      <c r="Z1220">
        <v>14</v>
      </c>
    </row>
    <row r="1221" spans="1:26">
      <c r="A1221" s="1">
        <v>1219</v>
      </c>
      <c r="B1221" t="str">
        <f>HYPERLINK("https://bugs.eclipse.org/bugs/show_bug.cgi?id=40373", "40373")</f>
        <v>40373</v>
      </c>
      <c r="C1221" t="s">
        <v>149</v>
      </c>
      <c r="D1221" t="s">
        <v>10</v>
      </c>
      <c r="E1221" t="s">
        <v>12</v>
      </c>
      <c r="F1221" t="s">
        <v>26</v>
      </c>
      <c r="L1221" t="s">
        <v>5633</v>
      </c>
      <c r="N1221" t="s">
        <v>5633</v>
      </c>
      <c r="R1221" t="s">
        <v>5634</v>
      </c>
      <c r="S1221" t="s">
        <v>5635</v>
      </c>
      <c r="T1221" t="s">
        <v>5636</v>
      </c>
      <c r="U1221" t="s">
        <v>5637</v>
      </c>
      <c r="V1221" t="s">
        <v>5633</v>
      </c>
      <c r="W1221" t="s">
        <v>60</v>
      </c>
      <c r="X1221" t="s">
        <v>5638</v>
      </c>
      <c r="Y1221">
        <v>0</v>
      </c>
      <c r="Z1221">
        <v>27</v>
      </c>
    </row>
    <row r="1222" spans="1:26">
      <c r="A1222" s="1">
        <v>1220</v>
      </c>
      <c r="B1222" t="str">
        <f>HYPERLINK("https://bugs.eclipse.org/bugs/show_bug.cgi?id=40384", "40384")</f>
        <v>40384</v>
      </c>
      <c r="C1222" t="s">
        <v>149</v>
      </c>
      <c r="D1222" t="s">
        <v>10</v>
      </c>
      <c r="E1222" t="s">
        <v>12</v>
      </c>
      <c r="F1222" t="s">
        <v>26</v>
      </c>
      <c r="L1222" t="s">
        <v>5639</v>
      </c>
      <c r="N1222" t="s">
        <v>5639</v>
      </c>
      <c r="T1222" t="s">
        <v>5640</v>
      </c>
      <c r="U1222" t="s">
        <v>5639</v>
      </c>
      <c r="V1222" t="s">
        <v>5639</v>
      </c>
      <c r="W1222" t="s">
        <v>86</v>
      </c>
      <c r="X1222" t="s">
        <v>5641</v>
      </c>
      <c r="Y1222">
        <v>0</v>
      </c>
      <c r="Z1222">
        <v>0</v>
      </c>
    </row>
    <row r="1223" spans="1:26">
      <c r="A1223" s="1">
        <v>1221</v>
      </c>
      <c r="B1223" t="str">
        <f>HYPERLINK("https://bugs.eclipse.org/bugs/show_bug.cgi?id=40397", "40397")</f>
        <v>40397</v>
      </c>
      <c r="C1223" t="s">
        <v>149</v>
      </c>
      <c r="D1223" t="s">
        <v>10</v>
      </c>
      <c r="E1223" t="s">
        <v>12</v>
      </c>
      <c r="F1223" t="s">
        <v>26</v>
      </c>
      <c r="L1223" t="s">
        <v>5642</v>
      </c>
      <c r="N1223" t="s">
        <v>5642</v>
      </c>
      <c r="T1223" t="s">
        <v>5643</v>
      </c>
      <c r="U1223" t="s">
        <v>5644</v>
      </c>
      <c r="V1223" t="s">
        <v>5642</v>
      </c>
      <c r="W1223" t="s">
        <v>86</v>
      </c>
      <c r="X1223" t="s">
        <v>5645</v>
      </c>
      <c r="Y1223">
        <v>0</v>
      </c>
      <c r="Z1223">
        <v>34</v>
      </c>
    </row>
    <row r="1224" spans="1:26">
      <c r="A1224" s="1">
        <v>1222</v>
      </c>
      <c r="B1224" t="str">
        <f>HYPERLINK("https://bugs.eclipse.org/bugs/show_bug.cgi?id=40399", "40399")</f>
        <v>40399</v>
      </c>
      <c r="C1224" t="s">
        <v>149</v>
      </c>
      <c r="D1224" t="s">
        <v>10</v>
      </c>
      <c r="E1224" t="s">
        <v>12</v>
      </c>
      <c r="F1224" t="s">
        <v>150</v>
      </c>
      <c r="L1224" t="s">
        <v>5646</v>
      </c>
      <c r="N1224" t="s">
        <v>5646</v>
      </c>
      <c r="T1224" t="s">
        <v>5647</v>
      </c>
      <c r="U1224" t="s">
        <v>5648</v>
      </c>
      <c r="V1224" t="s">
        <v>5646</v>
      </c>
      <c r="W1224" t="s">
        <v>60</v>
      </c>
      <c r="X1224" t="s">
        <v>5649</v>
      </c>
      <c r="Y1224">
        <v>0</v>
      </c>
      <c r="Z1224">
        <v>28</v>
      </c>
    </row>
    <row r="1225" spans="1:26">
      <c r="A1225" s="1">
        <v>1223</v>
      </c>
      <c r="B1225" t="str">
        <f>HYPERLINK("https://bugs.eclipse.org/bugs/show_bug.cgi?id=40402", "40402")</f>
        <v>40402</v>
      </c>
      <c r="C1225" t="s">
        <v>149</v>
      </c>
      <c r="D1225" t="s">
        <v>10</v>
      </c>
      <c r="E1225" t="s">
        <v>12</v>
      </c>
      <c r="F1225" t="s">
        <v>150</v>
      </c>
      <c r="L1225" t="s">
        <v>5650</v>
      </c>
      <c r="N1225" t="s">
        <v>5650</v>
      </c>
      <c r="T1225" t="s">
        <v>5651</v>
      </c>
      <c r="U1225" t="s">
        <v>5652</v>
      </c>
      <c r="V1225" t="s">
        <v>5650</v>
      </c>
      <c r="W1225" t="s">
        <v>60</v>
      </c>
      <c r="X1225" t="s">
        <v>5653</v>
      </c>
      <c r="Y1225">
        <v>0</v>
      </c>
      <c r="Z1225">
        <v>28</v>
      </c>
    </row>
    <row r="1226" spans="1:26">
      <c r="A1226" s="1">
        <v>1224</v>
      </c>
      <c r="B1226" t="str">
        <f>HYPERLINK("https://bugs.eclipse.org/bugs/show_bug.cgi?id=40452", "40452")</f>
        <v>40452</v>
      </c>
      <c r="C1226" t="s">
        <v>149</v>
      </c>
      <c r="D1226" t="s">
        <v>10</v>
      </c>
      <c r="E1226" t="s">
        <v>12</v>
      </c>
      <c r="F1226" t="s">
        <v>150</v>
      </c>
      <c r="G1226" t="s">
        <v>5654</v>
      </c>
      <c r="L1226" t="s">
        <v>5655</v>
      </c>
      <c r="N1226" t="s">
        <v>5655</v>
      </c>
      <c r="T1226" t="s">
        <v>5656</v>
      </c>
      <c r="U1226" t="s">
        <v>5657</v>
      </c>
      <c r="V1226" t="s">
        <v>5658</v>
      </c>
      <c r="W1226" t="s">
        <v>60</v>
      </c>
      <c r="X1226" t="s">
        <v>5659</v>
      </c>
      <c r="Y1226">
        <v>0</v>
      </c>
      <c r="Z1226">
        <v>24</v>
      </c>
    </row>
    <row r="1227" spans="1:26">
      <c r="A1227" s="1">
        <v>1225</v>
      </c>
      <c r="B1227" t="str">
        <f>HYPERLINK("https://bugs.eclipse.org/bugs/show_bug.cgi?id=40473", "40473")</f>
        <v>40473</v>
      </c>
      <c r="C1227" t="s">
        <v>149</v>
      </c>
      <c r="D1227" t="s">
        <v>10</v>
      </c>
      <c r="E1227" t="s">
        <v>12</v>
      </c>
      <c r="F1227" t="s">
        <v>26</v>
      </c>
      <c r="L1227" t="s">
        <v>5660</v>
      </c>
      <c r="N1227" t="s">
        <v>5660</v>
      </c>
      <c r="T1227" t="s">
        <v>5661</v>
      </c>
      <c r="U1227" t="s">
        <v>5662</v>
      </c>
      <c r="V1227" t="s">
        <v>5660</v>
      </c>
      <c r="W1227" t="s">
        <v>86</v>
      </c>
      <c r="X1227" t="s">
        <v>5663</v>
      </c>
      <c r="Y1227">
        <v>0</v>
      </c>
      <c r="Z1227">
        <v>13</v>
      </c>
    </row>
    <row r="1228" spans="1:26">
      <c r="A1228" s="1">
        <v>1226</v>
      </c>
      <c r="B1228" t="str">
        <f>HYPERLINK("https://bugs.eclipse.org/bugs/show_bug.cgi?id=40478", "40478")</f>
        <v>40478</v>
      </c>
      <c r="C1228" t="s">
        <v>149</v>
      </c>
      <c r="D1228" t="s">
        <v>10</v>
      </c>
      <c r="E1228" t="s">
        <v>12</v>
      </c>
      <c r="F1228" t="s">
        <v>26</v>
      </c>
      <c r="L1228" t="s">
        <v>5664</v>
      </c>
      <c r="N1228" t="s">
        <v>5664</v>
      </c>
      <c r="S1228" t="s">
        <v>5665</v>
      </c>
      <c r="T1228" t="s">
        <v>5666</v>
      </c>
      <c r="U1228" t="s">
        <v>5667</v>
      </c>
      <c r="V1228" t="s">
        <v>5664</v>
      </c>
      <c r="W1228" t="s">
        <v>49</v>
      </c>
      <c r="X1228" t="s">
        <v>5668</v>
      </c>
      <c r="Y1228">
        <v>0</v>
      </c>
      <c r="Z1228">
        <v>1216.041666666667</v>
      </c>
    </row>
    <row r="1229" spans="1:26">
      <c r="A1229" s="1">
        <v>1227</v>
      </c>
      <c r="B1229" t="str">
        <f>HYPERLINK("https://bugs.eclipse.org/bugs/show_bug.cgi?id=40479", "40479")</f>
        <v>40479</v>
      </c>
      <c r="C1229" t="s">
        <v>88</v>
      </c>
      <c r="D1229" t="s">
        <v>10</v>
      </c>
      <c r="E1229" t="s">
        <v>13</v>
      </c>
      <c r="F1229" t="s">
        <v>26</v>
      </c>
      <c r="L1229" t="s">
        <v>5669</v>
      </c>
      <c r="O1229" t="s">
        <v>5669</v>
      </c>
      <c r="T1229" t="s">
        <v>5670</v>
      </c>
      <c r="U1229" t="s">
        <v>5671</v>
      </c>
      <c r="V1229" t="s">
        <v>5669</v>
      </c>
      <c r="W1229" t="s">
        <v>49</v>
      </c>
      <c r="X1229" t="s">
        <v>5672</v>
      </c>
      <c r="Y1229">
        <v>4</v>
      </c>
      <c r="Z1229">
        <v>4</v>
      </c>
    </row>
    <row r="1230" spans="1:26">
      <c r="A1230" s="1">
        <v>1228</v>
      </c>
      <c r="B1230" t="str">
        <f>HYPERLINK("https://bugs.eclipse.org/bugs/show_bug.cgi?id=40480", "40480")</f>
        <v>40480</v>
      </c>
      <c r="C1230" t="s">
        <v>140</v>
      </c>
      <c r="D1230" t="s">
        <v>10</v>
      </c>
      <c r="E1230" t="s">
        <v>16</v>
      </c>
      <c r="F1230" t="s">
        <v>26</v>
      </c>
      <c r="L1230" t="s">
        <v>5673</v>
      </c>
      <c r="R1230" t="s">
        <v>5673</v>
      </c>
      <c r="T1230" t="s">
        <v>5674</v>
      </c>
      <c r="U1230" t="s">
        <v>5675</v>
      </c>
      <c r="V1230" t="s">
        <v>5673</v>
      </c>
      <c r="W1230" t="s">
        <v>86</v>
      </c>
      <c r="X1230" t="s">
        <v>5676</v>
      </c>
      <c r="Y1230">
        <v>3</v>
      </c>
      <c r="Z1230">
        <v>425</v>
      </c>
    </row>
    <row r="1231" spans="1:26">
      <c r="A1231" s="1">
        <v>1229</v>
      </c>
      <c r="B1231" t="str">
        <f>HYPERLINK("https://bugs.eclipse.org/bugs/show_bug.cgi?id=40563", "40563")</f>
        <v>40563</v>
      </c>
      <c r="C1231" t="s">
        <v>149</v>
      </c>
      <c r="D1231" t="s">
        <v>10</v>
      </c>
      <c r="E1231" t="s">
        <v>12</v>
      </c>
      <c r="F1231" t="s">
        <v>150</v>
      </c>
      <c r="L1231" t="s">
        <v>5677</v>
      </c>
      <c r="N1231" t="s">
        <v>5677</v>
      </c>
      <c r="T1231" t="s">
        <v>5678</v>
      </c>
      <c r="U1231" t="s">
        <v>5679</v>
      </c>
      <c r="V1231" t="s">
        <v>5677</v>
      </c>
      <c r="W1231" t="s">
        <v>60</v>
      </c>
      <c r="X1231" t="s">
        <v>5680</v>
      </c>
      <c r="Y1231">
        <v>0</v>
      </c>
      <c r="Z1231">
        <v>21</v>
      </c>
    </row>
    <row r="1232" spans="1:26">
      <c r="A1232" s="1">
        <v>1230</v>
      </c>
      <c r="B1232" t="str">
        <f>HYPERLINK("https://bugs.eclipse.org/bugs/show_bug.cgi?id=40590", "40590")</f>
        <v>40590</v>
      </c>
      <c r="C1232" t="s">
        <v>5681</v>
      </c>
      <c r="D1232" t="s">
        <v>10</v>
      </c>
      <c r="E1232" t="s">
        <v>15</v>
      </c>
      <c r="F1232" t="s">
        <v>26</v>
      </c>
      <c r="L1232" t="s">
        <v>5682</v>
      </c>
      <c r="Q1232" t="s">
        <v>5682</v>
      </c>
      <c r="T1232" t="s">
        <v>5683</v>
      </c>
      <c r="U1232" t="s">
        <v>5684</v>
      </c>
      <c r="V1232" t="s">
        <v>5682</v>
      </c>
      <c r="W1232" t="s">
        <v>60</v>
      </c>
      <c r="X1232" t="s">
        <v>5685</v>
      </c>
      <c r="Y1232">
        <v>0</v>
      </c>
      <c r="Z1232">
        <v>0</v>
      </c>
    </row>
    <row r="1233" spans="1:26">
      <c r="A1233" s="1">
        <v>1231</v>
      </c>
      <c r="B1233" t="str">
        <f>HYPERLINK("https://bugs.eclipse.org/bugs/show_bug.cgi?id=40628", "40628")</f>
        <v>40628</v>
      </c>
      <c r="C1233" t="s">
        <v>5686</v>
      </c>
      <c r="D1233" t="s">
        <v>10</v>
      </c>
      <c r="E1233" t="s">
        <v>15</v>
      </c>
      <c r="F1233" t="s">
        <v>26</v>
      </c>
      <c r="L1233" t="s">
        <v>5687</v>
      </c>
      <c r="Q1233" t="s">
        <v>5687</v>
      </c>
      <c r="T1233" t="s">
        <v>5688</v>
      </c>
      <c r="U1233" t="s">
        <v>5687</v>
      </c>
      <c r="V1233" t="s">
        <v>5687</v>
      </c>
      <c r="W1233" t="s">
        <v>60</v>
      </c>
      <c r="X1233" t="s">
        <v>5689</v>
      </c>
      <c r="Y1233">
        <v>1</v>
      </c>
      <c r="Z1233">
        <v>1</v>
      </c>
    </row>
    <row r="1234" spans="1:26">
      <c r="A1234" s="1">
        <v>1232</v>
      </c>
      <c r="B1234" t="str">
        <f>HYPERLINK("https://bugs.eclipse.org/bugs/show_bug.cgi?id=40643", "40643")</f>
        <v>40643</v>
      </c>
      <c r="C1234" t="s">
        <v>56</v>
      </c>
      <c r="D1234" t="s">
        <v>10</v>
      </c>
      <c r="E1234" t="s">
        <v>14</v>
      </c>
      <c r="F1234" t="s">
        <v>51</v>
      </c>
      <c r="L1234" t="s">
        <v>5690</v>
      </c>
      <c r="P1234" t="s">
        <v>5691</v>
      </c>
      <c r="T1234" t="s">
        <v>5692</v>
      </c>
      <c r="U1234" t="s">
        <v>5693</v>
      </c>
      <c r="V1234" t="s">
        <v>5691</v>
      </c>
      <c r="W1234" t="s">
        <v>75</v>
      </c>
      <c r="X1234" t="s">
        <v>5694</v>
      </c>
      <c r="Y1234">
        <v>0</v>
      </c>
      <c r="Z1234">
        <v>2230</v>
      </c>
    </row>
    <row r="1235" spans="1:26">
      <c r="A1235" s="1">
        <v>1233</v>
      </c>
      <c r="B1235" t="str">
        <f>HYPERLINK("https://bugs.eclipse.org/bugs/show_bug.cgi?id=40645", "40645")</f>
        <v>40645</v>
      </c>
      <c r="C1235" t="s">
        <v>149</v>
      </c>
      <c r="D1235" t="s">
        <v>10</v>
      </c>
      <c r="E1235" t="s">
        <v>12</v>
      </c>
      <c r="F1235" t="s">
        <v>26</v>
      </c>
      <c r="L1235" t="s">
        <v>5695</v>
      </c>
      <c r="N1235" t="s">
        <v>5695</v>
      </c>
      <c r="T1235" t="s">
        <v>5696</v>
      </c>
      <c r="U1235" t="s">
        <v>5697</v>
      </c>
      <c r="V1235" t="s">
        <v>5695</v>
      </c>
      <c r="W1235" t="s">
        <v>60</v>
      </c>
      <c r="X1235" t="s">
        <v>5698</v>
      </c>
      <c r="Y1235">
        <v>19</v>
      </c>
      <c r="Z1235">
        <v>27</v>
      </c>
    </row>
    <row r="1236" spans="1:26">
      <c r="A1236" s="1">
        <v>1234</v>
      </c>
      <c r="B1236" t="str">
        <f>HYPERLINK("https://bugs.eclipse.org/bugs/show_bug.cgi?id=40647", "40647")</f>
        <v>40647</v>
      </c>
      <c r="C1236" t="s">
        <v>140</v>
      </c>
      <c r="D1236" t="s">
        <v>10</v>
      </c>
      <c r="E1236" t="s">
        <v>16</v>
      </c>
      <c r="F1236" t="s">
        <v>150</v>
      </c>
      <c r="L1236" t="s">
        <v>5699</v>
      </c>
      <c r="R1236" t="s">
        <v>5699</v>
      </c>
      <c r="T1236" t="s">
        <v>5700</v>
      </c>
      <c r="U1236" t="s">
        <v>5701</v>
      </c>
      <c r="V1236" t="s">
        <v>5702</v>
      </c>
      <c r="W1236" t="s">
        <v>5703</v>
      </c>
      <c r="X1236" t="s">
        <v>5704</v>
      </c>
      <c r="Y1236">
        <v>0</v>
      </c>
      <c r="Z1236">
        <v>915.04166666666663</v>
      </c>
    </row>
    <row r="1237" spans="1:26">
      <c r="A1237" s="1">
        <v>1235</v>
      </c>
      <c r="B1237" t="str">
        <f>HYPERLINK("https://bugs.eclipse.org/bugs/show_bug.cgi?id=40667", "40667")</f>
        <v>40667</v>
      </c>
      <c r="C1237" t="s">
        <v>140</v>
      </c>
      <c r="D1237" t="s">
        <v>10</v>
      </c>
      <c r="E1237" t="s">
        <v>16</v>
      </c>
      <c r="F1237" t="s">
        <v>51</v>
      </c>
      <c r="L1237" t="s">
        <v>5705</v>
      </c>
      <c r="R1237" t="s">
        <v>5705</v>
      </c>
      <c r="T1237" t="s">
        <v>5706</v>
      </c>
      <c r="U1237" t="s">
        <v>5707</v>
      </c>
      <c r="V1237" t="s">
        <v>5705</v>
      </c>
      <c r="W1237" t="s">
        <v>143</v>
      </c>
      <c r="X1237" t="s">
        <v>5708</v>
      </c>
      <c r="Y1237">
        <v>0</v>
      </c>
      <c r="Z1237">
        <v>3495.041666666667</v>
      </c>
    </row>
    <row r="1238" spans="1:26">
      <c r="A1238" s="1">
        <v>1236</v>
      </c>
      <c r="B1238" t="str">
        <f>HYPERLINK("https://bugs.eclipse.org/bugs/show_bug.cgi?id=40706", "40706")</f>
        <v>40706</v>
      </c>
      <c r="C1238" t="s">
        <v>149</v>
      </c>
      <c r="D1238" t="s">
        <v>10</v>
      </c>
      <c r="E1238" t="s">
        <v>12</v>
      </c>
      <c r="F1238" t="s">
        <v>150</v>
      </c>
      <c r="L1238" t="s">
        <v>5709</v>
      </c>
      <c r="N1238" t="s">
        <v>5709</v>
      </c>
      <c r="T1238" t="s">
        <v>5710</v>
      </c>
      <c r="U1238" t="s">
        <v>5711</v>
      </c>
      <c r="V1238" t="s">
        <v>5709</v>
      </c>
      <c r="W1238" t="s">
        <v>60</v>
      </c>
      <c r="X1238" t="s">
        <v>5712</v>
      </c>
      <c r="Y1238">
        <v>0</v>
      </c>
      <c r="Z1238">
        <v>18</v>
      </c>
    </row>
    <row r="1239" spans="1:26">
      <c r="A1239" s="1">
        <v>1237</v>
      </c>
      <c r="B1239" t="str">
        <f>HYPERLINK("https://bugs.eclipse.org/bugs/show_bug.cgi?id=40713", "40713")</f>
        <v>40713</v>
      </c>
      <c r="C1239" t="s">
        <v>5713</v>
      </c>
      <c r="D1239" t="s">
        <v>10</v>
      </c>
      <c r="E1239" t="s">
        <v>15</v>
      </c>
      <c r="F1239" t="s">
        <v>26</v>
      </c>
      <c r="L1239" t="s">
        <v>5714</v>
      </c>
      <c r="Q1239" t="s">
        <v>5714</v>
      </c>
      <c r="T1239" t="s">
        <v>5715</v>
      </c>
      <c r="U1239" t="s">
        <v>5716</v>
      </c>
      <c r="V1239" t="s">
        <v>5714</v>
      </c>
      <c r="W1239" t="s">
        <v>60</v>
      </c>
      <c r="X1239" t="s">
        <v>5717</v>
      </c>
      <c r="Y1239">
        <v>1</v>
      </c>
      <c r="Z1239">
        <v>28</v>
      </c>
    </row>
    <row r="1240" spans="1:26">
      <c r="A1240" s="1">
        <v>1238</v>
      </c>
      <c r="B1240" t="str">
        <f>HYPERLINK("https://bugs.eclipse.org/bugs/show_bug.cgi?id=40748", "40748")</f>
        <v>40748</v>
      </c>
      <c r="C1240" t="s">
        <v>149</v>
      </c>
      <c r="D1240" t="s">
        <v>10</v>
      </c>
      <c r="E1240" t="s">
        <v>12</v>
      </c>
      <c r="F1240" t="s">
        <v>150</v>
      </c>
      <c r="L1240" t="s">
        <v>5718</v>
      </c>
      <c r="N1240" t="s">
        <v>5718</v>
      </c>
      <c r="T1240" t="s">
        <v>5719</v>
      </c>
      <c r="U1240" t="s">
        <v>5720</v>
      </c>
      <c r="V1240" t="s">
        <v>5718</v>
      </c>
      <c r="W1240" t="s">
        <v>86</v>
      </c>
      <c r="X1240" t="s">
        <v>5721</v>
      </c>
      <c r="Y1240">
        <v>0</v>
      </c>
      <c r="Z1240">
        <v>26</v>
      </c>
    </row>
    <row r="1241" spans="1:26">
      <c r="A1241" s="1">
        <v>1239</v>
      </c>
      <c r="B1241" t="str">
        <f>HYPERLINK("https://bugs.eclipse.org/bugs/show_bug.cgi?id=40749", "40749")</f>
        <v>40749</v>
      </c>
      <c r="C1241" t="s">
        <v>56</v>
      </c>
      <c r="D1241" t="s">
        <v>10</v>
      </c>
      <c r="E1241" t="s">
        <v>14</v>
      </c>
      <c r="F1241" t="s">
        <v>26</v>
      </c>
      <c r="L1241" t="s">
        <v>5722</v>
      </c>
      <c r="P1241" t="s">
        <v>5722</v>
      </c>
      <c r="T1241" t="s">
        <v>5723</v>
      </c>
      <c r="U1241" t="s">
        <v>5724</v>
      </c>
      <c r="V1241" t="s">
        <v>5722</v>
      </c>
      <c r="W1241" t="s">
        <v>49</v>
      </c>
      <c r="X1241" t="s">
        <v>5725</v>
      </c>
      <c r="Y1241">
        <v>0</v>
      </c>
      <c r="Z1241">
        <v>0</v>
      </c>
    </row>
    <row r="1242" spans="1:26">
      <c r="A1242" s="1">
        <v>1240</v>
      </c>
      <c r="B1242" t="str">
        <f>HYPERLINK("https://bugs.eclipse.org/bugs/show_bug.cgi?id=40767", "40767")</f>
        <v>40767</v>
      </c>
      <c r="C1242" t="s">
        <v>149</v>
      </c>
      <c r="D1242" t="s">
        <v>10</v>
      </c>
      <c r="E1242" t="s">
        <v>12</v>
      </c>
      <c r="F1242" t="s">
        <v>150</v>
      </c>
      <c r="G1242" t="s">
        <v>5726</v>
      </c>
      <c r="L1242" t="s">
        <v>5727</v>
      </c>
      <c r="N1242" t="s">
        <v>5727</v>
      </c>
      <c r="T1242" t="s">
        <v>5728</v>
      </c>
      <c r="U1242" t="s">
        <v>5729</v>
      </c>
      <c r="V1242" t="s">
        <v>5727</v>
      </c>
      <c r="W1242" t="s">
        <v>60</v>
      </c>
      <c r="X1242" t="s">
        <v>5730</v>
      </c>
      <c r="Y1242">
        <v>0</v>
      </c>
      <c r="Z1242">
        <v>27</v>
      </c>
    </row>
    <row r="1243" spans="1:26">
      <c r="A1243" s="1">
        <v>1241</v>
      </c>
      <c r="B1243" t="str">
        <f>HYPERLINK("https://bugs.eclipse.org/bugs/show_bug.cgi?id=40830", "40830")</f>
        <v>40830</v>
      </c>
      <c r="C1243" t="s">
        <v>149</v>
      </c>
      <c r="D1243" t="s">
        <v>10</v>
      </c>
      <c r="E1243" t="s">
        <v>12</v>
      </c>
      <c r="F1243" t="s">
        <v>26</v>
      </c>
      <c r="L1243" t="s">
        <v>5731</v>
      </c>
      <c r="N1243" t="s">
        <v>5731</v>
      </c>
      <c r="T1243" t="s">
        <v>5732</v>
      </c>
      <c r="U1243" t="s">
        <v>5733</v>
      </c>
      <c r="V1243" t="s">
        <v>5731</v>
      </c>
      <c r="W1243" t="s">
        <v>49</v>
      </c>
      <c r="X1243" t="s">
        <v>5734</v>
      </c>
      <c r="Y1243">
        <v>1</v>
      </c>
      <c r="Z1243">
        <v>9</v>
      </c>
    </row>
    <row r="1244" spans="1:26">
      <c r="A1244" s="1">
        <v>1242</v>
      </c>
      <c r="B1244" t="str">
        <f>HYPERLINK("https://bugs.eclipse.org/bugs/show_bug.cgi?id=40885", "40885")</f>
        <v>40885</v>
      </c>
      <c r="C1244" t="s">
        <v>149</v>
      </c>
      <c r="D1244" t="s">
        <v>10</v>
      </c>
      <c r="E1244" t="s">
        <v>12</v>
      </c>
      <c r="F1244" t="s">
        <v>26</v>
      </c>
      <c r="L1244" t="s">
        <v>5735</v>
      </c>
      <c r="N1244" t="s">
        <v>5735</v>
      </c>
      <c r="T1244" t="s">
        <v>5736</v>
      </c>
      <c r="U1244" t="s">
        <v>5737</v>
      </c>
      <c r="V1244" t="s">
        <v>5735</v>
      </c>
      <c r="W1244" t="s">
        <v>86</v>
      </c>
      <c r="X1244" t="s">
        <v>5738</v>
      </c>
      <c r="Y1244">
        <v>0</v>
      </c>
      <c r="Z1244">
        <v>2</v>
      </c>
    </row>
    <row r="1245" spans="1:26">
      <c r="A1245" s="1">
        <v>1243</v>
      </c>
      <c r="B1245" t="str">
        <f>HYPERLINK("https://bugs.eclipse.org/bugs/show_bug.cgi?id=40926", "40926")</f>
        <v>40926</v>
      </c>
      <c r="C1245" t="s">
        <v>5739</v>
      </c>
      <c r="D1245" t="s">
        <v>10</v>
      </c>
      <c r="E1245" t="s">
        <v>15</v>
      </c>
      <c r="F1245" t="s">
        <v>26</v>
      </c>
      <c r="L1245" t="s">
        <v>5740</v>
      </c>
      <c r="Q1245" t="s">
        <v>5740</v>
      </c>
      <c r="T1245" t="s">
        <v>5741</v>
      </c>
      <c r="U1245" t="s">
        <v>5742</v>
      </c>
      <c r="V1245" t="s">
        <v>5740</v>
      </c>
      <c r="W1245" t="s">
        <v>86</v>
      </c>
      <c r="X1245" t="s">
        <v>5743</v>
      </c>
      <c r="Y1245">
        <v>1</v>
      </c>
      <c r="Z1245">
        <v>2</v>
      </c>
    </row>
    <row r="1246" spans="1:26">
      <c r="A1246" s="1">
        <v>1244</v>
      </c>
      <c r="B1246" t="str">
        <f>HYPERLINK("https://bugs.eclipse.org/bugs/show_bug.cgi?id=40952", "40952")</f>
        <v>40952</v>
      </c>
      <c r="C1246" t="s">
        <v>149</v>
      </c>
      <c r="D1246" t="s">
        <v>10</v>
      </c>
      <c r="E1246" t="s">
        <v>12</v>
      </c>
      <c r="F1246" t="s">
        <v>26</v>
      </c>
      <c r="L1246" t="s">
        <v>5744</v>
      </c>
      <c r="N1246" t="s">
        <v>5744</v>
      </c>
      <c r="R1246" t="s">
        <v>5745</v>
      </c>
      <c r="S1246" t="s">
        <v>5746</v>
      </c>
      <c r="T1246" t="s">
        <v>5747</v>
      </c>
      <c r="U1246" t="s">
        <v>5748</v>
      </c>
      <c r="V1246" t="s">
        <v>5744</v>
      </c>
      <c r="W1246" t="s">
        <v>49</v>
      </c>
      <c r="X1246" t="s">
        <v>5749</v>
      </c>
      <c r="Y1246">
        <v>0</v>
      </c>
      <c r="Z1246">
        <v>47</v>
      </c>
    </row>
    <row r="1247" spans="1:26">
      <c r="A1247" s="1">
        <v>1245</v>
      </c>
      <c r="B1247" t="str">
        <f>HYPERLINK("https://bugs.eclipse.org/bugs/show_bug.cgi?id=40970", "40970")</f>
        <v>40970</v>
      </c>
      <c r="C1247" t="s">
        <v>149</v>
      </c>
      <c r="D1247" t="s">
        <v>10</v>
      </c>
      <c r="E1247" t="s">
        <v>12</v>
      </c>
      <c r="F1247" t="s">
        <v>26</v>
      </c>
      <c r="L1247" t="s">
        <v>5750</v>
      </c>
      <c r="N1247" t="s">
        <v>5750</v>
      </c>
      <c r="T1247" t="s">
        <v>5751</v>
      </c>
      <c r="U1247" t="s">
        <v>5752</v>
      </c>
      <c r="V1247" t="s">
        <v>5750</v>
      </c>
      <c r="W1247" t="s">
        <v>86</v>
      </c>
      <c r="X1247" t="s">
        <v>5753</v>
      </c>
      <c r="Y1247">
        <v>1</v>
      </c>
      <c r="Z1247">
        <v>1</v>
      </c>
    </row>
    <row r="1248" spans="1:26">
      <c r="A1248" s="1">
        <v>1246</v>
      </c>
      <c r="B1248" t="str">
        <f>HYPERLINK("https://bugs.eclipse.org/bugs/show_bug.cgi?id=40994", "40994")</f>
        <v>40994</v>
      </c>
      <c r="C1248" t="s">
        <v>56</v>
      </c>
      <c r="D1248" t="s">
        <v>10</v>
      </c>
      <c r="E1248" t="s">
        <v>14</v>
      </c>
      <c r="F1248" t="s">
        <v>26</v>
      </c>
      <c r="L1248" t="s">
        <v>5754</v>
      </c>
      <c r="P1248" t="s">
        <v>5754</v>
      </c>
      <c r="T1248" t="s">
        <v>5755</v>
      </c>
      <c r="U1248" t="s">
        <v>5756</v>
      </c>
      <c r="V1248" t="s">
        <v>5754</v>
      </c>
      <c r="W1248" t="s">
        <v>49</v>
      </c>
      <c r="X1248" t="s">
        <v>5757</v>
      </c>
      <c r="Y1248">
        <v>0</v>
      </c>
      <c r="Z1248">
        <v>1041</v>
      </c>
    </row>
    <row r="1249" spans="1:26">
      <c r="A1249" s="1">
        <v>1247</v>
      </c>
      <c r="B1249" t="str">
        <f>HYPERLINK("https://bugs.eclipse.org/bugs/show_bug.cgi?id=41001", "41001")</f>
        <v>41001</v>
      </c>
      <c r="C1249" t="s">
        <v>5544</v>
      </c>
      <c r="D1249" t="s">
        <v>10</v>
      </c>
      <c r="E1249" t="s">
        <v>15</v>
      </c>
      <c r="F1249" t="s">
        <v>150</v>
      </c>
      <c r="L1249" t="s">
        <v>5658</v>
      </c>
      <c r="Q1249" t="s">
        <v>5658</v>
      </c>
      <c r="T1249" t="s">
        <v>5758</v>
      </c>
      <c r="U1249" t="s">
        <v>5759</v>
      </c>
      <c r="V1249" t="s">
        <v>5658</v>
      </c>
      <c r="W1249" t="s">
        <v>60</v>
      </c>
      <c r="X1249" t="s">
        <v>5760</v>
      </c>
      <c r="Y1249">
        <v>0</v>
      </c>
      <c r="Z1249">
        <v>11</v>
      </c>
    </row>
    <row r="1250" spans="1:26">
      <c r="A1250" s="1">
        <v>1248</v>
      </c>
      <c r="B1250" t="str">
        <f>HYPERLINK("https://bugs.eclipse.org/bugs/show_bug.cgi?id=41020", "41020")</f>
        <v>41020</v>
      </c>
      <c r="C1250" t="s">
        <v>149</v>
      </c>
      <c r="D1250" t="s">
        <v>10</v>
      </c>
      <c r="E1250" t="s">
        <v>12</v>
      </c>
      <c r="F1250" t="s">
        <v>26</v>
      </c>
      <c r="L1250" t="s">
        <v>5761</v>
      </c>
      <c r="N1250" t="s">
        <v>5761</v>
      </c>
      <c r="T1250" t="s">
        <v>5762</v>
      </c>
      <c r="U1250" t="s">
        <v>5763</v>
      </c>
      <c r="V1250" t="s">
        <v>5761</v>
      </c>
      <c r="W1250" t="s">
        <v>86</v>
      </c>
      <c r="X1250" t="s">
        <v>5764</v>
      </c>
      <c r="Y1250">
        <v>4</v>
      </c>
      <c r="Z1250">
        <v>287</v>
      </c>
    </row>
    <row r="1251" spans="1:26">
      <c r="A1251" s="1">
        <v>1249</v>
      </c>
      <c r="B1251" t="str">
        <f>HYPERLINK("https://bugs.eclipse.org/bugs/show_bug.cgi?id=41095", "41095")</f>
        <v>41095</v>
      </c>
      <c r="C1251" t="s">
        <v>5765</v>
      </c>
      <c r="D1251" t="s">
        <v>10</v>
      </c>
      <c r="E1251" t="s">
        <v>15</v>
      </c>
      <c r="F1251" t="s">
        <v>150</v>
      </c>
      <c r="L1251" t="s">
        <v>5766</v>
      </c>
      <c r="Q1251" t="s">
        <v>5766</v>
      </c>
      <c r="T1251" t="s">
        <v>5767</v>
      </c>
      <c r="U1251" t="s">
        <v>5768</v>
      </c>
      <c r="V1251" t="s">
        <v>5766</v>
      </c>
      <c r="W1251" t="s">
        <v>86</v>
      </c>
      <c r="X1251" t="s">
        <v>5769</v>
      </c>
      <c r="Y1251">
        <v>0</v>
      </c>
      <c r="Z1251">
        <v>1</v>
      </c>
    </row>
    <row r="1252" spans="1:26">
      <c r="A1252" s="1">
        <v>1250</v>
      </c>
      <c r="B1252" t="str">
        <f>HYPERLINK("https://bugs.eclipse.org/bugs/show_bug.cgi?id=41148", "41148")</f>
        <v>41148</v>
      </c>
      <c r="C1252" t="s">
        <v>149</v>
      </c>
      <c r="D1252" t="s">
        <v>10</v>
      </c>
      <c r="E1252" t="s">
        <v>12</v>
      </c>
      <c r="F1252" t="s">
        <v>26</v>
      </c>
      <c r="L1252" t="s">
        <v>5770</v>
      </c>
      <c r="N1252" t="s">
        <v>5770</v>
      </c>
      <c r="T1252" t="s">
        <v>5771</v>
      </c>
      <c r="U1252" t="s">
        <v>5772</v>
      </c>
      <c r="V1252" t="s">
        <v>5770</v>
      </c>
      <c r="W1252" t="s">
        <v>86</v>
      </c>
      <c r="X1252" t="s">
        <v>5773</v>
      </c>
      <c r="Y1252">
        <v>0</v>
      </c>
      <c r="Z1252">
        <v>15</v>
      </c>
    </row>
    <row r="1253" spans="1:26">
      <c r="A1253" s="1">
        <v>1251</v>
      </c>
      <c r="B1253" t="str">
        <f>HYPERLINK("https://bugs.eclipse.org/bugs/show_bug.cgi?id=41196", "41196")</f>
        <v>41196</v>
      </c>
      <c r="C1253" t="s">
        <v>88</v>
      </c>
      <c r="D1253" t="s">
        <v>10</v>
      </c>
      <c r="E1253" t="s">
        <v>13</v>
      </c>
      <c r="F1253" t="s">
        <v>26</v>
      </c>
      <c r="L1253" t="s">
        <v>5774</v>
      </c>
      <c r="O1253" t="s">
        <v>5774</v>
      </c>
      <c r="T1253" t="s">
        <v>5775</v>
      </c>
      <c r="U1253" t="s">
        <v>5776</v>
      </c>
      <c r="V1253" t="s">
        <v>5774</v>
      </c>
      <c r="W1253" t="s">
        <v>86</v>
      </c>
      <c r="X1253" t="s">
        <v>5777</v>
      </c>
      <c r="Y1253">
        <v>0</v>
      </c>
      <c r="Z1253">
        <v>1</v>
      </c>
    </row>
    <row r="1254" spans="1:26">
      <c r="A1254" s="1">
        <v>1252</v>
      </c>
      <c r="B1254" t="str">
        <f>HYPERLINK("https://bugs.eclipse.org/bugs/show_bug.cgi?id=41211", "41211")</f>
        <v>41211</v>
      </c>
      <c r="C1254" t="s">
        <v>5778</v>
      </c>
      <c r="D1254" t="s">
        <v>10</v>
      </c>
      <c r="E1254" t="s">
        <v>15</v>
      </c>
      <c r="F1254" t="s">
        <v>26</v>
      </c>
      <c r="L1254" t="s">
        <v>5779</v>
      </c>
      <c r="Q1254" t="s">
        <v>5779</v>
      </c>
      <c r="T1254" t="s">
        <v>5780</v>
      </c>
      <c r="U1254" t="s">
        <v>5779</v>
      </c>
      <c r="V1254" t="s">
        <v>5779</v>
      </c>
      <c r="W1254" t="s">
        <v>86</v>
      </c>
      <c r="X1254" t="s">
        <v>5781</v>
      </c>
      <c r="Y1254">
        <v>20</v>
      </c>
      <c r="Z1254">
        <v>20</v>
      </c>
    </row>
    <row r="1255" spans="1:26">
      <c r="A1255" s="1">
        <v>1253</v>
      </c>
      <c r="B1255" t="str">
        <f>HYPERLINK("https://bugs.eclipse.org/bugs/show_bug.cgi?id=41241", "41241")</f>
        <v>41241</v>
      </c>
      <c r="C1255" t="s">
        <v>35</v>
      </c>
      <c r="D1255" t="s">
        <v>11</v>
      </c>
      <c r="E1255" t="s">
        <v>12</v>
      </c>
      <c r="F1255" t="s">
        <v>150</v>
      </c>
      <c r="G1255" t="s">
        <v>5782</v>
      </c>
      <c r="L1255" t="s">
        <v>5783</v>
      </c>
      <c r="M1255" t="s">
        <v>5784</v>
      </c>
      <c r="N1255" t="s">
        <v>5783</v>
      </c>
      <c r="T1255" t="s">
        <v>5785</v>
      </c>
      <c r="U1255" t="s">
        <v>5786</v>
      </c>
      <c r="V1255" t="s">
        <v>5784</v>
      </c>
      <c r="W1255" t="s">
        <v>143</v>
      </c>
      <c r="X1255" t="s">
        <v>5787</v>
      </c>
      <c r="Y1255">
        <v>0</v>
      </c>
      <c r="Z1255">
        <v>62</v>
      </c>
    </row>
    <row r="1256" spans="1:26">
      <c r="A1256" s="1">
        <v>1254</v>
      </c>
      <c r="B1256" t="str">
        <f>HYPERLINK("https://bugs.eclipse.org/bugs/show_bug.cgi?id=41302", "41302")</f>
        <v>41302</v>
      </c>
      <c r="C1256" t="s">
        <v>149</v>
      </c>
      <c r="D1256" t="s">
        <v>10</v>
      </c>
      <c r="E1256" t="s">
        <v>12</v>
      </c>
      <c r="F1256" t="s">
        <v>26</v>
      </c>
      <c r="G1256" t="s">
        <v>5788</v>
      </c>
      <c r="L1256" t="s">
        <v>5789</v>
      </c>
      <c r="N1256" t="s">
        <v>5789</v>
      </c>
      <c r="T1256" t="s">
        <v>5790</v>
      </c>
      <c r="U1256" t="s">
        <v>5791</v>
      </c>
      <c r="V1256" t="s">
        <v>5792</v>
      </c>
      <c r="W1256" t="s">
        <v>65</v>
      </c>
      <c r="X1256" t="s">
        <v>5793</v>
      </c>
      <c r="Y1256">
        <v>1</v>
      </c>
      <c r="Z1256">
        <v>4204.041666666667</v>
      </c>
    </row>
    <row r="1257" spans="1:26">
      <c r="A1257" s="1">
        <v>1255</v>
      </c>
      <c r="B1257" t="str">
        <f>HYPERLINK("https://bugs.eclipse.org/bugs/show_bug.cgi?id=41321", "41321")</f>
        <v>41321</v>
      </c>
      <c r="C1257" t="s">
        <v>5794</v>
      </c>
      <c r="D1257" t="s">
        <v>10</v>
      </c>
      <c r="E1257" t="s">
        <v>15</v>
      </c>
      <c r="F1257" t="s">
        <v>26</v>
      </c>
      <c r="L1257" t="s">
        <v>5795</v>
      </c>
      <c r="Q1257" t="s">
        <v>5795</v>
      </c>
      <c r="T1257" t="s">
        <v>5796</v>
      </c>
      <c r="U1257" t="s">
        <v>5797</v>
      </c>
      <c r="V1257" t="s">
        <v>5795</v>
      </c>
      <c r="W1257" t="s">
        <v>40</v>
      </c>
      <c r="X1257" t="s">
        <v>5798</v>
      </c>
      <c r="Y1257">
        <v>0</v>
      </c>
      <c r="Z1257">
        <v>0</v>
      </c>
    </row>
    <row r="1258" spans="1:26">
      <c r="A1258" s="1">
        <v>1256</v>
      </c>
      <c r="B1258" t="str">
        <f>HYPERLINK("https://bugs.eclipse.org/bugs/show_bug.cgi?id=41348", "41348")</f>
        <v>41348</v>
      </c>
      <c r="C1258" t="s">
        <v>149</v>
      </c>
      <c r="D1258" t="s">
        <v>10</v>
      </c>
      <c r="E1258" t="s">
        <v>12</v>
      </c>
      <c r="F1258" t="s">
        <v>150</v>
      </c>
      <c r="L1258" t="s">
        <v>5799</v>
      </c>
      <c r="N1258" t="s">
        <v>5799</v>
      </c>
      <c r="T1258" t="s">
        <v>5800</v>
      </c>
      <c r="U1258" t="s">
        <v>5801</v>
      </c>
      <c r="V1258" t="s">
        <v>5799</v>
      </c>
      <c r="W1258" t="s">
        <v>60</v>
      </c>
      <c r="X1258" t="s">
        <v>5802</v>
      </c>
      <c r="Y1258">
        <v>3</v>
      </c>
      <c r="Z1258">
        <v>5</v>
      </c>
    </row>
    <row r="1259" spans="1:26">
      <c r="A1259" s="1">
        <v>1257</v>
      </c>
      <c r="B1259" t="str">
        <f>HYPERLINK("https://bugs.eclipse.org/bugs/show_bug.cgi?id=41407", "41407")</f>
        <v>41407</v>
      </c>
      <c r="C1259" t="s">
        <v>5686</v>
      </c>
      <c r="D1259" t="s">
        <v>10</v>
      </c>
      <c r="E1259" t="s">
        <v>15</v>
      </c>
      <c r="F1259" t="s">
        <v>26</v>
      </c>
      <c r="L1259" t="s">
        <v>5803</v>
      </c>
      <c r="Q1259" t="s">
        <v>5803</v>
      </c>
      <c r="T1259" t="s">
        <v>5804</v>
      </c>
      <c r="U1259" t="s">
        <v>5805</v>
      </c>
      <c r="V1259" t="s">
        <v>5803</v>
      </c>
      <c r="W1259" t="s">
        <v>60</v>
      </c>
      <c r="X1259" t="s">
        <v>5806</v>
      </c>
      <c r="Y1259">
        <v>0</v>
      </c>
      <c r="Z1259">
        <v>1</v>
      </c>
    </row>
    <row r="1260" spans="1:26">
      <c r="A1260" s="1">
        <v>1258</v>
      </c>
      <c r="B1260" t="str">
        <f>HYPERLINK("https://bugs.eclipse.org/bugs/show_bug.cgi?id=41459", "41459")</f>
        <v>41459</v>
      </c>
      <c r="C1260" t="s">
        <v>56</v>
      </c>
      <c r="D1260" t="s">
        <v>10</v>
      </c>
      <c r="E1260" t="s">
        <v>14</v>
      </c>
      <c r="F1260" t="s">
        <v>51</v>
      </c>
      <c r="G1260" t="s">
        <v>5807</v>
      </c>
      <c r="L1260" t="s">
        <v>5808</v>
      </c>
      <c r="P1260" t="s">
        <v>5809</v>
      </c>
      <c r="T1260" t="s">
        <v>5810</v>
      </c>
      <c r="U1260" t="s">
        <v>5811</v>
      </c>
      <c r="V1260" t="s">
        <v>5809</v>
      </c>
      <c r="W1260" t="s">
        <v>75</v>
      </c>
      <c r="X1260" t="s">
        <v>5812</v>
      </c>
      <c r="Y1260">
        <v>8</v>
      </c>
      <c r="Z1260">
        <v>2210</v>
      </c>
    </row>
    <row r="1261" spans="1:26">
      <c r="A1261" s="1">
        <v>1259</v>
      </c>
      <c r="B1261" t="str">
        <f>HYPERLINK("https://bugs.eclipse.org/bugs/show_bug.cgi?id=41461", "41461")</f>
        <v>41461</v>
      </c>
      <c r="C1261" t="s">
        <v>4818</v>
      </c>
      <c r="D1261" t="s">
        <v>10</v>
      </c>
      <c r="E1261" t="s">
        <v>15</v>
      </c>
      <c r="F1261" t="s">
        <v>26</v>
      </c>
      <c r="L1261" t="s">
        <v>5813</v>
      </c>
      <c r="Q1261" t="s">
        <v>5813</v>
      </c>
      <c r="T1261" t="s">
        <v>5814</v>
      </c>
      <c r="U1261" t="s">
        <v>5815</v>
      </c>
      <c r="V1261" t="s">
        <v>5813</v>
      </c>
      <c r="W1261" t="s">
        <v>86</v>
      </c>
      <c r="X1261" t="s">
        <v>5816</v>
      </c>
      <c r="Y1261">
        <v>0</v>
      </c>
      <c r="Z1261">
        <v>0</v>
      </c>
    </row>
    <row r="1262" spans="1:26">
      <c r="A1262" s="1">
        <v>1260</v>
      </c>
      <c r="B1262" t="str">
        <f>HYPERLINK("https://bugs.eclipse.org/bugs/show_bug.cgi?id=41462", "41462")</f>
        <v>41462</v>
      </c>
      <c r="C1262" t="s">
        <v>4818</v>
      </c>
      <c r="D1262" t="s">
        <v>10</v>
      </c>
      <c r="E1262" t="s">
        <v>15</v>
      </c>
      <c r="F1262" t="s">
        <v>26</v>
      </c>
      <c r="L1262" t="s">
        <v>5817</v>
      </c>
      <c r="Q1262" t="s">
        <v>5817</v>
      </c>
      <c r="T1262" t="s">
        <v>5818</v>
      </c>
      <c r="U1262" t="s">
        <v>5819</v>
      </c>
      <c r="V1262" t="s">
        <v>5817</v>
      </c>
      <c r="W1262" t="s">
        <v>86</v>
      </c>
      <c r="X1262" t="s">
        <v>5820</v>
      </c>
      <c r="Y1262">
        <v>0</v>
      </c>
      <c r="Z1262">
        <v>0</v>
      </c>
    </row>
    <row r="1263" spans="1:26">
      <c r="A1263" s="1">
        <v>1261</v>
      </c>
      <c r="B1263" t="str">
        <f>HYPERLINK("https://bugs.eclipse.org/bugs/show_bug.cgi?id=41464", "41464")</f>
        <v>41464</v>
      </c>
      <c r="C1263" t="s">
        <v>149</v>
      </c>
      <c r="D1263" t="s">
        <v>10</v>
      </c>
      <c r="E1263" t="s">
        <v>12</v>
      </c>
      <c r="F1263" t="s">
        <v>26</v>
      </c>
      <c r="L1263" t="s">
        <v>5821</v>
      </c>
      <c r="N1263" t="s">
        <v>5821</v>
      </c>
      <c r="T1263" t="s">
        <v>5822</v>
      </c>
      <c r="U1263" t="s">
        <v>5823</v>
      </c>
      <c r="V1263" t="s">
        <v>5824</v>
      </c>
      <c r="W1263" t="s">
        <v>143</v>
      </c>
      <c r="X1263" t="s">
        <v>5825</v>
      </c>
      <c r="Y1263">
        <v>0</v>
      </c>
      <c r="Z1263">
        <v>4199.041666666667</v>
      </c>
    </row>
    <row r="1264" spans="1:26">
      <c r="A1264" s="1">
        <v>1262</v>
      </c>
      <c r="B1264" t="str">
        <f>HYPERLINK("https://bugs.eclipse.org/bugs/show_bug.cgi?id=41468", "41468")</f>
        <v>41468</v>
      </c>
      <c r="C1264" t="s">
        <v>149</v>
      </c>
      <c r="D1264" t="s">
        <v>10</v>
      </c>
      <c r="E1264" t="s">
        <v>12</v>
      </c>
      <c r="F1264" t="s">
        <v>26</v>
      </c>
      <c r="G1264" t="s">
        <v>5826</v>
      </c>
      <c r="L1264" t="s">
        <v>5827</v>
      </c>
      <c r="N1264" t="s">
        <v>5827</v>
      </c>
      <c r="T1264" t="s">
        <v>5828</v>
      </c>
      <c r="U1264" t="s">
        <v>5829</v>
      </c>
      <c r="V1264" t="s">
        <v>5830</v>
      </c>
      <c r="W1264" t="s">
        <v>65</v>
      </c>
      <c r="X1264" t="s">
        <v>5831</v>
      </c>
      <c r="Y1264">
        <v>0</v>
      </c>
      <c r="Z1264">
        <v>4199.041666666667</v>
      </c>
    </row>
    <row r="1265" spans="1:26">
      <c r="A1265" s="1">
        <v>1263</v>
      </c>
      <c r="B1265" t="str">
        <f>HYPERLINK("https://bugs.eclipse.org/bugs/show_bug.cgi?id=41473", "41473")</f>
        <v>41473</v>
      </c>
      <c r="C1265" t="s">
        <v>149</v>
      </c>
      <c r="D1265" t="s">
        <v>10</v>
      </c>
      <c r="E1265" t="s">
        <v>12</v>
      </c>
      <c r="F1265" t="s">
        <v>26</v>
      </c>
      <c r="L1265" t="s">
        <v>5832</v>
      </c>
      <c r="N1265" t="s">
        <v>5832</v>
      </c>
      <c r="T1265" t="s">
        <v>5833</v>
      </c>
      <c r="U1265" t="s">
        <v>5834</v>
      </c>
      <c r="V1265" t="s">
        <v>5832</v>
      </c>
      <c r="W1265" t="s">
        <v>86</v>
      </c>
      <c r="X1265" t="s">
        <v>5835</v>
      </c>
      <c r="Y1265">
        <v>0</v>
      </c>
      <c r="Z1265">
        <v>145.04166666666671</v>
      </c>
    </row>
    <row r="1266" spans="1:26">
      <c r="A1266" s="1">
        <v>1264</v>
      </c>
      <c r="B1266" t="str">
        <f>HYPERLINK("https://bugs.eclipse.org/bugs/show_bug.cgi?id=41489", "41489")</f>
        <v>41489</v>
      </c>
      <c r="C1266" t="s">
        <v>995</v>
      </c>
      <c r="D1266" t="s">
        <v>192</v>
      </c>
      <c r="E1266" t="s">
        <v>12</v>
      </c>
      <c r="F1266" t="s">
        <v>26</v>
      </c>
      <c r="L1266" t="s">
        <v>5836</v>
      </c>
      <c r="N1266" t="s">
        <v>5836</v>
      </c>
      <c r="T1266" t="s">
        <v>5837</v>
      </c>
      <c r="U1266" t="s">
        <v>5838</v>
      </c>
      <c r="V1266" t="s">
        <v>5839</v>
      </c>
      <c r="W1266" t="s">
        <v>143</v>
      </c>
      <c r="X1266" t="s">
        <v>5840</v>
      </c>
      <c r="Y1266">
        <v>1</v>
      </c>
      <c r="Z1266">
        <v>4199.041666666667</v>
      </c>
    </row>
    <row r="1267" spans="1:26">
      <c r="A1267" s="1">
        <v>1265</v>
      </c>
      <c r="B1267" t="str">
        <f>HYPERLINK("https://bugs.eclipse.org/bugs/show_bug.cgi?id=41500", "41500")</f>
        <v>41500</v>
      </c>
      <c r="C1267" t="s">
        <v>149</v>
      </c>
      <c r="D1267" t="s">
        <v>10</v>
      </c>
      <c r="E1267" t="s">
        <v>12</v>
      </c>
      <c r="F1267" t="s">
        <v>26</v>
      </c>
      <c r="L1267" t="s">
        <v>5841</v>
      </c>
      <c r="N1267" t="s">
        <v>5841</v>
      </c>
      <c r="T1267" t="s">
        <v>5842</v>
      </c>
      <c r="U1267" t="s">
        <v>5843</v>
      </c>
      <c r="V1267" t="s">
        <v>5844</v>
      </c>
      <c r="W1267" t="s">
        <v>143</v>
      </c>
      <c r="X1267" t="s">
        <v>5845</v>
      </c>
      <c r="Y1267">
        <v>0</v>
      </c>
      <c r="Z1267">
        <v>4199.041666666667</v>
      </c>
    </row>
    <row r="1268" spans="1:26">
      <c r="A1268" s="1">
        <v>1266</v>
      </c>
      <c r="B1268" t="str">
        <f>HYPERLINK("https://bugs.eclipse.org/bugs/show_bug.cgi?id=41508", "41508")</f>
        <v>41508</v>
      </c>
      <c r="C1268" t="s">
        <v>191</v>
      </c>
      <c r="D1268" t="s">
        <v>192</v>
      </c>
      <c r="E1268" t="s">
        <v>14</v>
      </c>
      <c r="F1268" t="s">
        <v>51</v>
      </c>
      <c r="T1268" t="s">
        <v>5846</v>
      </c>
      <c r="U1268" t="s">
        <v>5847</v>
      </c>
      <c r="V1268" t="s">
        <v>5848</v>
      </c>
      <c r="W1268" t="s">
        <v>5069</v>
      </c>
      <c r="X1268" t="s">
        <v>5849</v>
      </c>
      <c r="Y1268">
        <v>0</v>
      </c>
      <c r="Z1268">
        <v>5851</v>
      </c>
    </row>
    <row r="1269" spans="1:26">
      <c r="A1269" s="1">
        <v>1267</v>
      </c>
      <c r="B1269" t="str">
        <f>HYPERLINK("https://bugs.eclipse.org/bugs/show_bug.cgi?id=41526", "41526")</f>
        <v>41526</v>
      </c>
      <c r="C1269" t="s">
        <v>56</v>
      </c>
      <c r="D1269" t="s">
        <v>10</v>
      </c>
      <c r="E1269" t="s">
        <v>14</v>
      </c>
      <c r="F1269" t="s">
        <v>51</v>
      </c>
      <c r="L1269" t="s">
        <v>5850</v>
      </c>
      <c r="P1269" t="s">
        <v>5851</v>
      </c>
      <c r="T1269" t="s">
        <v>5852</v>
      </c>
      <c r="U1269" t="s">
        <v>5853</v>
      </c>
      <c r="V1269" t="s">
        <v>5851</v>
      </c>
      <c r="W1269" t="s">
        <v>75</v>
      </c>
      <c r="X1269" t="s">
        <v>5854</v>
      </c>
      <c r="Y1269">
        <v>0</v>
      </c>
      <c r="Z1269">
        <v>2208</v>
      </c>
    </row>
    <row r="1270" spans="1:26">
      <c r="A1270" s="1">
        <v>1268</v>
      </c>
      <c r="B1270" t="str">
        <f>HYPERLINK("https://bugs.eclipse.org/bugs/show_bug.cgi?id=41530", "41530")</f>
        <v>41530</v>
      </c>
      <c r="C1270" t="s">
        <v>149</v>
      </c>
      <c r="D1270" t="s">
        <v>10</v>
      </c>
      <c r="E1270" t="s">
        <v>12</v>
      </c>
      <c r="F1270" t="s">
        <v>26</v>
      </c>
      <c r="L1270" t="s">
        <v>5855</v>
      </c>
      <c r="N1270" t="s">
        <v>5855</v>
      </c>
      <c r="S1270" t="s">
        <v>5856</v>
      </c>
      <c r="T1270" t="s">
        <v>5857</v>
      </c>
      <c r="U1270" t="s">
        <v>5858</v>
      </c>
      <c r="V1270" t="s">
        <v>5855</v>
      </c>
      <c r="W1270" t="s">
        <v>60</v>
      </c>
      <c r="X1270" t="s">
        <v>5859</v>
      </c>
      <c r="Y1270">
        <v>1</v>
      </c>
      <c r="Z1270">
        <v>4</v>
      </c>
    </row>
    <row r="1271" spans="1:26">
      <c r="A1271" s="1">
        <v>1269</v>
      </c>
      <c r="B1271" t="str">
        <f>HYPERLINK("https://bugs.eclipse.org/bugs/show_bug.cgi?id=41533", "41533")</f>
        <v>41533</v>
      </c>
      <c r="C1271" t="s">
        <v>3758</v>
      </c>
      <c r="D1271" t="s">
        <v>10</v>
      </c>
      <c r="E1271" t="s">
        <v>15</v>
      </c>
      <c r="F1271" t="s">
        <v>26</v>
      </c>
      <c r="L1271" t="s">
        <v>5860</v>
      </c>
      <c r="Q1271" t="s">
        <v>5860</v>
      </c>
      <c r="T1271" t="s">
        <v>5861</v>
      </c>
      <c r="U1271" t="s">
        <v>5860</v>
      </c>
      <c r="V1271" t="s">
        <v>5862</v>
      </c>
      <c r="W1271" t="s">
        <v>953</v>
      </c>
      <c r="X1271" t="s">
        <v>5863</v>
      </c>
      <c r="Y1271">
        <v>0</v>
      </c>
      <c r="Z1271">
        <v>14</v>
      </c>
    </row>
    <row r="1272" spans="1:26">
      <c r="A1272" s="1">
        <v>1270</v>
      </c>
      <c r="B1272" t="str">
        <f>HYPERLINK("https://bugs.eclipse.org/bugs/show_bug.cgi?id=41570", "41570")</f>
        <v>41570</v>
      </c>
      <c r="C1272" t="s">
        <v>149</v>
      </c>
      <c r="D1272" t="s">
        <v>10</v>
      </c>
      <c r="E1272" t="s">
        <v>12</v>
      </c>
      <c r="F1272" t="s">
        <v>26</v>
      </c>
      <c r="L1272" t="s">
        <v>5864</v>
      </c>
      <c r="N1272" t="s">
        <v>5864</v>
      </c>
      <c r="T1272" t="s">
        <v>5865</v>
      </c>
      <c r="U1272" t="s">
        <v>5866</v>
      </c>
      <c r="V1272" t="s">
        <v>5864</v>
      </c>
      <c r="W1272" t="s">
        <v>60</v>
      </c>
      <c r="X1272" t="s">
        <v>5867</v>
      </c>
      <c r="Y1272">
        <v>1</v>
      </c>
      <c r="Z1272">
        <v>5</v>
      </c>
    </row>
    <row r="1273" spans="1:26">
      <c r="A1273" s="1">
        <v>1271</v>
      </c>
      <c r="B1273" t="str">
        <f>HYPERLINK("https://bugs.eclipse.org/bugs/show_bug.cgi?id=41576", "41576")</f>
        <v>41576</v>
      </c>
      <c r="C1273" t="s">
        <v>140</v>
      </c>
      <c r="D1273" t="s">
        <v>10</v>
      </c>
      <c r="E1273" t="s">
        <v>16</v>
      </c>
      <c r="F1273" t="s">
        <v>26</v>
      </c>
      <c r="L1273" t="s">
        <v>5868</v>
      </c>
      <c r="R1273" t="s">
        <v>5868</v>
      </c>
      <c r="T1273" t="s">
        <v>5869</v>
      </c>
      <c r="U1273" t="s">
        <v>5870</v>
      </c>
      <c r="V1273" t="s">
        <v>5868</v>
      </c>
      <c r="W1273" t="s">
        <v>86</v>
      </c>
      <c r="X1273" t="s">
        <v>5871</v>
      </c>
      <c r="Y1273">
        <v>1</v>
      </c>
      <c r="Z1273">
        <v>50</v>
      </c>
    </row>
    <row r="1274" spans="1:26">
      <c r="A1274" s="1">
        <v>1272</v>
      </c>
      <c r="B1274" t="str">
        <f>HYPERLINK("https://bugs.eclipse.org/bugs/show_bug.cgi?id=41577", "41577")</f>
        <v>41577</v>
      </c>
      <c r="C1274" t="s">
        <v>56</v>
      </c>
      <c r="D1274" t="s">
        <v>10</v>
      </c>
      <c r="E1274" t="s">
        <v>14</v>
      </c>
      <c r="F1274" t="s">
        <v>26</v>
      </c>
      <c r="L1274" t="s">
        <v>5872</v>
      </c>
      <c r="P1274" t="s">
        <v>5872</v>
      </c>
      <c r="T1274" t="s">
        <v>5873</v>
      </c>
      <c r="U1274" t="s">
        <v>5874</v>
      </c>
      <c r="V1274" t="s">
        <v>5872</v>
      </c>
      <c r="W1274" t="s">
        <v>49</v>
      </c>
      <c r="X1274" t="s">
        <v>5875</v>
      </c>
      <c r="Y1274">
        <v>0</v>
      </c>
      <c r="Z1274">
        <v>1033</v>
      </c>
    </row>
    <row r="1275" spans="1:26">
      <c r="A1275" s="1">
        <v>1273</v>
      </c>
      <c r="B1275" t="str">
        <f>HYPERLINK("https://bugs.eclipse.org/bugs/show_bug.cgi?id=41586", "41586")</f>
        <v>41586</v>
      </c>
      <c r="C1275" t="s">
        <v>5876</v>
      </c>
      <c r="D1275" t="s">
        <v>10</v>
      </c>
      <c r="E1275" t="s">
        <v>15</v>
      </c>
      <c r="F1275" t="s">
        <v>26</v>
      </c>
      <c r="L1275" t="s">
        <v>5877</v>
      </c>
      <c r="Q1275" t="s">
        <v>5877</v>
      </c>
      <c r="T1275" t="s">
        <v>5878</v>
      </c>
      <c r="U1275" t="s">
        <v>5877</v>
      </c>
      <c r="V1275" t="s">
        <v>5877</v>
      </c>
      <c r="W1275" t="s">
        <v>60</v>
      </c>
      <c r="X1275" t="s">
        <v>5879</v>
      </c>
      <c r="Y1275">
        <v>1</v>
      </c>
      <c r="Z1275">
        <v>1</v>
      </c>
    </row>
    <row r="1276" spans="1:26">
      <c r="A1276" s="1">
        <v>1274</v>
      </c>
      <c r="B1276" t="str">
        <f>HYPERLINK("https://bugs.eclipse.org/bugs/show_bug.cgi?id=41590", "41590")</f>
        <v>41590</v>
      </c>
      <c r="C1276" t="s">
        <v>56</v>
      </c>
      <c r="D1276" t="s">
        <v>10</v>
      </c>
      <c r="E1276" t="s">
        <v>14</v>
      </c>
      <c r="F1276" t="s">
        <v>51</v>
      </c>
      <c r="L1276" t="s">
        <v>5880</v>
      </c>
      <c r="P1276" t="s">
        <v>3039</v>
      </c>
      <c r="T1276" t="s">
        <v>5881</v>
      </c>
      <c r="U1276" t="s">
        <v>5882</v>
      </c>
      <c r="V1276" t="s">
        <v>3039</v>
      </c>
      <c r="W1276" t="s">
        <v>75</v>
      </c>
      <c r="X1276" t="s">
        <v>5883</v>
      </c>
      <c r="Y1276">
        <v>1</v>
      </c>
      <c r="Z1276">
        <v>2208</v>
      </c>
    </row>
    <row r="1277" spans="1:26">
      <c r="A1277" s="1">
        <v>1275</v>
      </c>
      <c r="B1277" t="str">
        <f>HYPERLINK("https://bugs.eclipse.org/bugs/show_bug.cgi?id=41597", "41597")</f>
        <v>41597</v>
      </c>
      <c r="C1277" t="s">
        <v>149</v>
      </c>
      <c r="D1277" t="s">
        <v>10</v>
      </c>
      <c r="E1277" t="s">
        <v>12</v>
      </c>
      <c r="F1277" t="s">
        <v>26</v>
      </c>
      <c r="L1277" t="s">
        <v>5884</v>
      </c>
      <c r="N1277" t="s">
        <v>5884</v>
      </c>
      <c r="T1277" t="s">
        <v>5885</v>
      </c>
      <c r="U1277" t="s">
        <v>5884</v>
      </c>
      <c r="V1277" t="s">
        <v>5886</v>
      </c>
      <c r="W1277" t="s">
        <v>60</v>
      </c>
      <c r="X1277" t="s">
        <v>5887</v>
      </c>
      <c r="Y1277">
        <v>0</v>
      </c>
      <c r="Z1277">
        <v>0</v>
      </c>
    </row>
    <row r="1278" spans="1:26">
      <c r="A1278" s="1">
        <v>1276</v>
      </c>
      <c r="B1278" t="str">
        <f>HYPERLINK("https://bugs.eclipse.org/bugs/show_bug.cgi?id=41630", "41630")</f>
        <v>41630</v>
      </c>
      <c r="C1278" t="s">
        <v>995</v>
      </c>
      <c r="D1278" t="s">
        <v>192</v>
      </c>
      <c r="E1278" t="s">
        <v>12</v>
      </c>
      <c r="F1278" t="s">
        <v>26</v>
      </c>
      <c r="L1278" t="s">
        <v>5888</v>
      </c>
      <c r="N1278" t="s">
        <v>5888</v>
      </c>
      <c r="T1278" t="s">
        <v>5889</v>
      </c>
      <c r="U1278" t="s">
        <v>5890</v>
      </c>
      <c r="V1278" t="s">
        <v>5891</v>
      </c>
      <c r="W1278" t="s">
        <v>5892</v>
      </c>
      <c r="X1278" t="s">
        <v>5893</v>
      </c>
      <c r="Y1278">
        <v>1</v>
      </c>
      <c r="Z1278">
        <v>1389</v>
      </c>
    </row>
    <row r="1279" spans="1:26">
      <c r="A1279" s="1">
        <v>1277</v>
      </c>
      <c r="B1279" t="str">
        <f>HYPERLINK("https://bugs.eclipse.org/bugs/show_bug.cgi?id=41691", "41691")</f>
        <v>41691</v>
      </c>
      <c r="C1279" t="s">
        <v>149</v>
      </c>
      <c r="D1279" t="s">
        <v>10</v>
      </c>
      <c r="E1279" t="s">
        <v>12</v>
      </c>
      <c r="F1279" t="s">
        <v>26</v>
      </c>
      <c r="L1279" t="s">
        <v>5894</v>
      </c>
      <c r="N1279" t="s">
        <v>5894</v>
      </c>
      <c r="T1279" t="s">
        <v>5895</v>
      </c>
      <c r="U1279" t="s">
        <v>5894</v>
      </c>
      <c r="V1279" t="s">
        <v>5894</v>
      </c>
      <c r="W1279" t="s">
        <v>60</v>
      </c>
      <c r="X1279" t="s">
        <v>5896</v>
      </c>
      <c r="Y1279">
        <v>0</v>
      </c>
      <c r="Z1279">
        <v>0</v>
      </c>
    </row>
    <row r="1280" spans="1:26">
      <c r="A1280" s="1">
        <v>1278</v>
      </c>
      <c r="B1280" t="str">
        <f>HYPERLINK("https://bugs.eclipse.org/bugs/show_bug.cgi?id=41721", "41721")</f>
        <v>41721</v>
      </c>
      <c r="C1280" t="s">
        <v>149</v>
      </c>
      <c r="D1280" t="s">
        <v>10</v>
      </c>
      <c r="E1280" t="s">
        <v>12</v>
      </c>
      <c r="F1280" t="s">
        <v>51</v>
      </c>
      <c r="G1280" t="s">
        <v>5897</v>
      </c>
      <c r="L1280" t="s">
        <v>5898</v>
      </c>
      <c r="N1280" t="s">
        <v>5898</v>
      </c>
      <c r="T1280" t="s">
        <v>5899</v>
      </c>
      <c r="U1280" t="s">
        <v>5900</v>
      </c>
      <c r="V1280" t="s">
        <v>5898</v>
      </c>
      <c r="W1280" t="s">
        <v>2668</v>
      </c>
      <c r="X1280" t="s">
        <v>5901</v>
      </c>
      <c r="Y1280">
        <v>1</v>
      </c>
      <c r="Z1280">
        <v>434</v>
      </c>
    </row>
    <row r="1281" spans="1:26">
      <c r="A1281" s="1">
        <v>1279</v>
      </c>
      <c r="B1281" t="str">
        <f>HYPERLINK("https://bugs.eclipse.org/bugs/show_bug.cgi?id=41734", "41734")</f>
        <v>41734</v>
      </c>
      <c r="C1281" t="s">
        <v>56</v>
      </c>
      <c r="D1281" t="s">
        <v>10</v>
      </c>
      <c r="E1281" t="s">
        <v>14</v>
      </c>
      <c r="F1281" t="s">
        <v>26</v>
      </c>
      <c r="L1281" t="s">
        <v>5902</v>
      </c>
      <c r="P1281" t="s">
        <v>5902</v>
      </c>
      <c r="T1281" t="s">
        <v>5903</v>
      </c>
      <c r="U1281" t="s">
        <v>5904</v>
      </c>
      <c r="V1281" t="s">
        <v>5902</v>
      </c>
      <c r="W1281" t="s">
        <v>49</v>
      </c>
      <c r="X1281" t="s">
        <v>5905</v>
      </c>
      <c r="Y1281">
        <v>0</v>
      </c>
      <c r="Z1281">
        <v>85.041666666666671</v>
      </c>
    </row>
    <row r="1282" spans="1:26">
      <c r="A1282" s="1">
        <v>1280</v>
      </c>
      <c r="B1282" t="str">
        <f>HYPERLINK("https://bugs.eclipse.org/bugs/show_bug.cgi?id=41786", "41786")</f>
        <v>41786</v>
      </c>
      <c r="C1282" t="s">
        <v>149</v>
      </c>
      <c r="D1282" t="s">
        <v>10</v>
      </c>
      <c r="E1282" t="s">
        <v>12</v>
      </c>
      <c r="F1282" t="s">
        <v>26</v>
      </c>
      <c r="L1282" t="s">
        <v>5906</v>
      </c>
      <c r="N1282" t="s">
        <v>5906</v>
      </c>
      <c r="T1282" t="s">
        <v>5907</v>
      </c>
      <c r="U1282" t="s">
        <v>5908</v>
      </c>
      <c r="V1282" t="s">
        <v>5909</v>
      </c>
      <c r="W1282" t="s">
        <v>86</v>
      </c>
      <c r="X1282" t="s">
        <v>5910</v>
      </c>
      <c r="Y1282">
        <v>0</v>
      </c>
      <c r="Z1282">
        <v>266</v>
      </c>
    </row>
    <row r="1283" spans="1:26">
      <c r="A1283" s="1">
        <v>1281</v>
      </c>
      <c r="B1283" t="str">
        <f>HYPERLINK("https://bugs.eclipse.org/bugs/show_bug.cgi?id=41823", "41823")</f>
        <v>41823</v>
      </c>
      <c r="C1283" t="s">
        <v>149</v>
      </c>
      <c r="D1283" t="s">
        <v>10</v>
      </c>
      <c r="E1283" t="s">
        <v>12</v>
      </c>
      <c r="F1283" t="s">
        <v>26</v>
      </c>
      <c r="G1283" t="s">
        <v>5911</v>
      </c>
      <c r="L1283" t="s">
        <v>5912</v>
      </c>
      <c r="N1283" t="s">
        <v>5912</v>
      </c>
      <c r="T1283" t="s">
        <v>5913</v>
      </c>
      <c r="U1283" t="s">
        <v>5914</v>
      </c>
      <c r="V1283" t="s">
        <v>5912</v>
      </c>
      <c r="W1283" t="s">
        <v>49</v>
      </c>
      <c r="X1283" t="s">
        <v>5915</v>
      </c>
      <c r="Y1283">
        <v>1</v>
      </c>
      <c r="Z1283">
        <v>281</v>
      </c>
    </row>
    <row r="1284" spans="1:26">
      <c r="A1284" s="1">
        <v>1282</v>
      </c>
      <c r="B1284" t="str">
        <f>HYPERLINK("https://bugs.eclipse.org/bugs/show_bug.cgi?id=41850", "41850")</f>
        <v>41850</v>
      </c>
      <c r="C1284" t="s">
        <v>149</v>
      </c>
      <c r="D1284" t="s">
        <v>10</v>
      </c>
      <c r="E1284" t="s">
        <v>12</v>
      </c>
      <c r="F1284" t="s">
        <v>26</v>
      </c>
      <c r="L1284" t="s">
        <v>5916</v>
      </c>
      <c r="N1284" t="s">
        <v>5916</v>
      </c>
      <c r="T1284" t="s">
        <v>5917</v>
      </c>
      <c r="U1284" t="s">
        <v>5918</v>
      </c>
      <c r="V1284" t="s">
        <v>5916</v>
      </c>
      <c r="W1284" t="s">
        <v>86</v>
      </c>
      <c r="X1284" t="s">
        <v>5919</v>
      </c>
      <c r="Y1284">
        <v>0</v>
      </c>
      <c r="Z1284">
        <v>249</v>
      </c>
    </row>
    <row r="1285" spans="1:26">
      <c r="A1285" s="1">
        <v>1283</v>
      </c>
      <c r="B1285" t="str">
        <f>HYPERLINK("https://bugs.eclipse.org/bugs/show_bug.cgi?id=41852", "41852")</f>
        <v>41852</v>
      </c>
      <c r="C1285" t="s">
        <v>149</v>
      </c>
      <c r="D1285" t="s">
        <v>10</v>
      </c>
      <c r="E1285" t="s">
        <v>12</v>
      </c>
      <c r="F1285" t="s">
        <v>26</v>
      </c>
      <c r="L1285" t="s">
        <v>5920</v>
      </c>
      <c r="N1285" t="s">
        <v>5920</v>
      </c>
      <c r="T1285" t="s">
        <v>5921</v>
      </c>
      <c r="U1285" t="s">
        <v>5922</v>
      </c>
      <c r="V1285" t="s">
        <v>5920</v>
      </c>
      <c r="W1285" t="s">
        <v>2668</v>
      </c>
      <c r="X1285" t="s">
        <v>5923</v>
      </c>
      <c r="Y1285">
        <v>0</v>
      </c>
      <c r="Z1285">
        <v>446.04166666666669</v>
      </c>
    </row>
    <row r="1286" spans="1:26">
      <c r="A1286" s="1">
        <v>1284</v>
      </c>
      <c r="B1286" t="str">
        <f>HYPERLINK("https://bugs.eclipse.org/bugs/show_bug.cgi?id=41903", "41903")</f>
        <v>41903</v>
      </c>
      <c r="C1286" t="s">
        <v>149</v>
      </c>
      <c r="D1286" t="s">
        <v>10</v>
      </c>
      <c r="E1286" t="s">
        <v>12</v>
      </c>
      <c r="F1286" t="s">
        <v>26</v>
      </c>
      <c r="G1286" t="s">
        <v>5924</v>
      </c>
      <c r="L1286" t="s">
        <v>5925</v>
      </c>
      <c r="N1286" t="s">
        <v>5925</v>
      </c>
      <c r="T1286" t="s">
        <v>5926</v>
      </c>
      <c r="U1286" t="s">
        <v>5927</v>
      </c>
      <c r="V1286" t="s">
        <v>5928</v>
      </c>
      <c r="W1286" t="s">
        <v>851</v>
      </c>
      <c r="X1286" t="s">
        <v>5929</v>
      </c>
      <c r="Y1286">
        <v>2</v>
      </c>
      <c r="Z1286">
        <v>319</v>
      </c>
    </row>
    <row r="1287" spans="1:26">
      <c r="A1287" s="1">
        <v>1285</v>
      </c>
      <c r="B1287" t="str">
        <f>HYPERLINK("https://bugs.eclipse.org/bugs/show_bug.cgi?id=41932", "41932")</f>
        <v>41932</v>
      </c>
      <c r="C1287" t="s">
        <v>149</v>
      </c>
      <c r="D1287" t="s">
        <v>10</v>
      </c>
      <c r="E1287" t="s">
        <v>12</v>
      </c>
      <c r="F1287" t="s">
        <v>26</v>
      </c>
      <c r="L1287" t="s">
        <v>5930</v>
      </c>
      <c r="N1287" t="s">
        <v>5930</v>
      </c>
      <c r="T1287" t="s">
        <v>5931</v>
      </c>
      <c r="U1287" t="s">
        <v>5932</v>
      </c>
      <c r="V1287" t="s">
        <v>5930</v>
      </c>
      <c r="W1287" t="s">
        <v>86</v>
      </c>
      <c r="X1287" t="s">
        <v>5933</v>
      </c>
      <c r="Y1287">
        <v>0</v>
      </c>
      <c r="Z1287">
        <v>7</v>
      </c>
    </row>
    <row r="1288" spans="1:26">
      <c r="A1288" s="1">
        <v>1286</v>
      </c>
      <c r="B1288" t="str">
        <f>HYPERLINK("https://bugs.eclipse.org/bugs/show_bug.cgi?id=41989", "41989")</f>
        <v>41989</v>
      </c>
      <c r="C1288" t="s">
        <v>56</v>
      </c>
      <c r="D1288" t="s">
        <v>10</v>
      </c>
      <c r="E1288" t="s">
        <v>14</v>
      </c>
      <c r="F1288" t="s">
        <v>26</v>
      </c>
      <c r="L1288" t="s">
        <v>5934</v>
      </c>
      <c r="P1288" t="s">
        <v>5934</v>
      </c>
      <c r="T1288" t="s">
        <v>5935</v>
      </c>
      <c r="U1288" t="s">
        <v>5936</v>
      </c>
      <c r="V1288" t="s">
        <v>5934</v>
      </c>
      <c r="W1288" t="s">
        <v>2668</v>
      </c>
      <c r="X1288" t="s">
        <v>5937</v>
      </c>
      <c r="Y1288">
        <v>15</v>
      </c>
      <c r="Z1288">
        <v>575.04166666666663</v>
      </c>
    </row>
    <row r="1289" spans="1:26">
      <c r="A1289" s="1">
        <v>1287</v>
      </c>
      <c r="B1289" t="str">
        <f>HYPERLINK("https://bugs.eclipse.org/bugs/show_bug.cgi?id=42054", "42054")</f>
        <v>42054</v>
      </c>
      <c r="C1289" t="s">
        <v>149</v>
      </c>
      <c r="D1289" t="s">
        <v>10</v>
      </c>
      <c r="E1289" t="s">
        <v>12</v>
      </c>
      <c r="F1289" t="s">
        <v>26</v>
      </c>
      <c r="G1289" t="s">
        <v>5938</v>
      </c>
      <c r="L1289" t="s">
        <v>5939</v>
      </c>
      <c r="N1289" t="s">
        <v>5939</v>
      </c>
      <c r="T1289" t="s">
        <v>5940</v>
      </c>
      <c r="U1289" t="s">
        <v>5941</v>
      </c>
      <c r="V1289" t="s">
        <v>5939</v>
      </c>
      <c r="W1289" t="s">
        <v>49</v>
      </c>
      <c r="X1289" t="s">
        <v>5942</v>
      </c>
      <c r="Y1289">
        <v>1</v>
      </c>
      <c r="Z1289">
        <v>118.0416666666667</v>
      </c>
    </row>
    <row r="1290" spans="1:26">
      <c r="A1290" s="1">
        <v>1288</v>
      </c>
      <c r="B1290" t="str">
        <f>HYPERLINK("https://bugs.eclipse.org/bugs/show_bug.cgi?id=42100", "42100")</f>
        <v>42100</v>
      </c>
      <c r="C1290" t="s">
        <v>35</v>
      </c>
      <c r="D1290" t="s">
        <v>11</v>
      </c>
      <c r="E1290" t="s">
        <v>12</v>
      </c>
      <c r="F1290" t="s">
        <v>26</v>
      </c>
      <c r="L1290" t="s">
        <v>5943</v>
      </c>
      <c r="M1290" t="s">
        <v>5944</v>
      </c>
      <c r="N1290" t="s">
        <v>5943</v>
      </c>
      <c r="T1290" t="s">
        <v>5945</v>
      </c>
      <c r="U1290" t="s">
        <v>5946</v>
      </c>
      <c r="V1290" t="s">
        <v>5944</v>
      </c>
      <c r="W1290" t="s">
        <v>1161</v>
      </c>
      <c r="X1290" t="s">
        <v>5947</v>
      </c>
      <c r="Y1290">
        <v>0</v>
      </c>
      <c r="Z1290">
        <v>42</v>
      </c>
    </row>
    <row r="1291" spans="1:26">
      <c r="A1291" s="1">
        <v>1289</v>
      </c>
      <c r="B1291" t="str">
        <f>HYPERLINK("https://bugs.eclipse.org/bugs/show_bug.cgi?id=42133", "42133")</f>
        <v>42133</v>
      </c>
      <c r="C1291" t="s">
        <v>5948</v>
      </c>
      <c r="D1291" t="s">
        <v>10</v>
      </c>
      <c r="E1291" t="s">
        <v>15</v>
      </c>
      <c r="F1291" t="s">
        <v>26</v>
      </c>
      <c r="L1291" t="s">
        <v>5949</v>
      </c>
      <c r="Q1291" t="s">
        <v>5949</v>
      </c>
      <c r="T1291" t="s">
        <v>5950</v>
      </c>
      <c r="U1291" t="s">
        <v>5949</v>
      </c>
      <c r="V1291" t="s">
        <v>5949</v>
      </c>
      <c r="W1291" t="s">
        <v>86</v>
      </c>
      <c r="X1291" t="s">
        <v>5951</v>
      </c>
      <c r="Y1291">
        <v>0</v>
      </c>
      <c r="Z1291">
        <v>0</v>
      </c>
    </row>
    <row r="1292" spans="1:26">
      <c r="A1292" s="1">
        <v>1290</v>
      </c>
      <c r="B1292" t="str">
        <f>HYPERLINK("https://bugs.eclipse.org/bugs/show_bug.cgi?id=42145", "42145")</f>
        <v>42145</v>
      </c>
      <c r="C1292" t="s">
        <v>149</v>
      </c>
      <c r="D1292" t="s">
        <v>10</v>
      </c>
      <c r="E1292" t="s">
        <v>12</v>
      </c>
      <c r="F1292" t="s">
        <v>26</v>
      </c>
      <c r="L1292" t="s">
        <v>5952</v>
      </c>
      <c r="N1292" t="s">
        <v>5952</v>
      </c>
      <c r="T1292" t="s">
        <v>5953</v>
      </c>
      <c r="U1292" t="s">
        <v>5954</v>
      </c>
      <c r="V1292" t="s">
        <v>5952</v>
      </c>
      <c r="W1292" t="s">
        <v>86</v>
      </c>
      <c r="X1292" t="s">
        <v>5955</v>
      </c>
      <c r="Y1292">
        <v>0</v>
      </c>
      <c r="Z1292">
        <v>2</v>
      </c>
    </row>
    <row r="1293" spans="1:26">
      <c r="A1293" s="1">
        <v>1291</v>
      </c>
      <c r="B1293" t="str">
        <f>HYPERLINK("https://bugs.eclipse.org/bugs/show_bug.cgi?id=42157", "42157")</f>
        <v>42157</v>
      </c>
      <c r="C1293" t="s">
        <v>149</v>
      </c>
      <c r="D1293" t="s">
        <v>10</v>
      </c>
      <c r="E1293" t="s">
        <v>12</v>
      </c>
      <c r="F1293" t="s">
        <v>26</v>
      </c>
      <c r="L1293" t="s">
        <v>5956</v>
      </c>
      <c r="N1293" t="s">
        <v>5956</v>
      </c>
      <c r="T1293" t="s">
        <v>5957</v>
      </c>
      <c r="U1293" t="s">
        <v>5958</v>
      </c>
      <c r="V1293" t="s">
        <v>5956</v>
      </c>
      <c r="W1293" t="s">
        <v>86</v>
      </c>
      <c r="X1293" t="s">
        <v>5959</v>
      </c>
      <c r="Y1293">
        <v>5</v>
      </c>
      <c r="Z1293">
        <v>385</v>
      </c>
    </row>
    <row r="1294" spans="1:26">
      <c r="A1294" s="1">
        <v>1292</v>
      </c>
      <c r="B1294" t="str">
        <f>HYPERLINK("https://bugs.eclipse.org/bugs/show_bug.cgi?id=42161", "42161")</f>
        <v>42161</v>
      </c>
      <c r="C1294" t="s">
        <v>140</v>
      </c>
      <c r="D1294" t="s">
        <v>10</v>
      </c>
      <c r="E1294" t="s">
        <v>16</v>
      </c>
      <c r="F1294" t="s">
        <v>26</v>
      </c>
      <c r="L1294" t="s">
        <v>5960</v>
      </c>
      <c r="R1294" t="s">
        <v>5960</v>
      </c>
      <c r="T1294" t="s">
        <v>5961</v>
      </c>
      <c r="U1294" t="s">
        <v>5962</v>
      </c>
      <c r="V1294" t="s">
        <v>5960</v>
      </c>
      <c r="W1294" t="s">
        <v>86</v>
      </c>
      <c r="X1294" t="s">
        <v>5963</v>
      </c>
      <c r="Y1294">
        <v>42</v>
      </c>
      <c r="Z1294">
        <v>285</v>
      </c>
    </row>
    <row r="1295" spans="1:26">
      <c r="A1295" s="1">
        <v>1293</v>
      </c>
      <c r="B1295" t="str">
        <f>HYPERLINK("https://bugs.eclipse.org/bugs/show_bug.cgi?id=42248", "42248")</f>
        <v>42248</v>
      </c>
      <c r="C1295" t="s">
        <v>5964</v>
      </c>
      <c r="D1295" t="s">
        <v>10</v>
      </c>
      <c r="E1295" t="s">
        <v>15</v>
      </c>
      <c r="F1295" t="s">
        <v>26</v>
      </c>
      <c r="L1295" t="s">
        <v>5965</v>
      </c>
      <c r="Q1295" t="s">
        <v>5965</v>
      </c>
      <c r="T1295" t="s">
        <v>5966</v>
      </c>
      <c r="U1295" t="s">
        <v>5967</v>
      </c>
      <c r="V1295" t="s">
        <v>5965</v>
      </c>
      <c r="W1295" t="s">
        <v>86</v>
      </c>
      <c r="X1295" t="s">
        <v>5968</v>
      </c>
      <c r="Y1295">
        <v>38</v>
      </c>
      <c r="Z1295">
        <v>206.04166666666671</v>
      </c>
    </row>
    <row r="1296" spans="1:26">
      <c r="A1296" s="1">
        <v>1294</v>
      </c>
      <c r="B1296" t="str">
        <f>HYPERLINK("https://bugs.eclipse.org/bugs/show_bug.cgi?id=42307", "42307")</f>
        <v>42307</v>
      </c>
      <c r="C1296" t="s">
        <v>56</v>
      </c>
      <c r="D1296" t="s">
        <v>10</v>
      </c>
      <c r="E1296" t="s">
        <v>14</v>
      </c>
      <c r="F1296" t="s">
        <v>26</v>
      </c>
      <c r="L1296" t="s">
        <v>5969</v>
      </c>
      <c r="P1296" t="s">
        <v>5970</v>
      </c>
      <c r="T1296" t="s">
        <v>5971</v>
      </c>
      <c r="U1296" t="s">
        <v>5972</v>
      </c>
      <c r="V1296" t="s">
        <v>5970</v>
      </c>
      <c r="W1296" t="s">
        <v>80</v>
      </c>
      <c r="X1296" t="s">
        <v>5973</v>
      </c>
      <c r="Y1296">
        <v>1</v>
      </c>
      <c r="Z1296">
        <v>2191</v>
      </c>
    </row>
    <row r="1297" spans="1:26">
      <c r="A1297" s="1">
        <v>1295</v>
      </c>
      <c r="B1297" t="str">
        <f>HYPERLINK("https://bugs.eclipse.org/bugs/show_bug.cgi?id=42308", "42308")</f>
        <v>42308</v>
      </c>
      <c r="C1297" t="s">
        <v>149</v>
      </c>
      <c r="D1297" t="s">
        <v>10</v>
      </c>
      <c r="E1297" t="s">
        <v>12</v>
      </c>
      <c r="F1297" t="s">
        <v>26</v>
      </c>
      <c r="L1297" t="s">
        <v>5974</v>
      </c>
      <c r="N1297" t="s">
        <v>5974</v>
      </c>
      <c r="R1297" t="s">
        <v>5975</v>
      </c>
      <c r="S1297" t="s">
        <v>5976</v>
      </c>
      <c r="T1297" t="s">
        <v>5977</v>
      </c>
      <c r="U1297" t="s">
        <v>5975</v>
      </c>
      <c r="V1297" t="s">
        <v>5978</v>
      </c>
      <c r="W1297" t="s">
        <v>851</v>
      </c>
      <c r="X1297" t="s">
        <v>5979</v>
      </c>
      <c r="Y1297">
        <v>1</v>
      </c>
      <c r="Z1297">
        <v>37</v>
      </c>
    </row>
    <row r="1298" spans="1:26">
      <c r="A1298" s="1">
        <v>1296</v>
      </c>
      <c r="B1298" t="str">
        <f>HYPERLINK("https://bugs.eclipse.org/bugs/show_bug.cgi?id=42309", "42309")</f>
        <v>42309</v>
      </c>
      <c r="C1298" t="s">
        <v>56</v>
      </c>
      <c r="D1298" t="s">
        <v>10</v>
      </c>
      <c r="E1298" t="s">
        <v>14</v>
      </c>
      <c r="F1298" t="s">
        <v>26</v>
      </c>
      <c r="L1298" t="s">
        <v>5980</v>
      </c>
      <c r="P1298" t="s">
        <v>5980</v>
      </c>
      <c r="T1298" t="s">
        <v>5981</v>
      </c>
      <c r="U1298" t="s">
        <v>5982</v>
      </c>
      <c r="V1298" t="s">
        <v>5980</v>
      </c>
      <c r="W1298" t="s">
        <v>86</v>
      </c>
      <c r="X1298" t="s">
        <v>5983</v>
      </c>
      <c r="Y1298">
        <v>2</v>
      </c>
      <c r="Z1298">
        <v>2</v>
      </c>
    </row>
    <row r="1299" spans="1:26">
      <c r="A1299" s="1">
        <v>1297</v>
      </c>
      <c r="B1299" t="str">
        <f>HYPERLINK("https://bugs.eclipse.org/bugs/show_bug.cgi?id=42335", "42335")</f>
        <v>42335</v>
      </c>
      <c r="C1299" t="s">
        <v>149</v>
      </c>
      <c r="D1299" t="s">
        <v>10</v>
      </c>
      <c r="E1299" t="s">
        <v>12</v>
      </c>
      <c r="F1299" t="s">
        <v>26</v>
      </c>
      <c r="G1299" t="s">
        <v>5984</v>
      </c>
      <c r="L1299" t="s">
        <v>5985</v>
      </c>
      <c r="N1299" t="s">
        <v>5985</v>
      </c>
      <c r="T1299" t="s">
        <v>5986</v>
      </c>
      <c r="U1299" t="s">
        <v>5987</v>
      </c>
      <c r="V1299" t="s">
        <v>5985</v>
      </c>
      <c r="W1299" t="s">
        <v>851</v>
      </c>
      <c r="X1299" t="s">
        <v>5988</v>
      </c>
      <c r="Y1299">
        <v>0</v>
      </c>
      <c r="Z1299">
        <v>15</v>
      </c>
    </row>
    <row r="1300" spans="1:26">
      <c r="A1300" s="1">
        <v>1298</v>
      </c>
      <c r="B1300" t="str">
        <f>HYPERLINK("https://bugs.eclipse.org/bugs/show_bug.cgi?id=42383", "42383")</f>
        <v>42383</v>
      </c>
      <c r="C1300" t="s">
        <v>149</v>
      </c>
      <c r="D1300" t="s">
        <v>10</v>
      </c>
      <c r="E1300" t="s">
        <v>12</v>
      </c>
      <c r="F1300" t="s">
        <v>26</v>
      </c>
      <c r="L1300" t="s">
        <v>5989</v>
      </c>
      <c r="N1300" t="s">
        <v>5989</v>
      </c>
      <c r="T1300" t="s">
        <v>5990</v>
      </c>
      <c r="U1300" t="s">
        <v>5989</v>
      </c>
      <c r="V1300" t="s">
        <v>5991</v>
      </c>
      <c r="W1300" t="s">
        <v>851</v>
      </c>
      <c r="X1300" t="s">
        <v>5992</v>
      </c>
      <c r="Y1300">
        <v>1</v>
      </c>
      <c r="Z1300">
        <v>35</v>
      </c>
    </row>
    <row r="1301" spans="1:26">
      <c r="A1301" s="1">
        <v>1299</v>
      </c>
      <c r="B1301" t="str">
        <f>HYPERLINK("https://bugs.eclipse.org/bugs/show_bug.cgi?id=42439", "42439")</f>
        <v>42439</v>
      </c>
      <c r="C1301" t="s">
        <v>35</v>
      </c>
      <c r="D1301" t="s">
        <v>11</v>
      </c>
      <c r="E1301" t="s">
        <v>12</v>
      </c>
      <c r="F1301" t="s">
        <v>26</v>
      </c>
      <c r="G1301" t="s">
        <v>5993</v>
      </c>
      <c r="L1301" t="s">
        <v>5994</v>
      </c>
      <c r="M1301" t="s">
        <v>5995</v>
      </c>
      <c r="N1301" t="s">
        <v>5994</v>
      </c>
      <c r="T1301" t="s">
        <v>5996</v>
      </c>
      <c r="U1301" t="s">
        <v>5997</v>
      </c>
      <c r="V1301" t="s">
        <v>5995</v>
      </c>
      <c r="W1301" t="s">
        <v>86</v>
      </c>
      <c r="X1301" t="s">
        <v>5998</v>
      </c>
      <c r="Y1301">
        <v>54.041666666666657</v>
      </c>
      <c r="Z1301">
        <v>790.04166666666663</v>
      </c>
    </row>
    <row r="1302" spans="1:26">
      <c r="A1302" s="1">
        <v>1300</v>
      </c>
      <c r="B1302" t="str">
        <f>HYPERLINK("https://bugs.eclipse.org/bugs/show_bug.cgi?id=42440", "42440")</f>
        <v>42440</v>
      </c>
      <c r="C1302" t="s">
        <v>149</v>
      </c>
      <c r="D1302" t="s">
        <v>10</v>
      </c>
      <c r="E1302" t="s">
        <v>12</v>
      </c>
      <c r="F1302" t="s">
        <v>26</v>
      </c>
      <c r="L1302" t="s">
        <v>5999</v>
      </c>
      <c r="N1302" t="s">
        <v>5999</v>
      </c>
      <c r="T1302" t="s">
        <v>6000</v>
      </c>
      <c r="U1302" t="s">
        <v>6001</v>
      </c>
      <c r="V1302" t="s">
        <v>5999</v>
      </c>
      <c r="W1302" t="s">
        <v>2668</v>
      </c>
      <c r="X1302" t="s">
        <v>6002</v>
      </c>
      <c r="Y1302">
        <v>0</v>
      </c>
      <c r="Z1302">
        <v>567.04166666666663</v>
      </c>
    </row>
    <row r="1303" spans="1:26">
      <c r="A1303" s="1">
        <v>1301</v>
      </c>
      <c r="B1303" t="str">
        <f>HYPERLINK("https://bugs.eclipse.org/bugs/show_bug.cgi?id=42519", "42519")</f>
        <v>42519</v>
      </c>
      <c r="C1303" t="s">
        <v>4692</v>
      </c>
      <c r="D1303" t="s">
        <v>4692</v>
      </c>
      <c r="F1303" t="s">
        <v>26</v>
      </c>
      <c r="T1303" t="s">
        <v>6003</v>
      </c>
      <c r="U1303" t="s">
        <v>6004</v>
      </c>
      <c r="V1303" t="s">
        <v>6005</v>
      </c>
      <c r="W1303" t="s">
        <v>60</v>
      </c>
      <c r="X1303" t="s">
        <v>6006</v>
      </c>
      <c r="Y1303">
        <v>15</v>
      </c>
    </row>
    <row r="1304" spans="1:26">
      <c r="A1304" s="1">
        <v>1302</v>
      </c>
      <c r="B1304" t="str">
        <f>HYPERLINK("https://bugs.eclipse.org/bugs/show_bug.cgi?id=42585", "42585")</f>
        <v>42585</v>
      </c>
      <c r="C1304" t="s">
        <v>149</v>
      </c>
      <c r="D1304" t="s">
        <v>10</v>
      </c>
      <c r="E1304" t="s">
        <v>12</v>
      </c>
      <c r="F1304" t="s">
        <v>26</v>
      </c>
      <c r="L1304" t="s">
        <v>6007</v>
      </c>
      <c r="N1304" t="s">
        <v>6007</v>
      </c>
      <c r="T1304" t="s">
        <v>6008</v>
      </c>
      <c r="U1304" t="s">
        <v>6009</v>
      </c>
      <c r="V1304" t="s">
        <v>6007</v>
      </c>
      <c r="W1304" t="s">
        <v>86</v>
      </c>
      <c r="X1304" t="s">
        <v>6010</v>
      </c>
      <c r="Y1304">
        <v>0</v>
      </c>
      <c r="Z1304">
        <v>27</v>
      </c>
    </row>
    <row r="1305" spans="1:26">
      <c r="A1305" s="1">
        <v>1303</v>
      </c>
      <c r="B1305" t="str">
        <f>HYPERLINK("https://bugs.eclipse.org/bugs/show_bug.cgi?id=42617", "42617")</f>
        <v>42617</v>
      </c>
      <c r="C1305" t="s">
        <v>5739</v>
      </c>
      <c r="D1305" t="s">
        <v>10</v>
      </c>
      <c r="E1305" t="s">
        <v>15</v>
      </c>
      <c r="F1305" t="s">
        <v>26</v>
      </c>
      <c r="L1305" t="s">
        <v>6011</v>
      </c>
      <c r="Q1305" t="s">
        <v>6011</v>
      </c>
      <c r="T1305" t="s">
        <v>6012</v>
      </c>
      <c r="U1305" t="s">
        <v>6013</v>
      </c>
      <c r="V1305" t="s">
        <v>6011</v>
      </c>
      <c r="W1305" t="s">
        <v>86</v>
      </c>
      <c r="X1305" t="s">
        <v>6014</v>
      </c>
      <c r="Y1305">
        <v>0</v>
      </c>
      <c r="Z1305">
        <v>0</v>
      </c>
    </row>
    <row r="1306" spans="1:26">
      <c r="A1306" s="1">
        <v>1304</v>
      </c>
      <c r="B1306" t="str">
        <f>HYPERLINK("https://bugs.eclipse.org/bugs/show_bug.cgi?id=42672", "42672")</f>
        <v>42672</v>
      </c>
      <c r="C1306" t="s">
        <v>149</v>
      </c>
      <c r="D1306" t="s">
        <v>10</v>
      </c>
      <c r="E1306" t="s">
        <v>12</v>
      </c>
      <c r="F1306" t="s">
        <v>26</v>
      </c>
      <c r="L1306" t="s">
        <v>6015</v>
      </c>
      <c r="N1306" t="s">
        <v>6015</v>
      </c>
      <c r="T1306" t="s">
        <v>6016</v>
      </c>
      <c r="U1306" t="s">
        <v>6017</v>
      </c>
      <c r="V1306" t="s">
        <v>6015</v>
      </c>
      <c r="W1306" t="s">
        <v>86</v>
      </c>
      <c r="X1306" t="s">
        <v>6018</v>
      </c>
      <c r="Y1306">
        <v>0</v>
      </c>
      <c r="Z1306">
        <v>243</v>
      </c>
    </row>
    <row r="1307" spans="1:26">
      <c r="A1307" s="1">
        <v>1305</v>
      </c>
      <c r="B1307" t="str">
        <f>HYPERLINK("https://bugs.eclipse.org/bugs/show_bug.cgi?id=42673", "42673")</f>
        <v>42673</v>
      </c>
      <c r="C1307" t="s">
        <v>6019</v>
      </c>
      <c r="D1307" t="s">
        <v>10</v>
      </c>
      <c r="E1307" t="s">
        <v>15</v>
      </c>
      <c r="F1307" t="s">
        <v>26</v>
      </c>
      <c r="L1307" t="s">
        <v>6020</v>
      </c>
      <c r="Q1307" t="s">
        <v>6020</v>
      </c>
      <c r="T1307" t="s">
        <v>6021</v>
      </c>
      <c r="U1307" t="s">
        <v>6022</v>
      </c>
      <c r="V1307" t="s">
        <v>6020</v>
      </c>
      <c r="W1307" t="s">
        <v>851</v>
      </c>
      <c r="X1307" t="s">
        <v>6023</v>
      </c>
      <c r="Y1307">
        <v>1</v>
      </c>
      <c r="Z1307">
        <v>1</v>
      </c>
    </row>
    <row r="1308" spans="1:26">
      <c r="A1308" s="1">
        <v>1306</v>
      </c>
      <c r="B1308" t="str">
        <f>HYPERLINK("https://bugs.eclipse.org/bugs/show_bug.cgi?id=42685", "42685")</f>
        <v>42685</v>
      </c>
      <c r="C1308" t="s">
        <v>140</v>
      </c>
      <c r="D1308" t="s">
        <v>10</v>
      </c>
      <c r="E1308" t="s">
        <v>16</v>
      </c>
      <c r="F1308" t="s">
        <v>26</v>
      </c>
      <c r="L1308" t="s">
        <v>6024</v>
      </c>
      <c r="R1308" t="s">
        <v>6024</v>
      </c>
      <c r="T1308" t="s">
        <v>6025</v>
      </c>
      <c r="U1308" t="s">
        <v>6026</v>
      </c>
      <c r="V1308" t="s">
        <v>6024</v>
      </c>
      <c r="W1308" t="s">
        <v>851</v>
      </c>
      <c r="X1308" t="s">
        <v>6027</v>
      </c>
      <c r="Y1308">
        <v>0</v>
      </c>
      <c r="Z1308">
        <v>0</v>
      </c>
    </row>
    <row r="1309" spans="1:26">
      <c r="A1309" s="1">
        <v>1307</v>
      </c>
      <c r="B1309" t="str">
        <f>HYPERLINK("https://bugs.eclipse.org/bugs/show_bug.cgi?id=42694", "42694")</f>
        <v>42694</v>
      </c>
      <c r="C1309" t="s">
        <v>995</v>
      </c>
      <c r="D1309" t="s">
        <v>192</v>
      </c>
      <c r="E1309" t="s">
        <v>12</v>
      </c>
      <c r="F1309" t="s">
        <v>26</v>
      </c>
      <c r="L1309" t="s">
        <v>6028</v>
      </c>
      <c r="M1309" t="s">
        <v>6029</v>
      </c>
      <c r="N1309" t="s">
        <v>6028</v>
      </c>
      <c r="S1309" t="s">
        <v>6030</v>
      </c>
      <c r="T1309" t="s">
        <v>6031</v>
      </c>
      <c r="U1309" t="s">
        <v>6032</v>
      </c>
      <c r="V1309" t="s">
        <v>6033</v>
      </c>
      <c r="W1309" t="s">
        <v>1000</v>
      </c>
      <c r="X1309" t="s">
        <v>6034</v>
      </c>
      <c r="Y1309">
        <v>1</v>
      </c>
      <c r="Z1309">
        <v>375</v>
      </c>
    </row>
    <row r="1310" spans="1:26">
      <c r="A1310" s="1">
        <v>1308</v>
      </c>
      <c r="B1310" t="str">
        <f>HYPERLINK("https://bugs.eclipse.org/bugs/show_bug.cgi?id=42700", "42700")</f>
        <v>42700</v>
      </c>
      <c r="C1310" t="s">
        <v>149</v>
      </c>
      <c r="D1310" t="s">
        <v>10</v>
      </c>
      <c r="E1310" t="s">
        <v>12</v>
      </c>
      <c r="F1310" t="s">
        <v>26</v>
      </c>
      <c r="L1310" t="s">
        <v>6035</v>
      </c>
      <c r="N1310" t="s">
        <v>6035</v>
      </c>
      <c r="T1310" t="s">
        <v>6036</v>
      </c>
      <c r="U1310" t="s">
        <v>6037</v>
      </c>
      <c r="V1310" t="s">
        <v>6035</v>
      </c>
      <c r="W1310" t="s">
        <v>86</v>
      </c>
      <c r="X1310" t="s">
        <v>6038</v>
      </c>
      <c r="Y1310">
        <v>0</v>
      </c>
      <c r="Z1310">
        <v>2</v>
      </c>
    </row>
    <row r="1311" spans="1:26">
      <c r="A1311" s="1">
        <v>1309</v>
      </c>
      <c r="B1311" t="str">
        <f>HYPERLINK("https://bugs.eclipse.org/bugs/show_bug.cgi?id=42753", "42753")</f>
        <v>42753</v>
      </c>
      <c r="C1311" t="s">
        <v>149</v>
      </c>
      <c r="D1311" t="s">
        <v>10</v>
      </c>
      <c r="E1311" t="s">
        <v>12</v>
      </c>
      <c r="F1311" t="s">
        <v>26</v>
      </c>
      <c r="L1311" t="s">
        <v>6039</v>
      </c>
      <c r="N1311" t="s">
        <v>6039</v>
      </c>
      <c r="T1311" t="s">
        <v>6040</v>
      </c>
      <c r="U1311" t="s">
        <v>6041</v>
      </c>
      <c r="V1311" t="s">
        <v>6039</v>
      </c>
      <c r="W1311" t="s">
        <v>86</v>
      </c>
      <c r="X1311" t="s">
        <v>6042</v>
      </c>
      <c r="Y1311">
        <v>0</v>
      </c>
      <c r="Z1311">
        <v>24</v>
      </c>
    </row>
    <row r="1312" spans="1:26">
      <c r="A1312" s="1">
        <v>1310</v>
      </c>
      <c r="B1312" t="str">
        <f>HYPERLINK("https://bugs.eclipse.org/bugs/show_bug.cgi?id=42770", "42770")</f>
        <v>42770</v>
      </c>
      <c r="C1312" t="s">
        <v>35</v>
      </c>
      <c r="D1312" t="s">
        <v>11</v>
      </c>
      <c r="E1312" t="s">
        <v>12</v>
      </c>
      <c r="F1312" t="s">
        <v>26</v>
      </c>
      <c r="L1312" t="s">
        <v>6043</v>
      </c>
      <c r="M1312" t="s">
        <v>6044</v>
      </c>
      <c r="N1312" t="s">
        <v>6043</v>
      </c>
      <c r="T1312" t="s">
        <v>6045</v>
      </c>
      <c r="U1312" t="s">
        <v>6046</v>
      </c>
      <c r="V1312" t="s">
        <v>6044</v>
      </c>
      <c r="W1312" t="s">
        <v>143</v>
      </c>
      <c r="X1312" t="s">
        <v>6047</v>
      </c>
      <c r="Y1312">
        <v>0</v>
      </c>
      <c r="Z1312">
        <v>29</v>
      </c>
    </row>
    <row r="1313" spans="1:26">
      <c r="A1313" s="1">
        <v>1311</v>
      </c>
      <c r="B1313" t="str">
        <f>HYPERLINK("https://bugs.eclipse.org/bugs/show_bug.cgi?id=42776", "42776")</f>
        <v>42776</v>
      </c>
      <c r="C1313" t="s">
        <v>56</v>
      </c>
      <c r="D1313" t="s">
        <v>10</v>
      </c>
      <c r="E1313" t="s">
        <v>14</v>
      </c>
      <c r="F1313" t="s">
        <v>26</v>
      </c>
      <c r="L1313" t="s">
        <v>6048</v>
      </c>
      <c r="P1313" t="s">
        <v>6048</v>
      </c>
      <c r="T1313" t="s">
        <v>6049</v>
      </c>
      <c r="U1313" t="s">
        <v>6048</v>
      </c>
      <c r="V1313" t="s">
        <v>6048</v>
      </c>
      <c r="W1313" t="s">
        <v>86</v>
      </c>
      <c r="X1313" t="s">
        <v>6050</v>
      </c>
      <c r="Y1313">
        <v>49.041666666666657</v>
      </c>
      <c r="Z1313">
        <v>49.041666666666657</v>
      </c>
    </row>
    <row r="1314" spans="1:26">
      <c r="A1314" s="1">
        <v>1312</v>
      </c>
      <c r="B1314" t="str">
        <f>HYPERLINK("https://bugs.eclipse.org/bugs/show_bug.cgi?id=42777", "42777")</f>
        <v>42777</v>
      </c>
      <c r="C1314" t="s">
        <v>149</v>
      </c>
      <c r="D1314" t="s">
        <v>10</v>
      </c>
      <c r="E1314" t="s">
        <v>12</v>
      </c>
      <c r="F1314" t="s">
        <v>26</v>
      </c>
      <c r="L1314" t="s">
        <v>6051</v>
      </c>
      <c r="N1314" t="s">
        <v>6051</v>
      </c>
      <c r="T1314" t="s">
        <v>6052</v>
      </c>
      <c r="U1314" t="s">
        <v>6053</v>
      </c>
      <c r="V1314" t="s">
        <v>6051</v>
      </c>
      <c r="W1314" t="s">
        <v>86</v>
      </c>
      <c r="X1314" t="s">
        <v>6054</v>
      </c>
      <c r="Y1314">
        <v>0</v>
      </c>
      <c r="Z1314">
        <v>471.04166666666669</v>
      </c>
    </row>
    <row r="1315" spans="1:26">
      <c r="A1315" s="1">
        <v>1313</v>
      </c>
      <c r="B1315" t="str">
        <f>HYPERLINK("https://bugs.eclipse.org/bugs/show_bug.cgi?id=42827", "42827")</f>
        <v>42827</v>
      </c>
      <c r="C1315" t="s">
        <v>88</v>
      </c>
      <c r="D1315" t="s">
        <v>10</v>
      </c>
      <c r="E1315" t="s">
        <v>13</v>
      </c>
      <c r="F1315" t="s">
        <v>26</v>
      </c>
      <c r="L1315" t="s">
        <v>6055</v>
      </c>
      <c r="O1315" t="s">
        <v>6055</v>
      </c>
      <c r="T1315" t="s">
        <v>6056</v>
      </c>
      <c r="U1315" t="s">
        <v>6057</v>
      </c>
      <c r="V1315" t="s">
        <v>6055</v>
      </c>
      <c r="W1315" t="s">
        <v>2598</v>
      </c>
      <c r="X1315" t="s">
        <v>6058</v>
      </c>
      <c r="Y1315">
        <v>0</v>
      </c>
      <c r="Z1315">
        <v>6</v>
      </c>
    </row>
    <row r="1316" spans="1:26">
      <c r="A1316" s="1">
        <v>1314</v>
      </c>
      <c r="B1316" t="str">
        <f>HYPERLINK("https://bugs.eclipse.org/bugs/show_bug.cgi?id=42887", "42887")</f>
        <v>42887</v>
      </c>
      <c r="C1316" t="s">
        <v>149</v>
      </c>
      <c r="D1316" t="s">
        <v>10</v>
      </c>
      <c r="E1316" t="s">
        <v>12</v>
      </c>
      <c r="F1316" t="s">
        <v>26</v>
      </c>
      <c r="L1316" t="s">
        <v>6059</v>
      </c>
      <c r="N1316" t="s">
        <v>6059</v>
      </c>
      <c r="T1316" t="s">
        <v>6060</v>
      </c>
      <c r="U1316" t="s">
        <v>6061</v>
      </c>
      <c r="V1316" t="s">
        <v>6059</v>
      </c>
      <c r="W1316" t="s">
        <v>851</v>
      </c>
      <c r="X1316" t="s">
        <v>6062</v>
      </c>
      <c r="Y1316">
        <v>47.041666666666657</v>
      </c>
      <c r="Z1316">
        <v>245</v>
      </c>
    </row>
    <row r="1317" spans="1:26">
      <c r="A1317" s="1">
        <v>1315</v>
      </c>
      <c r="B1317" t="str">
        <f>HYPERLINK("https://bugs.eclipse.org/bugs/show_bug.cgi?id=42935", "42935")</f>
        <v>42935</v>
      </c>
      <c r="C1317" t="s">
        <v>4990</v>
      </c>
      <c r="D1317" t="s">
        <v>10</v>
      </c>
      <c r="E1317" t="s">
        <v>15</v>
      </c>
      <c r="F1317" t="s">
        <v>26</v>
      </c>
      <c r="L1317" t="s">
        <v>4988</v>
      </c>
      <c r="Q1317" t="s">
        <v>4988</v>
      </c>
      <c r="T1317" t="s">
        <v>6063</v>
      </c>
      <c r="U1317" t="s">
        <v>6064</v>
      </c>
      <c r="V1317" t="s">
        <v>4988</v>
      </c>
      <c r="W1317" t="s">
        <v>86</v>
      </c>
      <c r="X1317" t="s">
        <v>6065</v>
      </c>
      <c r="Y1317">
        <v>0</v>
      </c>
      <c r="Z1317">
        <v>0</v>
      </c>
    </row>
    <row r="1318" spans="1:26">
      <c r="A1318" s="1">
        <v>1316</v>
      </c>
      <c r="B1318" t="str">
        <f>HYPERLINK("https://bugs.eclipse.org/bugs/show_bug.cgi?id=42958", "42958")</f>
        <v>42958</v>
      </c>
      <c r="C1318" t="s">
        <v>88</v>
      </c>
      <c r="D1318" t="s">
        <v>10</v>
      </c>
      <c r="E1318" t="s">
        <v>13</v>
      </c>
      <c r="F1318" t="s">
        <v>26</v>
      </c>
      <c r="L1318" t="s">
        <v>6066</v>
      </c>
      <c r="O1318" t="s">
        <v>6067</v>
      </c>
      <c r="T1318" t="s">
        <v>6068</v>
      </c>
      <c r="U1318" t="s">
        <v>6069</v>
      </c>
      <c r="V1318" t="s">
        <v>6067</v>
      </c>
      <c r="W1318" t="s">
        <v>75</v>
      </c>
      <c r="X1318" t="s">
        <v>6070</v>
      </c>
      <c r="Y1318">
        <v>0</v>
      </c>
      <c r="Z1318">
        <v>2180</v>
      </c>
    </row>
    <row r="1319" spans="1:26">
      <c r="A1319" s="1">
        <v>1317</v>
      </c>
      <c r="B1319" t="str">
        <f>HYPERLINK("https://bugs.eclipse.org/bugs/show_bug.cgi?id=42997", "42997")</f>
        <v>42997</v>
      </c>
      <c r="C1319" t="s">
        <v>6071</v>
      </c>
      <c r="D1319" t="s">
        <v>11</v>
      </c>
      <c r="E1319" t="s">
        <v>15</v>
      </c>
      <c r="F1319" t="s">
        <v>26</v>
      </c>
      <c r="L1319" t="s">
        <v>6072</v>
      </c>
      <c r="M1319" t="s">
        <v>6073</v>
      </c>
      <c r="Q1319" t="s">
        <v>6072</v>
      </c>
      <c r="T1319" t="s">
        <v>6074</v>
      </c>
      <c r="U1319" t="s">
        <v>6075</v>
      </c>
      <c r="V1319" t="s">
        <v>6073</v>
      </c>
      <c r="W1319" t="s">
        <v>3492</v>
      </c>
      <c r="X1319" t="s">
        <v>6076</v>
      </c>
      <c r="Y1319">
        <v>0</v>
      </c>
      <c r="Z1319">
        <v>280</v>
      </c>
    </row>
    <row r="1320" spans="1:26">
      <c r="A1320" s="1">
        <v>1318</v>
      </c>
      <c r="B1320" t="str">
        <f>HYPERLINK("https://bugs.eclipse.org/bugs/show_bug.cgi?id=42999", "42999")</f>
        <v>42999</v>
      </c>
      <c r="C1320" t="s">
        <v>6077</v>
      </c>
      <c r="D1320" t="s">
        <v>11</v>
      </c>
      <c r="E1320" t="s">
        <v>15</v>
      </c>
      <c r="F1320" t="s">
        <v>26</v>
      </c>
      <c r="L1320" t="s">
        <v>6078</v>
      </c>
      <c r="M1320" t="s">
        <v>6079</v>
      </c>
      <c r="Q1320" t="s">
        <v>6078</v>
      </c>
      <c r="T1320" t="s">
        <v>6080</v>
      </c>
      <c r="U1320" t="s">
        <v>6081</v>
      </c>
      <c r="V1320" t="s">
        <v>6079</v>
      </c>
      <c r="W1320" t="s">
        <v>3492</v>
      </c>
      <c r="X1320" t="s">
        <v>6082</v>
      </c>
      <c r="Y1320">
        <v>0</v>
      </c>
      <c r="Z1320">
        <v>0</v>
      </c>
    </row>
    <row r="1321" spans="1:26">
      <c r="A1321" s="1">
        <v>1319</v>
      </c>
      <c r="B1321" t="str">
        <f>HYPERLINK("https://bugs.eclipse.org/bugs/show_bug.cgi?id=43067", "43067")</f>
        <v>43067</v>
      </c>
      <c r="C1321" t="s">
        <v>6083</v>
      </c>
      <c r="D1321" t="s">
        <v>10</v>
      </c>
      <c r="E1321" t="s">
        <v>15</v>
      </c>
      <c r="F1321" t="s">
        <v>26</v>
      </c>
      <c r="L1321" t="s">
        <v>6084</v>
      </c>
      <c r="Q1321" t="s">
        <v>6084</v>
      </c>
      <c r="T1321" t="s">
        <v>6085</v>
      </c>
      <c r="U1321" t="s">
        <v>6086</v>
      </c>
      <c r="V1321" t="s">
        <v>6084</v>
      </c>
      <c r="W1321" t="s">
        <v>851</v>
      </c>
      <c r="X1321" t="s">
        <v>6087</v>
      </c>
      <c r="Y1321">
        <v>0</v>
      </c>
      <c r="Z1321">
        <v>152.04166666666671</v>
      </c>
    </row>
    <row r="1322" spans="1:26">
      <c r="A1322" s="1">
        <v>1320</v>
      </c>
      <c r="B1322" t="str">
        <f>HYPERLINK("https://bugs.eclipse.org/bugs/show_bug.cgi?id=43087", "43087")</f>
        <v>43087</v>
      </c>
      <c r="C1322" t="s">
        <v>149</v>
      </c>
      <c r="D1322" t="s">
        <v>10</v>
      </c>
      <c r="E1322" t="s">
        <v>12</v>
      </c>
      <c r="F1322" t="s">
        <v>26</v>
      </c>
      <c r="L1322" t="s">
        <v>6088</v>
      </c>
      <c r="N1322" t="s">
        <v>6088</v>
      </c>
      <c r="T1322" t="s">
        <v>6089</v>
      </c>
      <c r="U1322" t="s">
        <v>6090</v>
      </c>
      <c r="V1322" t="s">
        <v>6088</v>
      </c>
      <c r="W1322" t="s">
        <v>86</v>
      </c>
      <c r="X1322" t="s">
        <v>6091</v>
      </c>
      <c r="Y1322">
        <v>0</v>
      </c>
      <c r="Z1322">
        <v>2</v>
      </c>
    </row>
    <row r="1323" spans="1:26">
      <c r="A1323" s="1">
        <v>1321</v>
      </c>
      <c r="B1323" t="str">
        <f>HYPERLINK("https://bugs.eclipse.org/bugs/show_bug.cgi?id=43103", "43103")</f>
        <v>43103</v>
      </c>
      <c r="C1323" t="s">
        <v>149</v>
      </c>
      <c r="D1323" t="s">
        <v>10</v>
      </c>
      <c r="E1323" t="s">
        <v>12</v>
      </c>
      <c r="F1323" t="s">
        <v>26</v>
      </c>
      <c r="L1323" t="s">
        <v>6092</v>
      </c>
      <c r="N1323" t="s">
        <v>6092</v>
      </c>
      <c r="T1323" t="s">
        <v>6093</v>
      </c>
      <c r="U1323" t="s">
        <v>6092</v>
      </c>
      <c r="V1323" t="s">
        <v>6092</v>
      </c>
      <c r="W1323" t="s">
        <v>143</v>
      </c>
      <c r="X1323" t="s">
        <v>6094</v>
      </c>
      <c r="Y1323">
        <v>1</v>
      </c>
      <c r="Z1323">
        <v>1</v>
      </c>
    </row>
    <row r="1324" spans="1:26">
      <c r="A1324" s="1">
        <v>1322</v>
      </c>
      <c r="B1324" t="str">
        <f>HYPERLINK("https://bugs.eclipse.org/bugs/show_bug.cgi?id=43109", "43109")</f>
        <v>43109</v>
      </c>
      <c r="C1324" t="s">
        <v>149</v>
      </c>
      <c r="D1324" t="s">
        <v>10</v>
      </c>
      <c r="E1324" t="s">
        <v>12</v>
      </c>
      <c r="F1324" t="s">
        <v>26</v>
      </c>
      <c r="L1324" t="s">
        <v>6095</v>
      </c>
      <c r="N1324" t="s">
        <v>6095</v>
      </c>
      <c r="T1324" t="s">
        <v>6096</v>
      </c>
      <c r="U1324" t="s">
        <v>6095</v>
      </c>
      <c r="V1324" t="s">
        <v>6095</v>
      </c>
      <c r="W1324" t="s">
        <v>86</v>
      </c>
      <c r="X1324" t="s">
        <v>6097</v>
      </c>
      <c r="Y1324">
        <v>2</v>
      </c>
      <c r="Z1324">
        <v>2</v>
      </c>
    </row>
    <row r="1325" spans="1:26">
      <c r="A1325" s="1">
        <v>1323</v>
      </c>
      <c r="B1325" t="str">
        <f>HYPERLINK("https://bugs.eclipse.org/bugs/show_bug.cgi?id=43169", "43169")</f>
        <v>43169</v>
      </c>
      <c r="C1325" t="s">
        <v>25</v>
      </c>
      <c r="D1325" t="s">
        <v>25</v>
      </c>
      <c r="F1325" t="s">
        <v>51</v>
      </c>
      <c r="G1325" t="s">
        <v>6098</v>
      </c>
      <c r="L1325" t="s">
        <v>6099</v>
      </c>
      <c r="P1325" t="s">
        <v>6100</v>
      </c>
      <c r="S1325" t="s">
        <v>6101</v>
      </c>
      <c r="T1325" t="s">
        <v>6102</v>
      </c>
      <c r="U1325" t="s">
        <v>6103</v>
      </c>
      <c r="V1325" t="s">
        <v>6104</v>
      </c>
      <c r="W1325" t="s">
        <v>851</v>
      </c>
      <c r="X1325" t="s">
        <v>6105</v>
      </c>
      <c r="Y1325">
        <v>0</v>
      </c>
    </row>
    <row r="1326" spans="1:26">
      <c r="A1326" s="1">
        <v>1324</v>
      </c>
      <c r="B1326" t="str">
        <f>HYPERLINK("https://bugs.eclipse.org/bugs/show_bug.cgi?id=43172", "43172")</f>
        <v>43172</v>
      </c>
      <c r="C1326" t="s">
        <v>6106</v>
      </c>
      <c r="D1326" t="s">
        <v>10</v>
      </c>
      <c r="E1326" t="s">
        <v>15</v>
      </c>
      <c r="F1326" t="s">
        <v>26</v>
      </c>
      <c r="G1326" t="s">
        <v>6107</v>
      </c>
      <c r="L1326" t="s">
        <v>6108</v>
      </c>
      <c r="Q1326" t="s">
        <v>6108</v>
      </c>
      <c r="T1326" t="s">
        <v>6109</v>
      </c>
      <c r="U1326" t="s">
        <v>6110</v>
      </c>
      <c r="V1326" t="s">
        <v>6108</v>
      </c>
      <c r="W1326" t="s">
        <v>851</v>
      </c>
      <c r="X1326" t="s">
        <v>6111</v>
      </c>
      <c r="Y1326">
        <v>1</v>
      </c>
      <c r="Z1326">
        <v>930</v>
      </c>
    </row>
    <row r="1327" spans="1:26">
      <c r="A1327" s="1">
        <v>1325</v>
      </c>
      <c r="B1327" t="str">
        <f>HYPERLINK("https://bugs.eclipse.org/bugs/show_bug.cgi?id=43184", "43184")</f>
        <v>43184</v>
      </c>
      <c r="C1327" t="s">
        <v>56</v>
      </c>
      <c r="D1327" t="s">
        <v>10</v>
      </c>
      <c r="E1327" t="s">
        <v>14</v>
      </c>
      <c r="F1327" t="s">
        <v>26</v>
      </c>
      <c r="L1327" t="s">
        <v>6112</v>
      </c>
      <c r="P1327" t="s">
        <v>6112</v>
      </c>
      <c r="T1327" t="s">
        <v>6113</v>
      </c>
      <c r="U1327" t="s">
        <v>6114</v>
      </c>
      <c r="V1327" t="s">
        <v>6112</v>
      </c>
      <c r="W1327" t="s">
        <v>86</v>
      </c>
      <c r="X1327" t="s">
        <v>6115</v>
      </c>
      <c r="Y1327">
        <v>1</v>
      </c>
      <c r="Z1327">
        <v>1</v>
      </c>
    </row>
    <row r="1328" spans="1:26">
      <c r="A1328" s="1">
        <v>1326</v>
      </c>
      <c r="B1328" t="str">
        <f>HYPERLINK("https://bugs.eclipse.org/bugs/show_bug.cgi?id=43237", "43237")</f>
        <v>43237</v>
      </c>
      <c r="C1328" t="s">
        <v>88</v>
      </c>
      <c r="D1328" t="s">
        <v>10</v>
      </c>
      <c r="E1328" t="s">
        <v>13</v>
      </c>
      <c r="F1328" t="s">
        <v>26</v>
      </c>
      <c r="L1328" t="s">
        <v>6116</v>
      </c>
      <c r="O1328" t="s">
        <v>6117</v>
      </c>
      <c r="S1328" t="s">
        <v>6118</v>
      </c>
      <c r="T1328" t="s">
        <v>6119</v>
      </c>
      <c r="U1328" t="s">
        <v>6120</v>
      </c>
      <c r="V1328" t="s">
        <v>6117</v>
      </c>
      <c r="W1328" t="s">
        <v>75</v>
      </c>
      <c r="X1328" t="s">
        <v>6121</v>
      </c>
      <c r="Y1328">
        <v>0</v>
      </c>
      <c r="Z1328">
        <v>2174</v>
      </c>
    </row>
    <row r="1329" spans="1:26">
      <c r="A1329" s="1">
        <v>1327</v>
      </c>
      <c r="B1329" t="str">
        <f>HYPERLINK("https://bugs.eclipse.org/bugs/show_bug.cgi?id=43277", "43277")</f>
        <v>43277</v>
      </c>
      <c r="C1329" t="s">
        <v>35</v>
      </c>
      <c r="D1329" t="s">
        <v>11</v>
      </c>
      <c r="E1329" t="s">
        <v>12</v>
      </c>
      <c r="F1329" t="s">
        <v>150</v>
      </c>
      <c r="G1329" t="s">
        <v>6122</v>
      </c>
      <c r="L1329" t="s">
        <v>6123</v>
      </c>
      <c r="M1329" t="s">
        <v>6124</v>
      </c>
      <c r="N1329" t="s">
        <v>6123</v>
      </c>
      <c r="T1329" t="s">
        <v>6125</v>
      </c>
      <c r="U1329" t="s">
        <v>6126</v>
      </c>
      <c r="V1329" t="s">
        <v>6124</v>
      </c>
      <c r="W1329" t="s">
        <v>2777</v>
      </c>
      <c r="X1329" t="s">
        <v>6127</v>
      </c>
      <c r="Y1329">
        <v>0</v>
      </c>
      <c r="Z1329">
        <v>2364.041666666667</v>
      </c>
    </row>
    <row r="1330" spans="1:26">
      <c r="A1330" s="1">
        <v>1328</v>
      </c>
      <c r="B1330" t="str">
        <f>HYPERLINK("https://bugs.eclipse.org/bugs/show_bug.cgi?id=43338", "43338")</f>
        <v>43338</v>
      </c>
      <c r="C1330" t="s">
        <v>149</v>
      </c>
      <c r="D1330" t="s">
        <v>10</v>
      </c>
      <c r="E1330" t="s">
        <v>12</v>
      </c>
      <c r="F1330" t="s">
        <v>26</v>
      </c>
      <c r="L1330" t="s">
        <v>6128</v>
      </c>
      <c r="N1330" t="s">
        <v>6128</v>
      </c>
      <c r="T1330" t="s">
        <v>6129</v>
      </c>
      <c r="U1330" t="s">
        <v>6130</v>
      </c>
      <c r="V1330" t="s">
        <v>6128</v>
      </c>
      <c r="W1330" t="s">
        <v>86</v>
      </c>
      <c r="X1330" t="s">
        <v>6131</v>
      </c>
      <c r="Y1330">
        <v>17</v>
      </c>
      <c r="Z1330">
        <v>59.041666666666657</v>
      </c>
    </row>
    <row r="1331" spans="1:26">
      <c r="A1331" s="1">
        <v>1329</v>
      </c>
      <c r="B1331" t="str">
        <f>HYPERLINK("https://bugs.eclipse.org/bugs/show_bug.cgi?id=43343", "43343")</f>
        <v>43343</v>
      </c>
      <c r="C1331" t="s">
        <v>4818</v>
      </c>
      <c r="D1331" t="s">
        <v>10</v>
      </c>
      <c r="E1331" t="s">
        <v>15</v>
      </c>
      <c r="F1331" t="s">
        <v>26</v>
      </c>
      <c r="L1331" t="s">
        <v>6132</v>
      </c>
      <c r="Q1331" t="s">
        <v>6132</v>
      </c>
      <c r="T1331" t="s">
        <v>6133</v>
      </c>
      <c r="U1331" t="s">
        <v>6134</v>
      </c>
      <c r="V1331" t="s">
        <v>6132</v>
      </c>
      <c r="W1331" t="s">
        <v>86</v>
      </c>
      <c r="X1331" t="s">
        <v>6135</v>
      </c>
      <c r="Y1331">
        <v>0</v>
      </c>
      <c r="Z1331">
        <v>10</v>
      </c>
    </row>
    <row r="1332" spans="1:26">
      <c r="A1332" s="1">
        <v>1330</v>
      </c>
      <c r="B1332" t="str">
        <f>HYPERLINK("https://bugs.eclipse.org/bugs/show_bug.cgi?id=43360", "43360")</f>
        <v>43360</v>
      </c>
      <c r="C1332" t="s">
        <v>149</v>
      </c>
      <c r="D1332" t="s">
        <v>10</v>
      </c>
      <c r="E1332" t="s">
        <v>12</v>
      </c>
      <c r="F1332" t="s">
        <v>26</v>
      </c>
      <c r="L1332" t="s">
        <v>6136</v>
      </c>
      <c r="N1332" t="s">
        <v>6136</v>
      </c>
      <c r="S1332" t="s">
        <v>6137</v>
      </c>
      <c r="T1332" t="s">
        <v>6138</v>
      </c>
      <c r="U1332" t="s">
        <v>6139</v>
      </c>
      <c r="V1332" t="s">
        <v>6136</v>
      </c>
      <c r="W1332" t="s">
        <v>851</v>
      </c>
      <c r="X1332" t="s">
        <v>6140</v>
      </c>
      <c r="Y1332">
        <v>0</v>
      </c>
      <c r="Z1332">
        <v>108.0416666666667</v>
      </c>
    </row>
    <row r="1333" spans="1:26">
      <c r="A1333" s="1">
        <v>1331</v>
      </c>
      <c r="B1333" t="str">
        <f>HYPERLINK("https://bugs.eclipse.org/bugs/show_bug.cgi?id=43473", "43473")</f>
        <v>43473</v>
      </c>
      <c r="C1333" t="s">
        <v>149</v>
      </c>
      <c r="D1333" t="s">
        <v>10</v>
      </c>
      <c r="E1333" t="s">
        <v>12</v>
      </c>
      <c r="F1333" t="s">
        <v>26</v>
      </c>
      <c r="L1333" t="s">
        <v>6141</v>
      </c>
      <c r="N1333" t="s">
        <v>6141</v>
      </c>
      <c r="T1333" t="s">
        <v>6142</v>
      </c>
      <c r="U1333" t="s">
        <v>6143</v>
      </c>
      <c r="V1333" t="s">
        <v>6141</v>
      </c>
      <c r="W1333" t="s">
        <v>86</v>
      </c>
      <c r="X1333" t="s">
        <v>6144</v>
      </c>
      <c r="Y1333">
        <v>1</v>
      </c>
      <c r="Z1333">
        <v>294</v>
      </c>
    </row>
    <row r="1334" spans="1:26">
      <c r="A1334" s="1">
        <v>1332</v>
      </c>
      <c r="B1334" t="str">
        <f>HYPERLINK("https://bugs.eclipse.org/bugs/show_bug.cgi?id=43487", "43487")</f>
        <v>43487</v>
      </c>
      <c r="C1334" t="s">
        <v>149</v>
      </c>
      <c r="D1334" t="s">
        <v>10</v>
      </c>
      <c r="E1334" t="s">
        <v>12</v>
      </c>
      <c r="F1334" t="s">
        <v>26</v>
      </c>
      <c r="L1334" t="s">
        <v>6145</v>
      </c>
      <c r="N1334" t="s">
        <v>6145</v>
      </c>
      <c r="T1334" t="s">
        <v>6146</v>
      </c>
      <c r="U1334" t="s">
        <v>6147</v>
      </c>
      <c r="V1334" t="s">
        <v>6145</v>
      </c>
      <c r="W1334" t="s">
        <v>86</v>
      </c>
      <c r="X1334" t="s">
        <v>6148</v>
      </c>
      <c r="Y1334">
        <v>0</v>
      </c>
      <c r="Z1334">
        <v>9</v>
      </c>
    </row>
    <row r="1335" spans="1:26">
      <c r="A1335" s="1">
        <v>1333</v>
      </c>
      <c r="B1335" t="str">
        <f>HYPERLINK("https://bugs.eclipse.org/bugs/show_bug.cgi?id=43504", "43504")</f>
        <v>43504</v>
      </c>
      <c r="C1335" t="s">
        <v>2571</v>
      </c>
      <c r="D1335" t="s">
        <v>10</v>
      </c>
      <c r="E1335" t="s">
        <v>15</v>
      </c>
      <c r="F1335" t="s">
        <v>26</v>
      </c>
      <c r="L1335" t="s">
        <v>6149</v>
      </c>
      <c r="Q1335" t="s">
        <v>6149</v>
      </c>
      <c r="T1335" t="s">
        <v>6150</v>
      </c>
      <c r="U1335" t="s">
        <v>6151</v>
      </c>
      <c r="V1335" t="s">
        <v>6149</v>
      </c>
      <c r="W1335" t="s">
        <v>86</v>
      </c>
      <c r="X1335" t="s">
        <v>6152</v>
      </c>
      <c r="Y1335">
        <v>0</v>
      </c>
      <c r="Z1335">
        <v>0</v>
      </c>
    </row>
    <row r="1336" spans="1:26">
      <c r="A1336" s="1">
        <v>1334</v>
      </c>
      <c r="B1336" t="str">
        <f>HYPERLINK("https://bugs.eclipse.org/bugs/show_bug.cgi?id=43557", "43557")</f>
        <v>43557</v>
      </c>
      <c r="C1336" t="s">
        <v>149</v>
      </c>
      <c r="D1336" t="s">
        <v>10</v>
      </c>
      <c r="E1336" t="s">
        <v>12</v>
      </c>
      <c r="F1336" t="s">
        <v>26</v>
      </c>
      <c r="L1336" t="s">
        <v>6153</v>
      </c>
      <c r="N1336" t="s">
        <v>6153</v>
      </c>
      <c r="T1336" t="s">
        <v>6154</v>
      </c>
      <c r="U1336" t="s">
        <v>6155</v>
      </c>
      <c r="V1336" t="s">
        <v>6153</v>
      </c>
      <c r="W1336" t="s">
        <v>86</v>
      </c>
      <c r="X1336" t="s">
        <v>6156</v>
      </c>
      <c r="Y1336">
        <v>0</v>
      </c>
      <c r="Z1336">
        <v>8</v>
      </c>
    </row>
    <row r="1337" spans="1:26">
      <c r="A1337" s="1">
        <v>1335</v>
      </c>
      <c r="B1337" t="str">
        <f>HYPERLINK("https://bugs.eclipse.org/bugs/show_bug.cgi?id=43568", "43568")</f>
        <v>43568</v>
      </c>
      <c r="C1337" t="s">
        <v>149</v>
      </c>
      <c r="D1337" t="s">
        <v>10</v>
      </c>
      <c r="E1337" t="s">
        <v>12</v>
      </c>
      <c r="F1337" t="s">
        <v>26</v>
      </c>
      <c r="L1337" t="s">
        <v>6157</v>
      </c>
      <c r="N1337" t="s">
        <v>6157</v>
      </c>
      <c r="T1337" t="s">
        <v>6158</v>
      </c>
      <c r="U1337" t="s">
        <v>6159</v>
      </c>
      <c r="V1337" t="s">
        <v>6157</v>
      </c>
      <c r="W1337" t="s">
        <v>851</v>
      </c>
      <c r="X1337" t="s">
        <v>6160</v>
      </c>
      <c r="Y1337">
        <v>0</v>
      </c>
      <c r="Z1337">
        <v>204</v>
      </c>
    </row>
    <row r="1338" spans="1:26">
      <c r="A1338" s="1">
        <v>1336</v>
      </c>
      <c r="B1338" t="str">
        <f>HYPERLINK("https://bugs.eclipse.org/bugs/show_bug.cgi?id=43594", "43594")</f>
        <v>43594</v>
      </c>
      <c r="C1338" t="s">
        <v>191</v>
      </c>
      <c r="D1338" t="s">
        <v>192</v>
      </c>
      <c r="E1338" t="s">
        <v>14</v>
      </c>
      <c r="F1338" t="s">
        <v>26</v>
      </c>
      <c r="G1338" t="s">
        <v>6161</v>
      </c>
      <c r="P1338" t="s">
        <v>6162</v>
      </c>
      <c r="T1338" t="s">
        <v>6163</v>
      </c>
      <c r="U1338" t="s">
        <v>6164</v>
      </c>
      <c r="V1338" t="s">
        <v>6162</v>
      </c>
      <c r="W1338" t="s">
        <v>65</v>
      </c>
      <c r="X1338" t="s">
        <v>6165</v>
      </c>
      <c r="Y1338">
        <v>1</v>
      </c>
      <c r="Z1338">
        <v>5993.041666666667</v>
      </c>
    </row>
    <row r="1339" spans="1:26">
      <c r="A1339" s="1">
        <v>1337</v>
      </c>
      <c r="B1339" t="str">
        <f>HYPERLINK("https://bugs.eclipse.org/bugs/show_bug.cgi?id=43724", "43724")</f>
        <v>43724</v>
      </c>
      <c r="C1339" t="s">
        <v>6166</v>
      </c>
      <c r="D1339" t="s">
        <v>10</v>
      </c>
      <c r="E1339" t="s">
        <v>15</v>
      </c>
      <c r="F1339" t="s">
        <v>26</v>
      </c>
      <c r="L1339" t="s">
        <v>6167</v>
      </c>
      <c r="Q1339" t="s">
        <v>6167</v>
      </c>
      <c r="T1339" t="s">
        <v>6168</v>
      </c>
      <c r="U1339" t="s">
        <v>6169</v>
      </c>
      <c r="V1339" t="s">
        <v>6167</v>
      </c>
      <c r="W1339" t="s">
        <v>2668</v>
      </c>
      <c r="X1339" t="s">
        <v>6170</v>
      </c>
      <c r="Y1339">
        <v>0</v>
      </c>
      <c r="Z1339">
        <v>507.04166666666669</v>
      </c>
    </row>
    <row r="1340" spans="1:26">
      <c r="A1340" s="1">
        <v>1338</v>
      </c>
      <c r="B1340" t="str">
        <f>HYPERLINK("https://bugs.eclipse.org/bugs/show_bug.cgi?id=43892", "43892")</f>
        <v>43892</v>
      </c>
      <c r="C1340" t="s">
        <v>149</v>
      </c>
      <c r="D1340" t="s">
        <v>10</v>
      </c>
      <c r="E1340" t="s">
        <v>12</v>
      </c>
      <c r="F1340" t="s">
        <v>26</v>
      </c>
      <c r="L1340" t="s">
        <v>6171</v>
      </c>
      <c r="N1340" t="s">
        <v>6171</v>
      </c>
      <c r="T1340" t="s">
        <v>6172</v>
      </c>
      <c r="U1340" t="s">
        <v>6173</v>
      </c>
      <c r="V1340" t="s">
        <v>6171</v>
      </c>
      <c r="W1340" t="s">
        <v>851</v>
      </c>
      <c r="X1340" t="s">
        <v>6174</v>
      </c>
      <c r="Y1340">
        <v>231</v>
      </c>
      <c r="Z1340">
        <v>983</v>
      </c>
    </row>
    <row r="1341" spans="1:26">
      <c r="A1341" s="1">
        <v>1339</v>
      </c>
      <c r="B1341" t="str">
        <f>HYPERLINK("https://bugs.eclipse.org/bugs/show_bug.cgi?id=43895", "43895")</f>
        <v>43895</v>
      </c>
      <c r="C1341" t="s">
        <v>88</v>
      </c>
      <c r="D1341" t="s">
        <v>10</v>
      </c>
      <c r="E1341" t="s">
        <v>13</v>
      </c>
      <c r="F1341" t="s">
        <v>26</v>
      </c>
      <c r="L1341" t="s">
        <v>6175</v>
      </c>
      <c r="O1341" t="s">
        <v>6175</v>
      </c>
      <c r="T1341" t="s">
        <v>6176</v>
      </c>
      <c r="U1341" t="s">
        <v>6177</v>
      </c>
      <c r="V1341" t="s">
        <v>6175</v>
      </c>
      <c r="W1341" t="s">
        <v>49</v>
      </c>
      <c r="X1341" t="s">
        <v>6178</v>
      </c>
      <c r="Y1341">
        <v>0</v>
      </c>
      <c r="Z1341">
        <v>976</v>
      </c>
    </row>
    <row r="1342" spans="1:26">
      <c r="A1342" s="1">
        <v>1340</v>
      </c>
      <c r="B1342" t="str">
        <f>HYPERLINK("https://bugs.eclipse.org/bugs/show_bug.cgi?id=43979", "43979")</f>
        <v>43979</v>
      </c>
      <c r="C1342" t="s">
        <v>56</v>
      </c>
      <c r="D1342" t="s">
        <v>10</v>
      </c>
      <c r="E1342" t="s">
        <v>14</v>
      </c>
      <c r="F1342" t="s">
        <v>26</v>
      </c>
      <c r="L1342" t="s">
        <v>6179</v>
      </c>
      <c r="P1342" t="s">
        <v>6179</v>
      </c>
      <c r="T1342" t="s">
        <v>6180</v>
      </c>
      <c r="U1342" t="s">
        <v>6179</v>
      </c>
      <c r="V1342" t="s">
        <v>6179</v>
      </c>
      <c r="W1342" t="s">
        <v>86</v>
      </c>
      <c r="X1342" t="s">
        <v>6181</v>
      </c>
      <c r="Y1342">
        <v>0</v>
      </c>
      <c r="Z1342">
        <v>0</v>
      </c>
    </row>
    <row r="1343" spans="1:26">
      <c r="A1343" s="1">
        <v>1341</v>
      </c>
      <c r="B1343" t="str">
        <f>HYPERLINK("https://bugs.eclipse.org/bugs/show_bug.cgi?id=44004", "44004")</f>
        <v>44004</v>
      </c>
      <c r="C1343" t="s">
        <v>149</v>
      </c>
      <c r="D1343" t="s">
        <v>10</v>
      </c>
      <c r="E1343" t="s">
        <v>12</v>
      </c>
      <c r="F1343" t="s">
        <v>26</v>
      </c>
      <c r="L1343" t="s">
        <v>6182</v>
      </c>
      <c r="N1343" t="s">
        <v>6182</v>
      </c>
      <c r="T1343" t="s">
        <v>6183</v>
      </c>
      <c r="U1343" t="s">
        <v>6184</v>
      </c>
      <c r="V1343" t="s">
        <v>6182</v>
      </c>
      <c r="W1343" t="s">
        <v>86</v>
      </c>
      <c r="X1343" t="s">
        <v>6185</v>
      </c>
      <c r="Y1343">
        <v>0</v>
      </c>
      <c r="Z1343">
        <v>350</v>
      </c>
    </row>
    <row r="1344" spans="1:26">
      <c r="A1344" s="1">
        <v>1342</v>
      </c>
      <c r="B1344" t="str">
        <f>HYPERLINK("https://bugs.eclipse.org/bugs/show_bug.cgi?id=44019", "44019")</f>
        <v>44019</v>
      </c>
      <c r="C1344" t="s">
        <v>149</v>
      </c>
      <c r="D1344" t="s">
        <v>10</v>
      </c>
      <c r="E1344" t="s">
        <v>12</v>
      </c>
      <c r="F1344" t="s">
        <v>26</v>
      </c>
      <c r="L1344" t="s">
        <v>6186</v>
      </c>
      <c r="N1344" t="s">
        <v>6186</v>
      </c>
      <c r="T1344" t="s">
        <v>6187</v>
      </c>
      <c r="U1344" t="s">
        <v>6188</v>
      </c>
      <c r="V1344" t="s">
        <v>6186</v>
      </c>
      <c r="W1344" t="s">
        <v>86</v>
      </c>
      <c r="X1344" t="s">
        <v>6189</v>
      </c>
      <c r="Y1344">
        <v>0</v>
      </c>
      <c r="Z1344">
        <v>1</v>
      </c>
    </row>
    <row r="1345" spans="1:26">
      <c r="A1345" s="1">
        <v>1343</v>
      </c>
      <c r="B1345" t="str">
        <f>HYPERLINK("https://bugs.eclipse.org/bugs/show_bug.cgi?id=44060", "44060")</f>
        <v>44060</v>
      </c>
      <c r="C1345" t="s">
        <v>149</v>
      </c>
      <c r="D1345" t="s">
        <v>10</v>
      </c>
      <c r="E1345" t="s">
        <v>12</v>
      </c>
      <c r="F1345" t="s">
        <v>26</v>
      </c>
      <c r="L1345" t="s">
        <v>6190</v>
      </c>
      <c r="N1345" t="s">
        <v>6190</v>
      </c>
      <c r="T1345" t="s">
        <v>6191</v>
      </c>
      <c r="U1345" t="s">
        <v>6192</v>
      </c>
      <c r="V1345" t="s">
        <v>6190</v>
      </c>
      <c r="W1345" t="s">
        <v>86</v>
      </c>
      <c r="X1345" t="s">
        <v>6193</v>
      </c>
      <c r="Y1345">
        <v>0</v>
      </c>
      <c r="Z1345">
        <v>224</v>
      </c>
    </row>
    <row r="1346" spans="1:26">
      <c r="A1346" s="1">
        <v>1344</v>
      </c>
      <c r="B1346" t="str">
        <f>HYPERLINK("https://bugs.eclipse.org/bugs/show_bug.cgi?id=44102", "44102")</f>
        <v>44102</v>
      </c>
      <c r="C1346" t="s">
        <v>25</v>
      </c>
      <c r="D1346" t="s">
        <v>25</v>
      </c>
      <c r="F1346" t="s">
        <v>51</v>
      </c>
      <c r="L1346" t="s">
        <v>6194</v>
      </c>
      <c r="P1346" t="s">
        <v>6195</v>
      </c>
      <c r="S1346" t="s">
        <v>6196</v>
      </c>
      <c r="T1346" t="s">
        <v>6197</v>
      </c>
      <c r="U1346" t="s">
        <v>6198</v>
      </c>
      <c r="V1346" t="s">
        <v>6199</v>
      </c>
      <c r="W1346" t="s">
        <v>851</v>
      </c>
      <c r="X1346" t="s">
        <v>6200</v>
      </c>
      <c r="Y1346">
        <v>0</v>
      </c>
    </row>
    <row r="1347" spans="1:26">
      <c r="A1347" s="1">
        <v>1345</v>
      </c>
      <c r="B1347" t="str">
        <f>HYPERLINK("https://bugs.eclipse.org/bugs/show_bug.cgi?id=44115", "44115")</f>
        <v>44115</v>
      </c>
      <c r="C1347" t="s">
        <v>35</v>
      </c>
      <c r="D1347" t="s">
        <v>11</v>
      </c>
      <c r="E1347" t="s">
        <v>12</v>
      </c>
      <c r="F1347" t="s">
        <v>26</v>
      </c>
      <c r="L1347" t="s">
        <v>6201</v>
      </c>
      <c r="M1347" t="s">
        <v>6202</v>
      </c>
      <c r="N1347" t="s">
        <v>6201</v>
      </c>
      <c r="T1347" t="s">
        <v>6203</v>
      </c>
      <c r="U1347" t="s">
        <v>6204</v>
      </c>
      <c r="V1347" t="s">
        <v>6202</v>
      </c>
      <c r="W1347" t="s">
        <v>86</v>
      </c>
      <c r="X1347" t="s">
        <v>6205</v>
      </c>
      <c r="Y1347">
        <v>1</v>
      </c>
      <c r="Z1347">
        <v>761.04166666666663</v>
      </c>
    </row>
    <row r="1348" spans="1:26">
      <c r="A1348" s="1">
        <v>1346</v>
      </c>
      <c r="B1348" t="str">
        <f>HYPERLINK("https://bugs.eclipse.org/bugs/show_bug.cgi?id=44178", "44178")</f>
        <v>44178</v>
      </c>
      <c r="C1348" t="s">
        <v>56</v>
      </c>
      <c r="D1348" t="s">
        <v>10</v>
      </c>
      <c r="E1348" t="s">
        <v>14</v>
      </c>
      <c r="F1348" t="s">
        <v>26</v>
      </c>
      <c r="G1348" t="s">
        <v>6206</v>
      </c>
      <c r="H1348" t="s">
        <v>6207</v>
      </c>
      <c r="L1348" t="s">
        <v>6208</v>
      </c>
      <c r="P1348" t="s">
        <v>6209</v>
      </c>
      <c r="Q1348" t="s">
        <v>6208</v>
      </c>
      <c r="T1348" t="s">
        <v>6210</v>
      </c>
      <c r="U1348" t="s">
        <v>6211</v>
      </c>
      <c r="V1348" t="s">
        <v>6212</v>
      </c>
      <c r="W1348" t="s">
        <v>851</v>
      </c>
      <c r="X1348" t="s">
        <v>6213</v>
      </c>
      <c r="Y1348">
        <v>1</v>
      </c>
      <c r="Z1348">
        <v>2489</v>
      </c>
    </row>
    <row r="1349" spans="1:26">
      <c r="A1349" s="1">
        <v>1347</v>
      </c>
      <c r="B1349" t="str">
        <f>HYPERLINK("https://bugs.eclipse.org/bugs/show_bug.cgi?id=44179", "44179")</f>
        <v>44179</v>
      </c>
      <c r="C1349" t="s">
        <v>4818</v>
      </c>
      <c r="D1349" t="s">
        <v>10</v>
      </c>
      <c r="E1349" t="s">
        <v>15</v>
      </c>
      <c r="F1349" t="s">
        <v>26</v>
      </c>
      <c r="L1349" t="s">
        <v>6214</v>
      </c>
      <c r="Q1349" t="s">
        <v>6214</v>
      </c>
      <c r="T1349" t="s">
        <v>6215</v>
      </c>
      <c r="U1349" t="s">
        <v>6214</v>
      </c>
      <c r="V1349" t="s">
        <v>6214</v>
      </c>
      <c r="W1349" t="s">
        <v>86</v>
      </c>
      <c r="X1349" t="s">
        <v>6216</v>
      </c>
      <c r="Y1349">
        <v>2</v>
      </c>
      <c r="Z1349">
        <v>2</v>
      </c>
    </row>
    <row r="1350" spans="1:26">
      <c r="A1350" s="1">
        <v>1348</v>
      </c>
      <c r="B1350" t="str">
        <f>HYPERLINK("https://bugs.eclipse.org/bugs/show_bug.cgi?id=44201", "44201")</f>
        <v>44201</v>
      </c>
      <c r="C1350" t="s">
        <v>25</v>
      </c>
      <c r="D1350" t="s">
        <v>25</v>
      </c>
      <c r="F1350" t="s">
        <v>26</v>
      </c>
      <c r="T1350" t="s">
        <v>6217</v>
      </c>
      <c r="U1350" t="s">
        <v>6218</v>
      </c>
      <c r="V1350" t="s">
        <v>6219</v>
      </c>
      <c r="W1350" t="s">
        <v>2777</v>
      </c>
      <c r="X1350" t="s">
        <v>6220</v>
      </c>
      <c r="Y1350">
        <v>0</v>
      </c>
    </row>
    <row r="1351" spans="1:26">
      <c r="A1351" s="1">
        <v>1349</v>
      </c>
      <c r="B1351" t="str">
        <f>HYPERLINK("https://bugs.eclipse.org/bugs/show_bug.cgi?id=44210", "44210")</f>
        <v>44210</v>
      </c>
      <c r="C1351" t="s">
        <v>56</v>
      </c>
      <c r="D1351" t="s">
        <v>10</v>
      </c>
      <c r="E1351" t="s">
        <v>14</v>
      </c>
      <c r="F1351" t="s">
        <v>26</v>
      </c>
      <c r="L1351" t="s">
        <v>6221</v>
      </c>
      <c r="P1351" t="s">
        <v>6222</v>
      </c>
      <c r="T1351" t="s">
        <v>6223</v>
      </c>
      <c r="U1351" t="s">
        <v>6224</v>
      </c>
      <c r="V1351" t="s">
        <v>6222</v>
      </c>
      <c r="W1351" t="s">
        <v>80</v>
      </c>
      <c r="X1351" t="s">
        <v>6225</v>
      </c>
      <c r="Y1351">
        <v>0</v>
      </c>
      <c r="Z1351">
        <v>2155</v>
      </c>
    </row>
    <row r="1352" spans="1:26">
      <c r="A1352" s="1">
        <v>1350</v>
      </c>
      <c r="B1352" t="str">
        <f>HYPERLINK("https://bugs.eclipse.org/bugs/show_bug.cgi?id=44274", "44274")</f>
        <v>44274</v>
      </c>
      <c r="C1352" t="s">
        <v>149</v>
      </c>
      <c r="D1352" t="s">
        <v>10</v>
      </c>
      <c r="E1352" t="s">
        <v>12</v>
      </c>
      <c r="F1352" t="s">
        <v>26</v>
      </c>
      <c r="L1352" t="s">
        <v>6226</v>
      </c>
      <c r="N1352" t="s">
        <v>6226</v>
      </c>
      <c r="T1352" t="s">
        <v>6227</v>
      </c>
      <c r="U1352" t="s">
        <v>6228</v>
      </c>
      <c r="V1352" t="s">
        <v>6226</v>
      </c>
      <c r="W1352" t="s">
        <v>49</v>
      </c>
      <c r="X1352" t="s">
        <v>6229</v>
      </c>
      <c r="Y1352">
        <v>0</v>
      </c>
      <c r="Z1352">
        <v>0</v>
      </c>
    </row>
    <row r="1353" spans="1:26">
      <c r="A1353" s="1">
        <v>1351</v>
      </c>
      <c r="B1353" t="str">
        <f>HYPERLINK("https://bugs.eclipse.org/bugs/show_bug.cgi?id=44283", "44283")</f>
        <v>44283</v>
      </c>
      <c r="C1353" t="s">
        <v>149</v>
      </c>
      <c r="D1353" t="s">
        <v>10</v>
      </c>
      <c r="E1353" t="s">
        <v>12</v>
      </c>
      <c r="F1353" t="s">
        <v>26</v>
      </c>
      <c r="L1353" t="s">
        <v>6230</v>
      </c>
      <c r="N1353" t="s">
        <v>6230</v>
      </c>
      <c r="T1353" t="s">
        <v>6231</v>
      </c>
      <c r="U1353" t="s">
        <v>6232</v>
      </c>
      <c r="V1353" t="s">
        <v>6230</v>
      </c>
      <c r="W1353" t="s">
        <v>851</v>
      </c>
      <c r="X1353" t="s">
        <v>6233</v>
      </c>
      <c r="Y1353">
        <v>20.041666666666671</v>
      </c>
      <c r="Z1353">
        <v>220</v>
      </c>
    </row>
    <row r="1354" spans="1:26">
      <c r="A1354" s="1">
        <v>1352</v>
      </c>
      <c r="B1354" t="str">
        <f>HYPERLINK("https://bugs.eclipse.org/bugs/show_bug.cgi?id=44310", "44310")</f>
        <v>44310</v>
      </c>
      <c r="C1354" t="s">
        <v>149</v>
      </c>
      <c r="D1354" t="s">
        <v>10</v>
      </c>
      <c r="E1354" t="s">
        <v>12</v>
      </c>
      <c r="F1354" t="s">
        <v>26</v>
      </c>
      <c r="L1354" t="s">
        <v>6234</v>
      </c>
      <c r="N1354" t="s">
        <v>6234</v>
      </c>
      <c r="T1354" t="s">
        <v>6235</v>
      </c>
      <c r="U1354" t="s">
        <v>6236</v>
      </c>
      <c r="V1354" t="s">
        <v>6234</v>
      </c>
      <c r="W1354" t="s">
        <v>49</v>
      </c>
      <c r="X1354" t="s">
        <v>6237</v>
      </c>
      <c r="Y1354">
        <v>0</v>
      </c>
      <c r="Z1354">
        <v>9</v>
      </c>
    </row>
    <row r="1355" spans="1:26">
      <c r="A1355" s="1">
        <v>1353</v>
      </c>
      <c r="B1355" t="str">
        <f>HYPERLINK("https://bugs.eclipse.org/bugs/show_bug.cgi?id=44401", "44401")</f>
        <v>44401</v>
      </c>
      <c r="C1355" t="s">
        <v>149</v>
      </c>
      <c r="D1355" t="s">
        <v>10</v>
      </c>
      <c r="E1355" t="s">
        <v>12</v>
      </c>
      <c r="F1355" t="s">
        <v>26</v>
      </c>
      <c r="L1355" t="s">
        <v>6238</v>
      </c>
      <c r="N1355" t="s">
        <v>6238</v>
      </c>
      <c r="T1355" t="s">
        <v>6239</v>
      </c>
      <c r="U1355" t="s">
        <v>6240</v>
      </c>
      <c r="V1355" t="s">
        <v>6238</v>
      </c>
      <c r="W1355" t="s">
        <v>86</v>
      </c>
      <c r="X1355" t="s">
        <v>6241</v>
      </c>
      <c r="Y1355">
        <v>0</v>
      </c>
      <c r="Z1355">
        <v>0</v>
      </c>
    </row>
    <row r="1356" spans="1:26">
      <c r="A1356" s="1">
        <v>1354</v>
      </c>
      <c r="B1356" t="str">
        <f>HYPERLINK("https://bugs.eclipse.org/bugs/show_bug.cgi?id=44402", "44402")</f>
        <v>44402</v>
      </c>
      <c r="C1356" t="s">
        <v>149</v>
      </c>
      <c r="D1356" t="s">
        <v>10</v>
      </c>
      <c r="E1356" t="s">
        <v>12</v>
      </c>
      <c r="F1356" t="s">
        <v>26</v>
      </c>
      <c r="L1356" t="s">
        <v>6242</v>
      </c>
      <c r="N1356" t="s">
        <v>6242</v>
      </c>
      <c r="T1356" t="s">
        <v>6243</v>
      </c>
      <c r="U1356" t="s">
        <v>6244</v>
      </c>
      <c r="V1356" t="s">
        <v>6242</v>
      </c>
      <c r="W1356" t="s">
        <v>86</v>
      </c>
      <c r="X1356" t="s">
        <v>6245</v>
      </c>
      <c r="Y1356">
        <v>0</v>
      </c>
      <c r="Z1356">
        <v>40.041666666666657</v>
      </c>
    </row>
    <row r="1357" spans="1:26">
      <c r="A1357" s="1">
        <v>1355</v>
      </c>
      <c r="B1357" t="str">
        <f>HYPERLINK("https://bugs.eclipse.org/bugs/show_bug.cgi?id=44403", "44403")</f>
        <v>44403</v>
      </c>
      <c r="C1357" t="s">
        <v>149</v>
      </c>
      <c r="D1357" t="s">
        <v>10</v>
      </c>
      <c r="E1357" t="s">
        <v>12</v>
      </c>
      <c r="F1357" t="s">
        <v>26</v>
      </c>
      <c r="L1357" t="s">
        <v>6246</v>
      </c>
      <c r="N1357" t="s">
        <v>6246</v>
      </c>
      <c r="S1357" t="s">
        <v>6247</v>
      </c>
      <c r="T1357" t="s">
        <v>6248</v>
      </c>
      <c r="U1357" t="s">
        <v>6249</v>
      </c>
      <c r="V1357" t="s">
        <v>6246</v>
      </c>
      <c r="W1357" t="s">
        <v>86</v>
      </c>
      <c r="X1357" t="s">
        <v>6250</v>
      </c>
      <c r="Y1357">
        <v>0</v>
      </c>
      <c r="Z1357">
        <v>40.041666666666657</v>
      </c>
    </row>
    <row r="1358" spans="1:26">
      <c r="A1358" s="1">
        <v>1356</v>
      </c>
      <c r="B1358" t="str">
        <f>HYPERLINK("https://bugs.eclipse.org/bugs/show_bug.cgi?id=44407", "44407")</f>
        <v>44407</v>
      </c>
      <c r="C1358" t="s">
        <v>149</v>
      </c>
      <c r="D1358" t="s">
        <v>10</v>
      </c>
      <c r="E1358" t="s">
        <v>12</v>
      </c>
      <c r="F1358" t="s">
        <v>26</v>
      </c>
      <c r="L1358" t="s">
        <v>6251</v>
      </c>
      <c r="N1358" t="s">
        <v>6251</v>
      </c>
      <c r="T1358" t="s">
        <v>6252</v>
      </c>
      <c r="U1358" t="s">
        <v>6253</v>
      </c>
      <c r="V1358" t="s">
        <v>6251</v>
      </c>
      <c r="W1358" t="s">
        <v>851</v>
      </c>
      <c r="X1358" t="s">
        <v>6254</v>
      </c>
      <c r="Y1358">
        <v>0</v>
      </c>
      <c r="Z1358">
        <v>127.0416666666667</v>
      </c>
    </row>
    <row r="1359" spans="1:26">
      <c r="A1359" s="1">
        <v>1357</v>
      </c>
      <c r="B1359" t="str">
        <f>HYPERLINK("https://bugs.eclipse.org/bugs/show_bug.cgi?id=44408", "44408")</f>
        <v>44408</v>
      </c>
      <c r="C1359" t="s">
        <v>149</v>
      </c>
      <c r="D1359" t="s">
        <v>10</v>
      </c>
      <c r="E1359" t="s">
        <v>12</v>
      </c>
      <c r="F1359" t="s">
        <v>26</v>
      </c>
      <c r="G1359" t="s">
        <v>6255</v>
      </c>
      <c r="L1359" t="s">
        <v>6256</v>
      </c>
      <c r="N1359" t="s">
        <v>6256</v>
      </c>
      <c r="T1359" t="s">
        <v>6257</v>
      </c>
      <c r="U1359" t="s">
        <v>6258</v>
      </c>
      <c r="V1359" t="s">
        <v>6256</v>
      </c>
      <c r="W1359" t="s">
        <v>86</v>
      </c>
      <c r="X1359" t="s">
        <v>6259</v>
      </c>
      <c r="Y1359">
        <v>0</v>
      </c>
      <c r="Z1359">
        <v>0</v>
      </c>
    </row>
    <row r="1360" spans="1:26">
      <c r="A1360" s="1">
        <v>1358</v>
      </c>
      <c r="B1360" t="str">
        <f>HYPERLINK("https://bugs.eclipse.org/bugs/show_bug.cgi?id=44410", "44410")</f>
        <v>44410</v>
      </c>
      <c r="C1360" t="s">
        <v>149</v>
      </c>
      <c r="D1360" t="s">
        <v>10</v>
      </c>
      <c r="E1360" t="s">
        <v>12</v>
      </c>
      <c r="F1360" t="s">
        <v>26</v>
      </c>
      <c r="L1360" t="s">
        <v>6260</v>
      </c>
      <c r="N1360" t="s">
        <v>6260</v>
      </c>
      <c r="T1360" t="s">
        <v>6261</v>
      </c>
      <c r="U1360" t="s">
        <v>6262</v>
      </c>
      <c r="V1360" t="s">
        <v>6260</v>
      </c>
      <c r="W1360" t="s">
        <v>851</v>
      </c>
      <c r="X1360" t="s">
        <v>6263</v>
      </c>
      <c r="Y1360">
        <v>0</v>
      </c>
      <c r="Z1360">
        <v>219</v>
      </c>
    </row>
    <row r="1361" spans="1:26">
      <c r="A1361" s="1">
        <v>1359</v>
      </c>
      <c r="B1361" t="str">
        <f>HYPERLINK("https://bugs.eclipse.org/bugs/show_bug.cgi?id=44417", "44417")</f>
        <v>44417</v>
      </c>
      <c r="C1361" t="s">
        <v>149</v>
      </c>
      <c r="D1361" t="s">
        <v>10</v>
      </c>
      <c r="E1361" t="s">
        <v>12</v>
      </c>
      <c r="F1361" t="s">
        <v>51</v>
      </c>
      <c r="L1361" t="s">
        <v>6264</v>
      </c>
      <c r="N1361" t="s">
        <v>6264</v>
      </c>
      <c r="T1361" t="s">
        <v>6265</v>
      </c>
      <c r="U1361" t="s">
        <v>6266</v>
      </c>
      <c r="V1361" t="s">
        <v>6267</v>
      </c>
      <c r="W1361" t="s">
        <v>86</v>
      </c>
      <c r="X1361" t="s">
        <v>6268</v>
      </c>
      <c r="Y1361">
        <v>0</v>
      </c>
      <c r="Z1361">
        <v>12</v>
      </c>
    </row>
    <row r="1362" spans="1:26">
      <c r="A1362" s="1">
        <v>1360</v>
      </c>
      <c r="B1362" t="str">
        <f>HYPERLINK("https://bugs.eclipse.org/bugs/show_bug.cgi?id=44419", "44419")</f>
        <v>44419</v>
      </c>
      <c r="C1362" t="s">
        <v>35</v>
      </c>
      <c r="D1362" t="s">
        <v>11</v>
      </c>
      <c r="E1362" t="s">
        <v>12</v>
      </c>
      <c r="F1362" t="s">
        <v>150</v>
      </c>
      <c r="G1362" t="s">
        <v>6269</v>
      </c>
      <c r="L1362" t="s">
        <v>6270</v>
      </c>
      <c r="M1362" t="s">
        <v>6271</v>
      </c>
      <c r="N1362" t="s">
        <v>6270</v>
      </c>
      <c r="T1362" t="s">
        <v>6272</v>
      </c>
      <c r="U1362" t="s">
        <v>6273</v>
      </c>
      <c r="V1362" t="s">
        <v>6271</v>
      </c>
      <c r="W1362" t="s">
        <v>143</v>
      </c>
      <c r="X1362" t="s">
        <v>6274</v>
      </c>
      <c r="Y1362">
        <v>0</v>
      </c>
      <c r="Z1362">
        <v>945</v>
      </c>
    </row>
    <row r="1363" spans="1:26">
      <c r="A1363" s="1">
        <v>1361</v>
      </c>
      <c r="B1363" t="str">
        <f>HYPERLINK("https://bugs.eclipse.org/bugs/show_bug.cgi?id=44424", "44424")</f>
        <v>44424</v>
      </c>
      <c r="C1363" t="s">
        <v>6275</v>
      </c>
      <c r="D1363" t="s">
        <v>10</v>
      </c>
      <c r="E1363" t="s">
        <v>15</v>
      </c>
      <c r="F1363" t="s">
        <v>26</v>
      </c>
      <c r="L1363" t="s">
        <v>6258</v>
      </c>
      <c r="Q1363" t="s">
        <v>6258</v>
      </c>
      <c r="T1363" t="s">
        <v>6276</v>
      </c>
      <c r="U1363" t="s">
        <v>6258</v>
      </c>
      <c r="V1363" t="s">
        <v>6258</v>
      </c>
      <c r="W1363" t="s">
        <v>86</v>
      </c>
      <c r="X1363" t="s">
        <v>6277</v>
      </c>
      <c r="Y1363">
        <v>0</v>
      </c>
      <c r="Z1363">
        <v>0</v>
      </c>
    </row>
    <row r="1364" spans="1:26">
      <c r="A1364" s="1">
        <v>1362</v>
      </c>
      <c r="B1364" t="str">
        <f>HYPERLINK("https://bugs.eclipse.org/bugs/show_bug.cgi?id=44426", "44426")</f>
        <v>44426</v>
      </c>
      <c r="C1364" t="s">
        <v>149</v>
      </c>
      <c r="D1364" t="s">
        <v>10</v>
      </c>
      <c r="E1364" t="s">
        <v>12</v>
      </c>
      <c r="F1364" t="s">
        <v>26</v>
      </c>
      <c r="G1364" t="s">
        <v>6278</v>
      </c>
      <c r="L1364" t="s">
        <v>6279</v>
      </c>
      <c r="N1364" t="s">
        <v>6279</v>
      </c>
      <c r="T1364" t="s">
        <v>6280</v>
      </c>
      <c r="U1364" t="s">
        <v>6281</v>
      </c>
      <c r="V1364" t="s">
        <v>6084</v>
      </c>
      <c r="W1364" t="s">
        <v>851</v>
      </c>
      <c r="X1364" t="s">
        <v>6282</v>
      </c>
      <c r="Y1364">
        <v>0</v>
      </c>
      <c r="Z1364">
        <v>127.0416666666667</v>
      </c>
    </row>
    <row r="1365" spans="1:26">
      <c r="A1365" s="1">
        <v>1363</v>
      </c>
      <c r="B1365" t="str">
        <f>HYPERLINK("https://bugs.eclipse.org/bugs/show_bug.cgi?id=44427", "44427")</f>
        <v>44427</v>
      </c>
      <c r="C1365" t="s">
        <v>4692</v>
      </c>
      <c r="D1365" t="s">
        <v>4692</v>
      </c>
      <c r="F1365" t="s">
        <v>26</v>
      </c>
      <c r="T1365" t="s">
        <v>6283</v>
      </c>
      <c r="U1365" t="s">
        <v>6284</v>
      </c>
      <c r="V1365" t="s">
        <v>6285</v>
      </c>
      <c r="W1365" t="s">
        <v>49</v>
      </c>
      <c r="X1365" t="s">
        <v>6286</v>
      </c>
      <c r="Y1365">
        <v>0</v>
      </c>
    </row>
    <row r="1366" spans="1:26">
      <c r="A1366" s="1">
        <v>1364</v>
      </c>
      <c r="B1366" t="str">
        <f>HYPERLINK("https://bugs.eclipse.org/bugs/show_bug.cgi?id=44429", "44429")</f>
        <v>44429</v>
      </c>
      <c r="C1366" t="s">
        <v>149</v>
      </c>
      <c r="D1366" t="s">
        <v>10</v>
      </c>
      <c r="E1366" t="s">
        <v>12</v>
      </c>
      <c r="F1366" t="s">
        <v>26</v>
      </c>
      <c r="L1366" t="s">
        <v>6287</v>
      </c>
      <c r="N1366" t="s">
        <v>6287</v>
      </c>
      <c r="T1366" t="s">
        <v>6288</v>
      </c>
      <c r="U1366" t="s">
        <v>6289</v>
      </c>
      <c r="V1366" t="s">
        <v>6287</v>
      </c>
      <c r="W1366" t="s">
        <v>851</v>
      </c>
      <c r="X1366" t="s">
        <v>6290</v>
      </c>
      <c r="Y1366">
        <v>0</v>
      </c>
      <c r="Z1366">
        <v>16</v>
      </c>
    </row>
    <row r="1367" spans="1:26">
      <c r="A1367" s="1">
        <v>1365</v>
      </c>
      <c r="B1367" t="str">
        <f>HYPERLINK("https://bugs.eclipse.org/bugs/show_bug.cgi?id=44430", "44430")</f>
        <v>44430</v>
      </c>
      <c r="C1367" t="s">
        <v>25</v>
      </c>
      <c r="D1367" t="s">
        <v>25</v>
      </c>
      <c r="F1367" t="s">
        <v>51</v>
      </c>
      <c r="T1367" t="s">
        <v>6291</v>
      </c>
      <c r="U1367" t="s">
        <v>6292</v>
      </c>
      <c r="V1367" t="s">
        <v>6293</v>
      </c>
      <c r="W1367" t="s">
        <v>851</v>
      </c>
      <c r="X1367" t="s">
        <v>6294</v>
      </c>
      <c r="Y1367">
        <v>0</v>
      </c>
    </row>
    <row r="1368" spans="1:26">
      <c r="A1368" s="1">
        <v>1366</v>
      </c>
      <c r="B1368" t="str">
        <f>HYPERLINK("https://bugs.eclipse.org/bugs/show_bug.cgi?id=44432", "44432")</f>
        <v>44432</v>
      </c>
      <c r="C1368" t="s">
        <v>140</v>
      </c>
      <c r="D1368" t="s">
        <v>10</v>
      </c>
      <c r="E1368" t="s">
        <v>16</v>
      </c>
      <c r="F1368" t="s">
        <v>26</v>
      </c>
      <c r="L1368" t="s">
        <v>6295</v>
      </c>
      <c r="R1368" t="s">
        <v>6295</v>
      </c>
      <c r="T1368" t="s">
        <v>6296</v>
      </c>
      <c r="U1368" t="s">
        <v>6297</v>
      </c>
      <c r="V1368" t="s">
        <v>6295</v>
      </c>
      <c r="W1368" t="s">
        <v>143</v>
      </c>
      <c r="X1368" t="s">
        <v>6298</v>
      </c>
      <c r="Y1368">
        <v>0</v>
      </c>
      <c r="Z1368">
        <v>3418.041666666667</v>
      </c>
    </row>
    <row r="1369" spans="1:26">
      <c r="A1369" s="1">
        <v>1367</v>
      </c>
      <c r="B1369" t="str">
        <f>HYPERLINK("https://bugs.eclipse.org/bugs/show_bug.cgi?id=44433", "44433")</f>
        <v>44433</v>
      </c>
      <c r="C1369" t="s">
        <v>149</v>
      </c>
      <c r="D1369" t="s">
        <v>10</v>
      </c>
      <c r="E1369" t="s">
        <v>12</v>
      </c>
      <c r="F1369" t="s">
        <v>26</v>
      </c>
      <c r="L1369" t="s">
        <v>6299</v>
      </c>
      <c r="N1369" t="s">
        <v>6299</v>
      </c>
      <c r="T1369" t="s">
        <v>6300</v>
      </c>
      <c r="U1369" t="s">
        <v>6301</v>
      </c>
      <c r="V1369" t="s">
        <v>6299</v>
      </c>
      <c r="W1369" t="s">
        <v>851</v>
      </c>
      <c r="X1369" t="s">
        <v>6302</v>
      </c>
      <c r="Y1369">
        <v>0</v>
      </c>
      <c r="Z1369">
        <v>47.041666666666657</v>
      </c>
    </row>
    <row r="1370" spans="1:26">
      <c r="A1370" s="1">
        <v>1368</v>
      </c>
      <c r="B1370" t="str">
        <f>HYPERLINK("https://bugs.eclipse.org/bugs/show_bug.cgi?id=44441", "44441")</f>
        <v>44441</v>
      </c>
      <c r="C1370" t="s">
        <v>191</v>
      </c>
      <c r="D1370" t="s">
        <v>192</v>
      </c>
      <c r="E1370" t="s">
        <v>14</v>
      </c>
      <c r="F1370" t="s">
        <v>26</v>
      </c>
      <c r="P1370" t="s">
        <v>6303</v>
      </c>
      <c r="T1370" t="s">
        <v>6304</v>
      </c>
      <c r="U1370" t="s">
        <v>6305</v>
      </c>
      <c r="V1370" t="s">
        <v>6303</v>
      </c>
      <c r="W1370" t="s">
        <v>65</v>
      </c>
      <c r="X1370" t="s">
        <v>6306</v>
      </c>
      <c r="Y1370">
        <v>0</v>
      </c>
      <c r="Z1370">
        <v>6036</v>
      </c>
    </row>
    <row r="1371" spans="1:26">
      <c r="A1371" s="1">
        <v>1369</v>
      </c>
      <c r="B1371" t="str">
        <f>HYPERLINK("https://bugs.eclipse.org/bugs/show_bug.cgi?id=44611", "44611")</f>
        <v>44611</v>
      </c>
      <c r="C1371" t="s">
        <v>149</v>
      </c>
      <c r="D1371" t="s">
        <v>10</v>
      </c>
      <c r="E1371" t="s">
        <v>12</v>
      </c>
      <c r="F1371" t="s">
        <v>26</v>
      </c>
      <c r="L1371" t="s">
        <v>6307</v>
      </c>
      <c r="N1371" t="s">
        <v>6307</v>
      </c>
      <c r="T1371" t="s">
        <v>6308</v>
      </c>
      <c r="U1371" t="s">
        <v>6309</v>
      </c>
      <c r="V1371" t="s">
        <v>6307</v>
      </c>
      <c r="W1371" t="s">
        <v>86</v>
      </c>
      <c r="X1371" t="s">
        <v>6310</v>
      </c>
      <c r="Y1371">
        <v>0</v>
      </c>
      <c r="Z1371">
        <v>441.04166666666669</v>
      </c>
    </row>
    <row r="1372" spans="1:26">
      <c r="A1372" s="1">
        <v>1370</v>
      </c>
      <c r="B1372" t="str">
        <f>HYPERLINK("https://bugs.eclipse.org/bugs/show_bug.cgi?id=44694", "44694")</f>
        <v>44694</v>
      </c>
      <c r="C1372" t="s">
        <v>2160</v>
      </c>
      <c r="D1372" t="s">
        <v>192</v>
      </c>
      <c r="E1372" t="s">
        <v>16</v>
      </c>
      <c r="F1372" t="s">
        <v>26</v>
      </c>
      <c r="L1372" t="s">
        <v>6311</v>
      </c>
      <c r="R1372" t="s">
        <v>6311</v>
      </c>
      <c r="T1372" t="s">
        <v>6312</v>
      </c>
      <c r="U1372" t="s">
        <v>6311</v>
      </c>
      <c r="V1372" t="s">
        <v>6313</v>
      </c>
      <c r="W1372" t="s">
        <v>6314</v>
      </c>
      <c r="X1372" t="s">
        <v>6315</v>
      </c>
      <c r="Y1372">
        <v>0</v>
      </c>
      <c r="Z1372">
        <v>0</v>
      </c>
    </row>
    <row r="1373" spans="1:26">
      <c r="A1373" s="1">
        <v>1371</v>
      </c>
      <c r="B1373" t="str">
        <f>HYPERLINK("https://bugs.eclipse.org/bugs/show_bug.cgi?id=44737", "44737")</f>
        <v>44737</v>
      </c>
      <c r="C1373" t="s">
        <v>149</v>
      </c>
      <c r="D1373" t="s">
        <v>10</v>
      </c>
      <c r="E1373" t="s">
        <v>12</v>
      </c>
      <c r="F1373" t="s">
        <v>26</v>
      </c>
      <c r="L1373" t="s">
        <v>6316</v>
      </c>
      <c r="N1373" t="s">
        <v>6316</v>
      </c>
      <c r="T1373" t="s">
        <v>6317</v>
      </c>
      <c r="U1373" t="s">
        <v>6318</v>
      </c>
      <c r="V1373" t="s">
        <v>6316</v>
      </c>
      <c r="W1373" t="s">
        <v>49</v>
      </c>
      <c r="X1373" t="s">
        <v>6319</v>
      </c>
      <c r="Y1373">
        <v>0</v>
      </c>
      <c r="Z1373">
        <v>53.041666666666657</v>
      </c>
    </row>
    <row r="1374" spans="1:26">
      <c r="A1374" s="1">
        <v>1372</v>
      </c>
      <c r="B1374" t="str">
        <f>HYPERLINK("https://bugs.eclipse.org/bugs/show_bug.cgi?id=44746", "44746")</f>
        <v>44746</v>
      </c>
      <c r="C1374" t="s">
        <v>6320</v>
      </c>
      <c r="D1374" t="s">
        <v>10</v>
      </c>
      <c r="E1374" t="s">
        <v>15</v>
      </c>
      <c r="F1374" t="s">
        <v>26</v>
      </c>
      <c r="L1374" t="s">
        <v>6321</v>
      </c>
      <c r="N1374" t="s">
        <v>6321</v>
      </c>
      <c r="Q1374" t="s">
        <v>6322</v>
      </c>
      <c r="T1374" t="s">
        <v>6323</v>
      </c>
      <c r="U1374" t="s">
        <v>6324</v>
      </c>
      <c r="V1374" t="s">
        <v>6322</v>
      </c>
      <c r="W1374" t="s">
        <v>851</v>
      </c>
      <c r="X1374" t="s">
        <v>6325</v>
      </c>
      <c r="Y1374">
        <v>0</v>
      </c>
      <c r="Z1374">
        <v>1775</v>
      </c>
    </row>
    <row r="1375" spans="1:26">
      <c r="A1375" s="1">
        <v>1373</v>
      </c>
      <c r="B1375" t="str">
        <f>HYPERLINK("https://bugs.eclipse.org/bugs/show_bug.cgi?id=44753", "44753")</f>
        <v>44753</v>
      </c>
      <c r="C1375" t="s">
        <v>35</v>
      </c>
      <c r="D1375" t="s">
        <v>11</v>
      </c>
      <c r="E1375" t="s">
        <v>12</v>
      </c>
      <c r="F1375" t="s">
        <v>51</v>
      </c>
      <c r="L1375" t="s">
        <v>6326</v>
      </c>
      <c r="M1375" t="s">
        <v>6327</v>
      </c>
      <c r="N1375" t="s">
        <v>6326</v>
      </c>
      <c r="T1375" t="s">
        <v>6328</v>
      </c>
      <c r="U1375" t="s">
        <v>6329</v>
      </c>
      <c r="V1375" t="s">
        <v>6327</v>
      </c>
      <c r="W1375" t="s">
        <v>6330</v>
      </c>
      <c r="X1375" t="s">
        <v>6331</v>
      </c>
      <c r="Y1375">
        <v>0</v>
      </c>
      <c r="Z1375">
        <v>242</v>
      </c>
    </row>
    <row r="1376" spans="1:26">
      <c r="A1376" s="1">
        <v>1374</v>
      </c>
      <c r="B1376" t="str">
        <f>HYPERLINK("https://bugs.eclipse.org/bugs/show_bug.cgi?id=44771", "44771")</f>
        <v>44771</v>
      </c>
      <c r="C1376" t="s">
        <v>56</v>
      </c>
      <c r="D1376" t="s">
        <v>10</v>
      </c>
      <c r="E1376" t="s">
        <v>14</v>
      </c>
      <c r="F1376" t="s">
        <v>26</v>
      </c>
      <c r="L1376" t="s">
        <v>6332</v>
      </c>
      <c r="P1376" t="s">
        <v>6332</v>
      </c>
      <c r="T1376" t="s">
        <v>6333</v>
      </c>
      <c r="U1376" t="s">
        <v>6334</v>
      </c>
      <c r="V1376" t="s">
        <v>6332</v>
      </c>
      <c r="W1376" t="s">
        <v>49</v>
      </c>
      <c r="X1376" t="s">
        <v>6335</v>
      </c>
      <c r="Y1376">
        <v>1</v>
      </c>
      <c r="Z1376">
        <v>718</v>
      </c>
    </row>
    <row r="1377" spans="1:26">
      <c r="A1377" s="1">
        <v>1375</v>
      </c>
      <c r="B1377" t="str">
        <f>HYPERLINK("https://bugs.eclipse.org/bugs/show_bug.cgi?id=44775", "44775")</f>
        <v>44775</v>
      </c>
      <c r="C1377" t="s">
        <v>140</v>
      </c>
      <c r="D1377" t="s">
        <v>10</v>
      </c>
      <c r="E1377" t="s">
        <v>16</v>
      </c>
      <c r="F1377" t="s">
        <v>26</v>
      </c>
      <c r="L1377" t="s">
        <v>6336</v>
      </c>
      <c r="R1377" t="s">
        <v>6336</v>
      </c>
      <c r="T1377" t="s">
        <v>6337</v>
      </c>
      <c r="U1377" t="s">
        <v>6338</v>
      </c>
      <c r="V1377" t="s">
        <v>6336</v>
      </c>
      <c r="W1377" t="s">
        <v>1954</v>
      </c>
      <c r="X1377" t="s">
        <v>6339</v>
      </c>
      <c r="Y1377">
        <v>1</v>
      </c>
      <c r="Z1377">
        <v>963</v>
      </c>
    </row>
    <row r="1378" spans="1:26">
      <c r="A1378" s="1">
        <v>1376</v>
      </c>
      <c r="B1378" t="str">
        <f>HYPERLINK("https://bugs.eclipse.org/bugs/show_bug.cgi?id=44801", "44801")</f>
        <v>44801</v>
      </c>
      <c r="C1378" t="s">
        <v>149</v>
      </c>
      <c r="D1378" t="s">
        <v>10</v>
      </c>
      <c r="E1378" t="s">
        <v>12</v>
      </c>
      <c r="F1378" t="s">
        <v>26</v>
      </c>
      <c r="L1378" t="s">
        <v>6340</v>
      </c>
      <c r="N1378" t="s">
        <v>6340</v>
      </c>
      <c r="T1378" t="s">
        <v>6341</v>
      </c>
      <c r="U1378" t="s">
        <v>6340</v>
      </c>
      <c r="V1378" t="s">
        <v>6340</v>
      </c>
      <c r="W1378" t="s">
        <v>49</v>
      </c>
      <c r="X1378" t="s">
        <v>6342</v>
      </c>
      <c r="Y1378">
        <v>206</v>
      </c>
      <c r="Z1378">
        <v>206</v>
      </c>
    </row>
    <row r="1379" spans="1:26">
      <c r="A1379" s="1">
        <v>1377</v>
      </c>
      <c r="B1379" t="str">
        <f>HYPERLINK("https://bugs.eclipse.org/bugs/show_bug.cgi?id=44802", "44802")</f>
        <v>44802</v>
      </c>
      <c r="C1379" t="s">
        <v>149</v>
      </c>
      <c r="D1379" t="s">
        <v>10</v>
      </c>
      <c r="E1379" t="s">
        <v>12</v>
      </c>
      <c r="F1379" t="s">
        <v>150</v>
      </c>
      <c r="L1379" t="s">
        <v>6343</v>
      </c>
      <c r="N1379" t="s">
        <v>6343</v>
      </c>
      <c r="T1379" t="s">
        <v>6344</v>
      </c>
      <c r="U1379" t="s">
        <v>6345</v>
      </c>
      <c r="V1379" t="s">
        <v>6343</v>
      </c>
      <c r="W1379" t="s">
        <v>86</v>
      </c>
      <c r="X1379" t="s">
        <v>6346</v>
      </c>
      <c r="Y1379">
        <v>0</v>
      </c>
      <c r="Z1379">
        <v>38.041666666666657</v>
      </c>
    </row>
    <row r="1380" spans="1:26">
      <c r="A1380" s="1">
        <v>1378</v>
      </c>
      <c r="B1380" t="str">
        <f>HYPERLINK("https://bugs.eclipse.org/bugs/show_bug.cgi?id=44803", "44803")</f>
        <v>44803</v>
      </c>
      <c r="C1380" t="s">
        <v>25</v>
      </c>
      <c r="D1380" t="s">
        <v>25</v>
      </c>
      <c r="F1380" t="s">
        <v>51</v>
      </c>
      <c r="G1380" t="s">
        <v>6347</v>
      </c>
      <c r="T1380" t="s">
        <v>6348</v>
      </c>
      <c r="U1380" t="s">
        <v>6349</v>
      </c>
      <c r="V1380" t="s">
        <v>6350</v>
      </c>
      <c r="W1380" t="s">
        <v>2777</v>
      </c>
      <c r="X1380" t="s">
        <v>6351</v>
      </c>
      <c r="Y1380">
        <v>0</v>
      </c>
    </row>
    <row r="1381" spans="1:26">
      <c r="A1381" s="1">
        <v>1379</v>
      </c>
      <c r="B1381" t="str">
        <f>HYPERLINK("https://bugs.eclipse.org/bugs/show_bug.cgi?id=44810", "44810")</f>
        <v>44810</v>
      </c>
      <c r="C1381" t="s">
        <v>6352</v>
      </c>
      <c r="D1381" t="s">
        <v>10</v>
      </c>
      <c r="E1381" t="s">
        <v>15</v>
      </c>
      <c r="F1381" t="s">
        <v>150</v>
      </c>
      <c r="L1381" t="s">
        <v>4869</v>
      </c>
      <c r="Q1381" t="s">
        <v>4869</v>
      </c>
      <c r="T1381" t="s">
        <v>6353</v>
      </c>
      <c r="U1381" t="s">
        <v>6354</v>
      </c>
      <c r="V1381" t="s">
        <v>4869</v>
      </c>
      <c r="W1381" t="s">
        <v>851</v>
      </c>
      <c r="X1381" t="s">
        <v>6355</v>
      </c>
      <c r="Y1381">
        <v>0</v>
      </c>
      <c r="Z1381">
        <v>212</v>
      </c>
    </row>
    <row r="1382" spans="1:26">
      <c r="A1382" s="1">
        <v>1380</v>
      </c>
      <c r="B1382" t="str">
        <f>HYPERLINK("https://bugs.eclipse.org/bugs/show_bug.cgi?id=44811", "44811")</f>
        <v>44811</v>
      </c>
      <c r="C1382" t="s">
        <v>25</v>
      </c>
      <c r="D1382" t="s">
        <v>25</v>
      </c>
      <c r="F1382" t="s">
        <v>26</v>
      </c>
      <c r="G1382" t="s">
        <v>6356</v>
      </c>
      <c r="T1382" t="s">
        <v>6357</v>
      </c>
      <c r="U1382" t="s">
        <v>6358</v>
      </c>
      <c r="V1382" t="s">
        <v>6359</v>
      </c>
      <c r="W1382" t="s">
        <v>6360</v>
      </c>
      <c r="X1382" t="s">
        <v>6361</v>
      </c>
      <c r="Y1382">
        <v>0</v>
      </c>
    </row>
    <row r="1383" spans="1:26">
      <c r="A1383" s="1">
        <v>1381</v>
      </c>
      <c r="B1383" t="str">
        <f>HYPERLINK("https://bugs.eclipse.org/bugs/show_bug.cgi?id=44833", "44833")</f>
        <v>44833</v>
      </c>
      <c r="C1383" t="s">
        <v>35</v>
      </c>
      <c r="D1383" t="s">
        <v>11</v>
      </c>
      <c r="E1383" t="s">
        <v>12</v>
      </c>
      <c r="F1383" t="s">
        <v>150</v>
      </c>
      <c r="L1383" t="s">
        <v>6362</v>
      </c>
      <c r="M1383" t="s">
        <v>6363</v>
      </c>
      <c r="N1383" t="s">
        <v>6362</v>
      </c>
      <c r="T1383" t="s">
        <v>6364</v>
      </c>
      <c r="U1383" t="s">
        <v>6365</v>
      </c>
      <c r="V1383" t="s">
        <v>6363</v>
      </c>
      <c r="W1383" t="s">
        <v>143</v>
      </c>
      <c r="X1383" t="s">
        <v>6366</v>
      </c>
      <c r="Y1383">
        <v>1</v>
      </c>
      <c r="Z1383">
        <v>37.041666666666657</v>
      </c>
    </row>
    <row r="1384" spans="1:26">
      <c r="A1384" s="1">
        <v>1382</v>
      </c>
      <c r="B1384" t="str">
        <f>HYPERLINK("https://bugs.eclipse.org/bugs/show_bug.cgi?id=44834", "44834")</f>
        <v>44834</v>
      </c>
      <c r="C1384" t="s">
        <v>149</v>
      </c>
      <c r="D1384" t="s">
        <v>10</v>
      </c>
      <c r="E1384" t="s">
        <v>12</v>
      </c>
      <c r="F1384" t="s">
        <v>26</v>
      </c>
      <c r="L1384" t="s">
        <v>6367</v>
      </c>
      <c r="N1384" t="s">
        <v>6367</v>
      </c>
      <c r="T1384" t="s">
        <v>6368</v>
      </c>
      <c r="U1384" t="s">
        <v>6369</v>
      </c>
      <c r="V1384" t="s">
        <v>6367</v>
      </c>
      <c r="W1384" t="s">
        <v>86</v>
      </c>
      <c r="X1384" t="s">
        <v>6370</v>
      </c>
      <c r="Y1384">
        <v>1</v>
      </c>
      <c r="Z1384">
        <v>52.041666666666657</v>
      </c>
    </row>
    <row r="1385" spans="1:26">
      <c r="A1385" s="1">
        <v>1383</v>
      </c>
      <c r="B1385" t="str">
        <f>HYPERLINK("https://bugs.eclipse.org/bugs/show_bug.cgi?id=44875", "44875")</f>
        <v>44875</v>
      </c>
      <c r="C1385" t="s">
        <v>88</v>
      </c>
      <c r="D1385" t="s">
        <v>10</v>
      </c>
      <c r="E1385" t="s">
        <v>13</v>
      </c>
      <c r="F1385" t="s">
        <v>26</v>
      </c>
      <c r="L1385" t="s">
        <v>6371</v>
      </c>
      <c r="O1385" t="s">
        <v>6371</v>
      </c>
      <c r="T1385" t="s">
        <v>6372</v>
      </c>
      <c r="U1385" t="s">
        <v>6371</v>
      </c>
      <c r="V1385" t="s">
        <v>6371</v>
      </c>
      <c r="W1385" t="s">
        <v>6373</v>
      </c>
      <c r="X1385" t="s">
        <v>6374</v>
      </c>
      <c r="Y1385">
        <v>6</v>
      </c>
      <c r="Z1385">
        <v>6</v>
      </c>
    </row>
    <row r="1386" spans="1:26">
      <c r="A1386" s="1">
        <v>1384</v>
      </c>
      <c r="B1386" t="str">
        <f>HYPERLINK("https://bugs.eclipse.org/bugs/show_bug.cgi?id=44927", "44927")</f>
        <v>44927</v>
      </c>
      <c r="C1386" t="s">
        <v>149</v>
      </c>
      <c r="D1386" t="s">
        <v>10</v>
      </c>
      <c r="E1386" t="s">
        <v>12</v>
      </c>
      <c r="F1386" t="s">
        <v>150</v>
      </c>
      <c r="L1386" t="s">
        <v>6375</v>
      </c>
      <c r="N1386" t="s">
        <v>6375</v>
      </c>
      <c r="T1386" t="s">
        <v>6376</v>
      </c>
      <c r="U1386" t="s">
        <v>6377</v>
      </c>
      <c r="V1386" t="s">
        <v>6375</v>
      </c>
      <c r="W1386" t="s">
        <v>6378</v>
      </c>
      <c r="X1386" t="s">
        <v>6379</v>
      </c>
      <c r="Y1386">
        <v>1</v>
      </c>
      <c r="Z1386">
        <v>1</v>
      </c>
    </row>
    <row r="1387" spans="1:26">
      <c r="A1387" s="1">
        <v>1385</v>
      </c>
      <c r="B1387" t="str">
        <f>HYPERLINK("https://bugs.eclipse.org/bugs/show_bug.cgi?id=44964", "44964")</f>
        <v>44964</v>
      </c>
      <c r="C1387" t="s">
        <v>149</v>
      </c>
      <c r="D1387" t="s">
        <v>10</v>
      </c>
      <c r="E1387" t="s">
        <v>12</v>
      </c>
      <c r="F1387" t="s">
        <v>26</v>
      </c>
      <c r="G1387" t="s">
        <v>6380</v>
      </c>
      <c r="L1387" t="s">
        <v>6381</v>
      </c>
      <c r="M1387" t="s">
        <v>6382</v>
      </c>
      <c r="N1387" t="s">
        <v>6381</v>
      </c>
      <c r="Q1387" t="s">
        <v>6383</v>
      </c>
      <c r="S1387" t="s">
        <v>6384</v>
      </c>
      <c r="T1387" t="s">
        <v>6385</v>
      </c>
      <c r="U1387" t="s">
        <v>6386</v>
      </c>
      <c r="V1387" t="s">
        <v>6381</v>
      </c>
      <c r="W1387" t="s">
        <v>851</v>
      </c>
      <c r="X1387" t="s">
        <v>6387</v>
      </c>
      <c r="Y1387">
        <v>1</v>
      </c>
      <c r="Z1387">
        <v>866.04166666666663</v>
      </c>
    </row>
    <row r="1388" spans="1:26">
      <c r="A1388" s="1">
        <v>1386</v>
      </c>
      <c r="B1388" t="str">
        <f>HYPERLINK("https://bugs.eclipse.org/bugs/show_bug.cgi?id=44969", "44969")</f>
        <v>44969</v>
      </c>
      <c r="C1388" t="s">
        <v>140</v>
      </c>
      <c r="D1388" t="s">
        <v>10</v>
      </c>
      <c r="E1388" t="s">
        <v>16</v>
      </c>
      <c r="F1388" t="s">
        <v>26</v>
      </c>
      <c r="L1388" t="s">
        <v>6388</v>
      </c>
      <c r="R1388" t="s">
        <v>6388</v>
      </c>
      <c r="T1388" t="s">
        <v>6389</v>
      </c>
      <c r="U1388" t="s">
        <v>6390</v>
      </c>
      <c r="V1388" t="s">
        <v>6388</v>
      </c>
      <c r="W1388" t="s">
        <v>86</v>
      </c>
      <c r="X1388" t="s">
        <v>6391</v>
      </c>
      <c r="Y1388">
        <v>2</v>
      </c>
      <c r="Z1388">
        <v>5</v>
      </c>
    </row>
    <row r="1389" spans="1:26">
      <c r="A1389" s="1">
        <v>1387</v>
      </c>
      <c r="B1389" t="str">
        <f>HYPERLINK("https://bugs.eclipse.org/bugs/show_bug.cgi?id=45007", "45007")</f>
        <v>45007</v>
      </c>
      <c r="C1389" t="s">
        <v>35</v>
      </c>
      <c r="D1389" t="s">
        <v>11</v>
      </c>
      <c r="E1389" t="s">
        <v>12</v>
      </c>
      <c r="F1389" t="s">
        <v>26</v>
      </c>
      <c r="L1389" t="s">
        <v>6392</v>
      </c>
      <c r="M1389" t="s">
        <v>6393</v>
      </c>
      <c r="N1389" t="s">
        <v>6392</v>
      </c>
      <c r="T1389" t="s">
        <v>6394</v>
      </c>
      <c r="U1389" t="s">
        <v>6395</v>
      </c>
      <c r="V1389" t="s">
        <v>6393</v>
      </c>
      <c r="W1389" t="s">
        <v>6330</v>
      </c>
      <c r="X1389" t="s">
        <v>6396</v>
      </c>
      <c r="Y1389">
        <v>0</v>
      </c>
      <c r="Z1389">
        <v>225</v>
      </c>
    </row>
    <row r="1390" spans="1:26">
      <c r="A1390" s="1">
        <v>1388</v>
      </c>
      <c r="B1390" t="str">
        <f>HYPERLINK("https://bugs.eclipse.org/bugs/show_bug.cgi?id=45009", "45009")</f>
        <v>45009</v>
      </c>
      <c r="C1390" t="s">
        <v>149</v>
      </c>
      <c r="D1390" t="s">
        <v>10</v>
      </c>
      <c r="E1390" t="s">
        <v>12</v>
      </c>
      <c r="F1390" t="s">
        <v>26</v>
      </c>
      <c r="L1390" t="s">
        <v>6397</v>
      </c>
      <c r="N1390" t="s">
        <v>6397</v>
      </c>
      <c r="T1390" t="s">
        <v>6398</v>
      </c>
      <c r="U1390" t="s">
        <v>6399</v>
      </c>
      <c r="V1390" t="s">
        <v>6397</v>
      </c>
      <c r="W1390" t="s">
        <v>851</v>
      </c>
      <c r="X1390" t="s">
        <v>6400</v>
      </c>
      <c r="Y1390">
        <v>0</v>
      </c>
      <c r="Z1390">
        <v>8</v>
      </c>
    </row>
    <row r="1391" spans="1:26">
      <c r="A1391" s="1">
        <v>1389</v>
      </c>
      <c r="B1391" t="str">
        <f>HYPERLINK("https://bugs.eclipse.org/bugs/show_bug.cgi?id=45028", "45028")</f>
        <v>45028</v>
      </c>
      <c r="C1391" t="s">
        <v>140</v>
      </c>
      <c r="D1391" t="s">
        <v>10</v>
      </c>
      <c r="E1391" t="s">
        <v>16</v>
      </c>
      <c r="F1391" t="s">
        <v>26</v>
      </c>
      <c r="L1391" t="s">
        <v>6401</v>
      </c>
      <c r="R1391" t="s">
        <v>6401</v>
      </c>
      <c r="T1391" t="s">
        <v>6402</v>
      </c>
      <c r="U1391" t="s">
        <v>6403</v>
      </c>
      <c r="V1391" t="s">
        <v>6401</v>
      </c>
      <c r="W1391" t="s">
        <v>86</v>
      </c>
      <c r="X1391" t="s">
        <v>6404</v>
      </c>
      <c r="Y1391">
        <v>0</v>
      </c>
      <c r="Z1391">
        <v>12.04166666666667</v>
      </c>
    </row>
    <row r="1392" spans="1:26">
      <c r="A1392" s="1">
        <v>1390</v>
      </c>
      <c r="B1392" t="str">
        <f>HYPERLINK("https://bugs.eclipse.org/bugs/show_bug.cgi?id=45081", "45081")</f>
        <v>45081</v>
      </c>
      <c r="C1392" t="s">
        <v>149</v>
      </c>
      <c r="D1392" t="s">
        <v>10</v>
      </c>
      <c r="E1392" t="s">
        <v>12</v>
      </c>
      <c r="F1392" t="s">
        <v>26</v>
      </c>
      <c r="L1392" t="s">
        <v>6405</v>
      </c>
      <c r="N1392" t="s">
        <v>6405</v>
      </c>
      <c r="T1392" t="s">
        <v>6406</v>
      </c>
      <c r="U1392" t="s">
        <v>6407</v>
      </c>
      <c r="V1392" t="s">
        <v>6405</v>
      </c>
      <c r="W1392" t="s">
        <v>86</v>
      </c>
      <c r="X1392" t="s">
        <v>6408</v>
      </c>
      <c r="Y1392">
        <v>0</v>
      </c>
      <c r="Z1392">
        <v>440.04166666666669</v>
      </c>
    </row>
    <row r="1393" spans="1:26">
      <c r="A1393" s="1">
        <v>1391</v>
      </c>
      <c r="B1393" t="str">
        <f>HYPERLINK("https://bugs.eclipse.org/bugs/show_bug.cgi?id=45166", "45166")</f>
        <v>45166</v>
      </c>
      <c r="C1393" t="s">
        <v>5739</v>
      </c>
      <c r="D1393" t="s">
        <v>10</v>
      </c>
      <c r="E1393" t="s">
        <v>15</v>
      </c>
      <c r="F1393" t="s">
        <v>26</v>
      </c>
      <c r="L1393" t="s">
        <v>6409</v>
      </c>
      <c r="Q1393" t="s">
        <v>6409</v>
      </c>
      <c r="T1393" t="s">
        <v>6410</v>
      </c>
      <c r="U1393" t="s">
        <v>6411</v>
      </c>
      <c r="V1393" t="s">
        <v>6409</v>
      </c>
      <c r="W1393" t="s">
        <v>86</v>
      </c>
      <c r="X1393" t="s">
        <v>6412</v>
      </c>
      <c r="Y1393">
        <v>21.041666666666671</v>
      </c>
      <c r="Z1393">
        <v>40.041666666666657</v>
      </c>
    </row>
    <row r="1394" spans="1:26">
      <c r="A1394" s="1">
        <v>1392</v>
      </c>
      <c r="B1394" t="str">
        <f>HYPERLINK("https://bugs.eclipse.org/bugs/show_bug.cgi?id=45176", "45176")</f>
        <v>45176</v>
      </c>
      <c r="C1394" t="s">
        <v>5739</v>
      </c>
      <c r="D1394" t="s">
        <v>10</v>
      </c>
      <c r="E1394" t="s">
        <v>15</v>
      </c>
      <c r="F1394" t="s">
        <v>26</v>
      </c>
      <c r="L1394" t="s">
        <v>6413</v>
      </c>
      <c r="Q1394" t="s">
        <v>6413</v>
      </c>
      <c r="T1394" t="s">
        <v>6414</v>
      </c>
      <c r="U1394" t="s">
        <v>6415</v>
      </c>
      <c r="V1394" t="s">
        <v>6413</v>
      </c>
      <c r="W1394" t="s">
        <v>86</v>
      </c>
      <c r="X1394" t="s">
        <v>6416</v>
      </c>
      <c r="Y1394">
        <v>1</v>
      </c>
      <c r="Z1394">
        <v>30.041666666666671</v>
      </c>
    </row>
    <row r="1395" spans="1:26">
      <c r="A1395" s="1">
        <v>1393</v>
      </c>
      <c r="B1395" t="str">
        <f>HYPERLINK("https://bugs.eclipse.org/bugs/show_bug.cgi?id=45177", "45177")</f>
        <v>45177</v>
      </c>
      <c r="C1395" t="s">
        <v>140</v>
      </c>
      <c r="D1395" t="s">
        <v>10</v>
      </c>
      <c r="E1395" t="s">
        <v>16</v>
      </c>
      <c r="F1395" t="s">
        <v>26</v>
      </c>
      <c r="L1395" t="s">
        <v>6417</v>
      </c>
      <c r="R1395" t="s">
        <v>6417</v>
      </c>
      <c r="T1395" t="s">
        <v>6418</v>
      </c>
      <c r="U1395" t="s">
        <v>6419</v>
      </c>
      <c r="V1395" t="s">
        <v>6417</v>
      </c>
      <c r="W1395" t="s">
        <v>86</v>
      </c>
      <c r="X1395" t="s">
        <v>6420</v>
      </c>
      <c r="Y1395">
        <v>0</v>
      </c>
      <c r="Z1395">
        <v>58.041666666666657</v>
      </c>
    </row>
    <row r="1396" spans="1:26">
      <c r="A1396" s="1">
        <v>1394</v>
      </c>
      <c r="B1396" t="str">
        <f>HYPERLINK("https://bugs.eclipse.org/bugs/show_bug.cgi?id=45178", "45178")</f>
        <v>45178</v>
      </c>
      <c r="C1396" t="s">
        <v>149</v>
      </c>
      <c r="D1396" t="s">
        <v>10</v>
      </c>
      <c r="E1396" t="s">
        <v>12</v>
      </c>
      <c r="F1396" t="s">
        <v>26</v>
      </c>
      <c r="L1396" t="s">
        <v>6421</v>
      </c>
      <c r="N1396" t="s">
        <v>6421</v>
      </c>
      <c r="T1396" t="s">
        <v>6422</v>
      </c>
      <c r="U1396" t="s">
        <v>6423</v>
      </c>
      <c r="V1396" t="s">
        <v>6421</v>
      </c>
      <c r="W1396" t="s">
        <v>851</v>
      </c>
      <c r="X1396" t="s">
        <v>6424</v>
      </c>
      <c r="Y1396">
        <v>0</v>
      </c>
      <c r="Z1396">
        <v>50.041666666666657</v>
      </c>
    </row>
    <row r="1397" spans="1:26">
      <c r="A1397" s="1">
        <v>1395</v>
      </c>
      <c r="B1397" t="str">
        <f>HYPERLINK("https://bugs.eclipse.org/bugs/show_bug.cgi?id=45179", "45179")</f>
        <v>45179</v>
      </c>
      <c r="C1397" t="s">
        <v>149</v>
      </c>
      <c r="D1397" t="s">
        <v>10</v>
      </c>
      <c r="E1397" t="s">
        <v>12</v>
      </c>
      <c r="F1397" t="s">
        <v>26</v>
      </c>
      <c r="G1397" t="s">
        <v>6425</v>
      </c>
      <c r="L1397" t="s">
        <v>6426</v>
      </c>
      <c r="N1397" t="s">
        <v>6426</v>
      </c>
      <c r="T1397" t="s">
        <v>6427</v>
      </c>
      <c r="U1397" t="s">
        <v>6428</v>
      </c>
      <c r="V1397" t="s">
        <v>3094</v>
      </c>
      <c r="W1397" t="s">
        <v>851</v>
      </c>
      <c r="X1397" t="s">
        <v>6429</v>
      </c>
      <c r="Y1397">
        <v>30.041666666666671</v>
      </c>
      <c r="Z1397">
        <v>51.041666666666657</v>
      </c>
    </row>
    <row r="1398" spans="1:26">
      <c r="A1398" s="1">
        <v>1396</v>
      </c>
      <c r="B1398" t="str">
        <f>HYPERLINK("https://bugs.eclipse.org/bugs/show_bug.cgi?id=45205", "45205")</f>
        <v>45205</v>
      </c>
      <c r="C1398" t="s">
        <v>6430</v>
      </c>
      <c r="D1398" t="s">
        <v>10</v>
      </c>
      <c r="E1398" t="s">
        <v>15</v>
      </c>
      <c r="F1398" t="s">
        <v>26</v>
      </c>
      <c r="L1398" t="s">
        <v>6431</v>
      </c>
      <c r="Q1398" t="s">
        <v>6431</v>
      </c>
      <c r="T1398" t="s">
        <v>6432</v>
      </c>
      <c r="U1398" t="s">
        <v>6431</v>
      </c>
      <c r="V1398" t="s">
        <v>6431</v>
      </c>
      <c r="W1398" t="s">
        <v>86</v>
      </c>
      <c r="X1398" t="s">
        <v>6433</v>
      </c>
      <c r="Y1398">
        <v>1</v>
      </c>
      <c r="Z1398">
        <v>1</v>
      </c>
    </row>
    <row r="1399" spans="1:26">
      <c r="A1399" s="1">
        <v>1397</v>
      </c>
      <c r="B1399" t="str">
        <f>HYPERLINK("https://bugs.eclipse.org/bugs/show_bug.cgi?id=45227", "45227")</f>
        <v>45227</v>
      </c>
      <c r="C1399" t="s">
        <v>149</v>
      </c>
      <c r="D1399" t="s">
        <v>10</v>
      </c>
      <c r="E1399" t="s">
        <v>12</v>
      </c>
      <c r="F1399" t="s">
        <v>26</v>
      </c>
      <c r="L1399" t="s">
        <v>6434</v>
      </c>
      <c r="N1399" t="s">
        <v>6434</v>
      </c>
      <c r="T1399" t="s">
        <v>6435</v>
      </c>
      <c r="U1399" t="s">
        <v>6436</v>
      </c>
      <c r="V1399" t="s">
        <v>6434</v>
      </c>
      <c r="W1399" t="s">
        <v>851</v>
      </c>
      <c r="X1399" t="s">
        <v>6437</v>
      </c>
      <c r="Y1399">
        <v>1</v>
      </c>
      <c r="Z1399">
        <v>35.041666666666657</v>
      </c>
    </row>
    <row r="1400" spans="1:26">
      <c r="A1400" s="1">
        <v>1398</v>
      </c>
      <c r="B1400" t="str">
        <f>HYPERLINK("https://bugs.eclipse.org/bugs/show_bug.cgi?id=45265", "45265")</f>
        <v>45265</v>
      </c>
      <c r="C1400" t="s">
        <v>88</v>
      </c>
      <c r="D1400" t="s">
        <v>10</v>
      </c>
      <c r="E1400" t="s">
        <v>13</v>
      </c>
      <c r="F1400" t="s">
        <v>26</v>
      </c>
      <c r="L1400" t="s">
        <v>6438</v>
      </c>
      <c r="O1400" t="s">
        <v>6439</v>
      </c>
      <c r="T1400" t="s">
        <v>6440</v>
      </c>
      <c r="U1400" t="s">
        <v>6441</v>
      </c>
      <c r="V1400" t="s">
        <v>6439</v>
      </c>
      <c r="W1400" t="s">
        <v>75</v>
      </c>
      <c r="X1400" t="s">
        <v>6442</v>
      </c>
      <c r="Y1400">
        <v>0</v>
      </c>
      <c r="Z1400">
        <v>2140</v>
      </c>
    </row>
    <row r="1401" spans="1:26">
      <c r="A1401" s="1">
        <v>1399</v>
      </c>
      <c r="B1401" t="str">
        <f>HYPERLINK("https://bugs.eclipse.org/bugs/show_bug.cgi?id=45277", "45277")</f>
        <v>45277</v>
      </c>
      <c r="C1401" t="s">
        <v>149</v>
      </c>
      <c r="D1401" t="s">
        <v>10</v>
      </c>
      <c r="E1401" t="s">
        <v>12</v>
      </c>
      <c r="F1401" t="s">
        <v>26</v>
      </c>
      <c r="L1401" t="s">
        <v>6443</v>
      </c>
      <c r="N1401" t="s">
        <v>6443</v>
      </c>
      <c r="T1401" t="s">
        <v>6444</v>
      </c>
      <c r="U1401" t="s">
        <v>6445</v>
      </c>
      <c r="V1401" t="s">
        <v>6443</v>
      </c>
      <c r="W1401" t="s">
        <v>86</v>
      </c>
      <c r="X1401" t="s">
        <v>6446</v>
      </c>
      <c r="Y1401">
        <v>0</v>
      </c>
      <c r="Z1401">
        <v>76.041666666666671</v>
      </c>
    </row>
    <row r="1402" spans="1:26">
      <c r="A1402" s="1">
        <v>1400</v>
      </c>
      <c r="B1402" t="str">
        <f>HYPERLINK("https://bugs.eclipse.org/bugs/show_bug.cgi?id=45332", "45332")</f>
        <v>45332</v>
      </c>
      <c r="C1402" t="s">
        <v>149</v>
      </c>
      <c r="D1402" t="s">
        <v>10</v>
      </c>
      <c r="E1402" t="s">
        <v>12</v>
      </c>
      <c r="F1402" t="s">
        <v>26</v>
      </c>
      <c r="L1402" t="s">
        <v>6447</v>
      </c>
      <c r="N1402" t="s">
        <v>6447</v>
      </c>
      <c r="T1402" t="s">
        <v>6448</v>
      </c>
      <c r="U1402" t="s">
        <v>6449</v>
      </c>
      <c r="V1402" t="s">
        <v>6447</v>
      </c>
      <c r="W1402" t="s">
        <v>86</v>
      </c>
      <c r="X1402" t="s">
        <v>6450</v>
      </c>
      <c r="Y1402">
        <v>0</v>
      </c>
      <c r="Z1402">
        <v>27.041666666666671</v>
      </c>
    </row>
    <row r="1403" spans="1:26">
      <c r="A1403" s="1">
        <v>1401</v>
      </c>
      <c r="B1403" t="str">
        <f>HYPERLINK("https://bugs.eclipse.org/bugs/show_bug.cgi?id=45343", "45343")</f>
        <v>45343</v>
      </c>
      <c r="C1403" t="s">
        <v>140</v>
      </c>
      <c r="D1403" t="s">
        <v>10</v>
      </c>
      <c r="E1403" t="s">
        <v>16</v>
      </c>
      <c r="F1403" t="s">
        <v>26</v>
      </c>
      <c r="L1403" t="s">
        <v>6451</v>
      </c>
      <c r="R1403" t="s">
        <v>6451</v>
      </c>
      <c r="T1403" t="s">
        <v>6452</v>
      </c>
      <c r="U1403" t="s">
        <v>6451</v>
      </c>
      <c r="V1403" t="s">
        <v>6451</v>
      </c>
      <c r="W1403" t="s">
        <v>86</v>
      </c>
      <c r="X1403" t="s">
        <v>6453</v>
      </c>
      <c r="Y1403">
        <v>1</v>
      </c>
      <c r="Z1403">
        <v>1</v>
      </c>
    </row>
    <row r="1404" spans="1:26">
      <c r="A1404" s="1">
        <v>1402</v>
      </c>
      <c r="B1404" t="str">
        <f>HYPERLINK("https://bugs.eclipse.org/bugs/show_bug.cgi?id=45493", "45493")</f>
        <v>45493</v>
      </c>
      <c r="C1404" t="s">
        <v>6454</v>
      </c>
      <c r="D1404" t="s">
        <v>10</v>
      </c>
      <c r="E1404" t="s">
        <v>15</v>
      </c>
      <c r="F1404" t="s">
        <v>26</v>
      </c>
      <c r="L1404" t="s">
        <v>6455</v>
      </c>
      <c r="Q1404" t="s">
        <v>6455</v>
      </c>
      <c r="T1404" t="s">
        <v>6456</v>
      </c>
      <c r="U1404" t="s">
        <v>6457</v>
      </c>
      <c r="V1404" t="s">
        <v>6455</v>
      </c>
      <c r="W1404" t="s">
        <v>86</v>
      </c>
      <c r="X1404" t="s">
        <v>6458</v>
      </c>
      <c r="Y1404">
        <v>0</v>
      </c>
      <c r="Z1404">
        <v>0</v>
      </c>
    </row>
    <row r="1405" spans="1:26">
      <c r="A1405" s="1">
        <v>1403</v>
      </c>
      <c r="B1405" t="str">
        <f>HYPERLINK("https://bugs.eclipse.org/bugs/show_bug.cgi?id=45527", "45527")</f>
        <v>45527</v>
      </c>
      <c r="C1405" t="s">
        <v>140</v>
      </c>
      <c r="D1405" t="s">
        <v>10</v>
      </c>
      <c r="E1405" t="s">
        <v>16</v>
      </c>
      <c r="F1405" t="s">
        <v>26</v>
      </c>
      <c r="L1405" t="s">
        <v>6459</v>
      </c>
      <c r="R1405" t="s">
        <v>6459</v>
      </c>
      <c r="T1405" t="s">
        <v>6460</v>
      </c>
      <c r="U1405" t="s">
        <v>6461</v>
      </c>
      <c r="V1405" t="s">
        <v>6459</v>
      </c>
      <c r="W1405" t="s">
        <v>86</v>
      </c>
      <c r="X1405" t="s">
        <v>6462</v>
      </c>
      <c r="Y1405">
        <v>0</v>
      </c>
      <c r="Z1405">
        <v>25.041666666666671</v>
      </c>
    </row>
    <row r="1406" spans="1:26">
      <c r="A1406" s="1">
        <v>1404</v>
      </c>
      <c r="B1406" t="str">
        <f>HYPERLINK("https://bugs.eclipse.org/bugs/show_bug.cgi?id=45614", "45614")</f>
        <v>45614</v>
      </c>
      <c r="C1406" t="s">
        <v>149</v>
      </c>
      <c r="D1406" t="s">
        <v>10</v>
      </c>
      <c r="E1406" t="s">
        <v>12</v>
      </c>
      <c r="F1406" t="s">
        <v>26</v>
      </c>
      <c r="L1406" t="s">
        <v>6463</v>
      </c>
      <c r="N1406" t="s">
        <v>6463</v>
      </c>
      <c r="T1406" t="s">
        <v>6464</v>
      </c>
      <c r="U1406" t="s">
        <v>6465</v>
      </c>
      <c r="V1406" t="s">
        <v>6463</v>
      </c>
      <c r="W1406" t="s">
        <v>86</v>
      </c>
      <c r="X1406" t="s">
        <v>6466</v>
      </c>
      <c r="Y1406">
        <v>0</v>
      </c>
      <c r="Z1406">
        <v>0</v>
      </c>
    </row>
    <row r="1407" spans="1:26">
      <c r="A1407" s="1">
        <v>1405</v>
      </c>
      <c r="B1407" t="str">
        <f>HYPERLINK("https://bugs.eclipse.org/bugs/show_bug.cgi?id=45673", "45673")</f>
        <v>45673</v>
      </c>
      <c r="C1407" t="s">
        <v>149</v>
      </c>
      <c r="D1407" t="s">
        <v>10</v>
      </c>
      <c r="E1407" t="s">
        <v>12</v>
      </c>
      <c r="F1407" t="s">
        <v>26</v>
      </c>
      <c r="L1407" t="s">
        <v>6467</v>
      </c>
      <c r="N1407" t="s">
        <v>6467</v>
      </c>
      <c r="T1407" t="s">
        <v>6468</v>
      </c>
      <c r="U1407" t="s">
        <v>6467</v>
      </c>
      <c r="V1407" t="s">
        <v>6467</v>
      </c>
      <c r="W1407" t="s">
        <v>86</v>
      </c>
      <c r="X1407" t="s">
        <v>6469</v>
      </c>
      <c r="Y1407">
        <v>0</v>
      </c>
      <c r="Z1407">
        <v>0</v>
      </c>
    </row>
    <row r="1408" spans="1:26">
      <c r="A1408" s="1">
        <v>1406</v>
      </c>
      <c r="B1408" t="str">
        <f>HYPERLINK("https://bugs.eclipse.org/bugs/show_bug.cgi?id=45738", "45738")</f>
        <v>45738</v>
      </c>
      <c r="C1408" t="s">
        <v>149</v>
      </c>
      <c r="D1408" t="s">
        <v>10</v>
      </c>
      <c r="E1408" t="s">
        <v>12</v>
      </c>
      <c r="F1408" t="s">
        <v>26</v>
      </c>
      <c r="L1408" t="s">
        <v>6470</v>
      </c>
      <c r="N1408" t="s">
        <v>6470</v>
      </c>
      <c r="T1408" t="s">
        <v>6471</v>
      </c>
      <c r="U1408" t="s">
        <v>6472</v>
      </c>
      <c r="V1408" t="s">
        <v>6470</v>
      </c>
      <c r="W1408" t="s">
        <v>851</v>
      </c>
      <c r="X1408" t="s">
        <v>6473</v>
      </c>
      <c r="Y1408">
        <v>0</v>
      </c>
      <c r="Z1408">
        <v>200.95833333333329</v>
      </c>
    </row>
    <row r="1409" spans="1:26">
      <c r="A1409" s="1">
        <v>1407</v>
      </c>
      <c r="B1409" t="str">
        <f>HYPERLINK("https://bugs.eclipse.org/bugs/show_bug.cgi?id=45831", "45831")</f>
        <v>45831</v>
      </c>
      <c r="C1409" t="s">
        <v>35</v>
      </c>
      <c r="D1409" t="s">
        <v>11</v>
      </c>
      <c r="E1409" t="s">
        <v>12</v>
      </c>
      <c r="F1409" t="s">
        <v>26</v>
      </c>
      <c r="G1409" t="s">
        <v>6474</v>
      </c>
      <c r="L1409" t="s">
        <v>6475</v>
      </c>
      <c r="M1409" t="s">
        <v>6476</v>
      </c>
      <c r="N1409" t="s">
        <v>6475</v>
      </c>
      <c r="T1409" t="s">
        <v>6477</v>
      </c>
      <c r="U1409" t="s">
        <v>6478</v>
      </c>
      <c r="V1409" t="s">
        <v>6476</v>
      </c>
      <c r="W1409" t="s">
        <v>143</v>
      </c>
      <c r="X1409" t="s">
        <v>6479</v>
      </c>
      <c r="Y1409">
        <v>0</v>
      </c>
      <c r="Z1409">
        <v>1376.958333333333</v>
      </c>
    </row>
    <row r="1410" spans="1:26">
      <c r="A1410" s="1">
        <v>1408</v>
      </c>
      <c r="B1410" t="str">
        <f>HYPERLINK("https://bugs.eclipse.org/bugs/show_bug.cgi?id=45860", "45860")</f>
        <v>45860</v>
      </c>
      <c r="C1410" t="s">
        <v>149</v>
      </c>
      <c r="D1410" t="s">
        <v>10</v>
      </c>
      <c r="E1410" t="s">
        <v>12</v>
      </c>
      <c r="F1410" t="s">
        <v>26</v>
      </c>
      <c r="L1410" t="s">
        <v>6480</v>
      </c>
      <c r="N1410" t="s">
        <v>6480</v>
      </c>
      <c r="T1410" t="s">
        <v>6481</v>
      </c>
      <c r="U1410" t="s">
        <v>6480</v>
      </c>
      <c r="V1410" t="s">
        <v>6480</v>
      </c>
      <c r="W1410" t="s">
        <v>86</v>
      </c>
      <c r="X1410" t="s">
        <v>6482</v>
      </c>
      <c r="Y1410">
        <v>18</v>
      </c>
      <c r="Z1410">
        <v>18</v>
      </c>
    </row>
    <row r="1411" spans="1:26">
      <c r="A1411" s="1">
        <v>1409</v>
      </c>
      <c r="B1411" t="str">
        <f>HYPERLINK("https://bugs.eclipse.org/bugs/show_bug.cgi?id=45866", "45866")</f>
        <v>45866</v>
      </c>
      <c r="C1411" t="s">
        <v>149</v>
      </c>
      <c r="D1411" t="s">
        <v>10</v>
      </c>
      <c r="E1411" t="s">
        <v>12</v>
      </c>
      <c r="F1411" t="s">
        <v>26</v>
      </c>
      <c r="L1411" t="s">
        <v>6483</v>
      </c>
      <c r="N1411" t="s">
        <v>6483</v>
      </c>
      <c r="T1411" t="s">
        <v>6484</v>
      </c>
      <c r="U1411" t="s">
        <v>6485</v>
      </c>
      <c r="V1411" t="s">
        <v>6483</v>
      </c>
      <c r="W1411" t="s">
        <v>6486</v>
      </c>
      <c r="X1411" t="s">
        <v>6487</v>
      </c>
      <c r="Y1411">
        <v>6</v>
      </c>
      <c r="Z1411">
        <v>6</v>
      </c>
    </row>
    <row r="1412" spans="1:26">
      <c r="A1412" s="1">
        <v>1410</v>
      </c>
      <c r="B1412" t="str">
        <f>HYPERLINK("https://bugs.eclipse.org/bugs/show_bug.cgi?id=45907", "45907")</f>
        <v>45907</v>
      </c>
      <c r="C1412" t="s">
        <v>56</v>
      </c>
      <c r="D1412" t="s">
        <v>10</v>
      </c>
      <c r="E1412" t="s">
        <v>14</v>
      </c>
      <c r="F1412" t="s">
        <v>26</v>
      </c>
      <c r="L1412" t="s">
        <v>6488</v>
      </c>
      <c r="P1412" t="s">
        <v>6489</v>
      </c>
      <c r="T1412" t="s">
        <v>6490</v>
      </c>
      <c r="U1412" t="s">
        <v>6491</v>
      </c>
      <c r="V1412" t="s">
        <v>6489</v>
      </c>
      <c r="W1412" t="s">
        <v>75</v>
      </c>
      <c r="X1412" t="s">
        <v>6492</v>
      </c>
      <c r="Y1412">
        <v>1</v>
      </c>
      <c r="Z1412">
        <v>2128.958333333333</v>
      </c>
    </row>
    <row r="1413" spans="1:26">
      <c r="A1413" s="1">
        <v>1411</v>
      </c>
      <c r="B1413" t="str">
        <f>HYPERLINK("https://bugs.eclipse.org/bugs/show_bug.cgi?id=45925", "45925")</f>
        <v>45925</v>
      </c>
      <c r="C1413" t="s">
        <v>6493</v>
      </c>
      <c r="D1413" t="s">
        <v>10</v>
      </c>
      <c r="E1413" t="s">
        <v>15</v>
      </c>
      <c r="F1413" t="s">
        <v>26</v>
      </c>
      <c r="L1413" t="s">
        <v>6494</v>
      </c>
      <c r="Q1413" t="s">
        <v>6494</v>
      </c>
      <c r="T1413" t="s">
        <v>6495</v>
      </c>
      <c r="U1413" t="s">
        <v>6496</v>
      </c>
      <c r="V1413" t="s">
        <v>6494</v>
      </c>
      <c r="W1413" t="s">
        <v>851</v>
      </c>
      <c r="X1413" t="s">
        <v>6497</v>
      </c>
      <c r="Y1413">
        <v>1</v>
      </c>
      <c r="Z1413">
        <v>17</v>
      </c>
    </row>
    <row r="1414" spans="1:26">
      <c r="A1414" s="1">
        <v>1412</v>
      </c>
      <c r="B1414" t="str">
        <f>HYPERLINK("https://bugs.eclipse.org/bugs/show_bug.cgi?id=45926", "45926")</f>
        <v>45926</v>
      </c>
      <c r="C1414" t="s">
        <v>149</v>
      </c>
      <c r="D1414" t="s">
        <v>10</v>
      </c>
      <c r="E1414" t="s">
        <v>12</v>
      </c>
      <c r="F1414" t="s">
        <v>26</v>
      </c>
      <c r="L1414" t="s">
        <v>6498</v>
      </c>
      <c r="N1414" t="s">
        <v>6498</v>
      </c>
      <c r="T1414" t="s">
        <v>6499</v>
      </c>
      <c r="U1414" t="s">
        <v>6500</v>
      </c>
      <c r="V1414" t="s">
        <v>6498</v>
      </c>
      <c r="W1414" t="s">
        <v>851</v>
      </c>
      <c r="X1414" t="s">
        <v>6501</v>
      </c>
      <c r="Y1414">
        <v>1</v>
      </c>
      <c r="Z1414">
        <v>43</v>
      </c>
    </row>
    <row r="1415" spans="1:26">
      <c r="A1415" s="1">
        <v>1413</v>
      </c>
      <c r="B1415" t="str">
        <f>HYPERLINK("https://bugs.eclipse.org/bugs/show_bug.cgi?id=45927", "45927")</f>
        <v>45927</v>
      </c>
      <c r="C1415" t="s">
        <v>149</v>
      </c>
      <c r="D1415" t="s">
        <v>10</v>
      </c>
      <c r="E1415" t="s">
        <v>12</v>
      </c>
      <c r="F1415" t="s">
        <v>26</v>
      </c>
      <c r="L1415" t="s">
        <v>6502</v>
      </c>
      <c r="N1415" t="s">
        <v>6502</v>
      </c>
      <c r="T1415" t="s">
        <v>6503</v>
      </c>
      <c r="U1415" t="s">
        <v>6502</v>
      </c>
      <c r="V1415" t="s">
        <v>6502</v>
      </c>
      <c r="W1415" t="s">
        <v>86</v>
      </c>
      <c r="X1415" t="s">
        <v>6504</v>
      </c>
      <c r="Y1415">
        <v>16</v>
      </c>
      <c r="Z1415">
        <v>16</v>
      </c>
    </row>
    <row r="1416" spans="1:26">
      <c r="A1416" s="1">
        <v>1414</v>
      </c>
      <c r="B1416" t="str">
        <f>HYPERLINK("https://bugs.eclipse.org/bugs/show_bug.cgi?id=45928", "45928")</f>
        <v>45928</v>
      </c>
      <c r="C1416" t="s">
        <v>4692</v>
      </c>
      <c r="D1416" t="s">
        <v>4692</v>
      </c>
      <c r="F1416" t="s">
        <v>51</v>
      </c>
      <c r="G1416" t="s">
        <v>6505</v>
      </c>
      <c r="T1416" t="s">
        <v>6506</v>
      </c>
      <c r="U1416" t="s">
        <v>6507</v>
      </c>
      <c r="V1416" t="s">
        <v>6508</v>
      </c>
      <c r="W1416" t="s">
        <v>49</v>
      </c>
      <c r="X1416" t="s">
        <v>6509</v>
      </c>
      <c r="Y1416">
        <v>1</v>
      </c>
    </row>
    <row r="1417" spans="1:26">
      <c r="A1417" s="1">
        <v>1415</v>
      </c>
      <c r="B1417" t="str">
        <f>HYPERLINK("https://bugs.eclipse.org/bugs/show_bug.cgi?id=45929", "45929")</f>
        <v>45929</v>
      </c>
      <c r="C1417" t="s">
        <v>6510</v>
      </c>
      <c r="D1417" t="s">
        <v>10</v>
      </c>
      <c r="E1417" t="s">
        <v>15</v>
      </c>
      <c r="F1417" t="s">
        <v>26</v>
      </c>
      <c r="L1417" t="s">
        <v>6511</v>
      </c>
      <c r="Q1417" t="s">
        <v>6511</v>
      </c>
      <c r="T1417" t="s">
        <v>6512</v>
      </c>
      <c r="U1417" t="s">
        <v>6513</v>
      </c>
      <c r="V1417" t="s">
        <v>6511</v>
      </c>
      <c r="W1417" t="s">
        <v>86</v>
      </c>
      <c r="X1417" t="s">
        <v>6514</v>
      </c>
      <c r="Y1417">
        <v>1</v>
      </c>
      <c r="Z1417">
        <v>1</v>
      </c>
    </row>
    <row r="1418" spans="1:26">
      <c r="A1418" s="1">
        <v>1416</v>
      </c>
      <c r="B1418" t="str">
        <f>HYPERLINK("https://bugs.eclipse.org/bugs/show_bug.cgi?id=45942", "45942")</f>
        <v>45942</v>
      </c>
      <c r="C1418" t="s">
        <v>149</v>
      </c>
      <c r="D1418" t="s">
        <v>10</v>
      </c>
      <c r="E1418" t="s">
        <v>12</v>
      </c>
      <c r="F1418" t="s">
        <v>26</v>
      </c>
      <c r="L1418" t="s">
        <v>6515</v>
      </c>
      <c r="N1418" t="s">
        <v>6515</v>
      </c>
      <c r="T1418" t="s">
        <v>6516</v>
      </c>
      <c r="U1418" t="s">
        <v>6517</v>
      </c>
      <c r="V1418" t="s">
        <v>6515</v>
      </c>
      <c r="W1418" t="s">
        <v>6518</v>
      </c>
      <c r="X1418" t="s">
        <v>6519</v>
      </c>
      <c r="Y1418">
        <v>0</v>
      </c>
      <c r="Z1418">
        <v>4</v>
      </c>
    </row>
    <row r="1419" spans="1:26">
      <c r="A1419" s="1">
        <v>1417</v>
      </c>
      <c r="B1419" t="str">
        <f>HYPERLINK("https://bugs.eclipse.org/bugs/show_bug.cgi?id=45960", "45960")</f>
        <v>45960</v>
      </c>
      <c r="C1419" t="s">
        <v>149</v>
      </c>
      <c r="D1419" t="s">
        <v>10</v>
      </c>
      <c r="E1419" t="s">
        <v>12</v>
      </c>
      <c r="F1419" t="s">
        <v>26</v>
      </c>
      <c r="L1419" t="s">
        <v>6520</v>
      </c>
      <c r="N1419" t="s">
        <v>6520</v>
      </c>
      <c r="R1419" t="s">
        <v>6521</v>
      </c>
      <c r="S1419" t="s">
        <v>6522</v>
      </c>
      <c r="T1419" t="s">
        <v>6523</v>
      </c>
      <c r="U1419" t="s">
        <v>6521</v>
      </c>
      <c r="V1419" t="s">
        <v>6520</v>
      </c>
      <c r="W1419" t="s">
        <v>86</v>
      </c>
      <c r="X1419" t="s">
        <v>6524</v>
      </c>
      <c r="Y1419">
        <v>0</v>
      </c>
      <c r="Z1419">
        <v>15</v>
      </c>
    </row>
    <row r="1420" spans="1:26">
      <c r="A1420" s="1">
        <v>1418</v>
      </c>
      <c r="B1420" t="str">
        <f>HYPERLINK("https://bugs.eclipse.org/bugs/show_bug.cgi?id=45961", "45961")</f>
        <v>45961</v>
      </c>
      <c r="C1420" t="s">
        <v>6525</v>
      </c>
      <c r="D1420" t="s">
        <v>10</v>
      </c>
      <c r="E1420" t="s">
        <v>15</v>
      </c>
      <c r="F1420" t="s">
        <v>26</v>
      </c>
      <c r="L1420" t="s">
        <v>6526</v>
      </c>
      <c r="Q1420" t="s">
        <v>6526</v>
      </c>
      <c r="T1420" t="s">
        <v>6527</v>
      </c>
      <c r="U1420" t="s">
        <v>6526</v>
      </c>
      <c r="V1420" t="s">
        <v>6526</v>
      </c>
      <c r="W1420" t="s">
        <v>6528</v>
      </c>
      <c r="X1420" t="s">
        <v>6529</v>
      </c>
      <c r="Y1420">
        <v>0</v>
      </c>
      <c r="Z1420">
        <v>0</v>
      </c>
    </row>
    <row r="1421" spans="1:26">
      <c r="A1421" s="1">
        <v>1419</v>
      </c>
      <c r="B1421" t="str">
        <f>HYPERLINK("https://bugs.eclipse.org/bugs/show_bug.cgi?id=45963", "45963")</f>
        <v>45963</v>
      </c>
      <c r="C1421" t="s">
        <v>149</v>
      </c>
      <c r="D1421" t="s">
        <v>10</v>
      </c>
      <c r="E1421" t="s">
        <v>12</v>
      </c>
      <c r="F1421" t="s">
        <v>26</v>
      </c>
      <c r="L1421" t="s">
        <v>6530</v>
      </c>
      <c r="N1421" t="s">
        <v>6530</v>
      </c>
      <c r="T1421" t="s">
        <v>6531</v>
      </c>
      <c r="U1421" t="s">
        <v>6530</v>
      </c>
      <c r="V1421" t="s">
        <v>6530</v>
      </c>
      <c r="W1421" t="s">
        <v>86</v>
      </c>
      <c r="X1421" t="s">
        <v>6532</v>
      </c>
      <c r="Y1421">
        <v>15</v>
      </c>
      <c r="Z1421">
        <v>15</v>
      </c>
    </row>
    <row r="1422" spans="1:26">
      <c r="A1422" s="1">
        <v>1420</v>
      </c>
      <c r="B1422" t="str">
        <f>HYPERLINK("https://bugs.eclipse.org/bugs/show_bug.cgi?id=46070", "46070")</f>
        <v>46070</v>
      </c>
      <c r="C1422" t="s">
        <v>56</v>
      </c>
      <c r="D1422" t="s">
        <v>10</v>
      </c>
      <c r="E1422" t="s">
        <v>14</v>
      </c>
      <c r="F1422" t="s">
        <v>51</v>
      </c>
      <c r="L1422" t="s">
        <v>6533</v>
      </c>
      <c r="P1422" t="s">
        <v>6534</v>
      </c>
      <c r="R1422" t="s">
        <v>6535</v>
      </c>
      <c r="S1422" t="s">
        <v>6536</v>
      </c>
      <c r="T1422" t="s">
        <v>6537</v>
      </c>
      <c r="U1422" t="s">
        <v>6535</v>
      </c>
      <c r="V1422" t="s">
        <v>6534</v>
      </c>
      <c r="W1422" t="s">
        <v>80</v>
      </c>
      <c r="X1422" t="s">
        <v>6538</v>
      </c>
      <c r="Y1422">
        <v>1</v>
      </c>
      <c r="Z1422">
        <v>2125.958333333333</v>
      </c>
    </row>
    <row r="1423" spans="1:26">
      <c r="A1423" s="1">
        <v>1421</v>
      </c>
      <c r="B1423" t="str">
        <f>HYPERLINK("https://bugs.eclipse.org/bugs/show_bug.cgi?id=46177", "46177")</f>
        <v>46177</v>
      </c>
      <c r="C1423" t="s">
        <v>6539</v>
      </c>
      <c r="D1423" t="s">
        <v>10</v>
      </c>
      <c r="E1423" t="s">
        <v>15</v>
      </c>
      <c r="F1423" t="s">
        <v>26</v>
      </c>
      <c r="L1423" t="s">
        <v>6540</v>
      </c>
      <c r="Q1423" t="s">
        <v>6540</v>
      </c>
      <c r="T1423" t="s">
        <v>6541</v>
      </c>
      <c r="U1423" t="s">
        <v>6542</v>
      </c>
      <c r="V1423" t="s">
        <v>6540</v>
      </c>
      <c r="W1423" t="s">
        <v>851</v>
      </c>
      <c r="X1423" t="s">
        <v>6543</v>
      </c>
      <c r="Y1423">
        <v>0</v>
      </c>
      <c r="Z1423">
        <v>166.95833333333329</v>
      </c>
    </row>
    <row r="1424" spans="1:26">
      <c r="A1424" s="1">
        <v>1422</v>
      </c>
      <c r="B1424" t="str">
        <f>HYPERLINK("https://bugs.eclipse.org/bugs/show_bug.cgi?id=46182", "46182")</f>
        <v>46182</v>
      </c>
      <c r="C1424" t="s">
        <v>149</v>
      </c>
      <c r="D1424" t="s">
        <v>10</v>
      </c>
      <c r="E1424" t="s">
        <v>12</v>
      </c>
      <c r="F1424" t="s">
        <v>26</v>
      </c>
      <c r="L1424" t="s">
        <v>6544</v>
      </c>
      <c r="N1424" t="s">
        <v>6544</v>
      </c>
      <c r="T1424" t="s">
        <v>6545</v>
      </c>
      <c r="U1424" t="s">
        <v>6546</v>
      </c>
      <c r="V1424" t="s">
        <v>6544</v>
      </c>
      <c r="W1424" t="s">
        <v>6486</v>
      </c>
      <c r="X1424" t="s">
        <v>6547</v>
      </c>
      <c r="Y1424">
        <v>0</v>
      </c>
      <c r="Z1424">
        <v>2</v>
      </c>
    </row>
    <row r="1425" spans="1:26">
      <c r="A1425" s="1">
        <v>1423</v>
      </c>
      <c r="B1425" t="str">
        <f>HYPERLINK("https://bugs.eclipse.org/bugs/show_bug.cgi?id=46186", "46186")</f>
        <v>46186</v>
      </c>
      <c r="C1425" t="s">
        <v>149</v>
      </c>
      <c r="D1425" t="s">
        <v>10</v>
      </c>
      <c r="E1425" t="s">
        <v>12</v>
      </c>
      <c r="F1425" t="s">
        <v>26</v>
      </c>
      <c r="L1425" t="s">
        <v>6548</v>
      </c>
      <c r="N1425" t="s">
        <v>6548</v>
      </c>
      <c r="T1425" t="s">
        <v>6549</v>
      </c>
      <c r="U1425" t="s">
        <v>6550</v>
      </c>
      <c r="V1425" t="s">
        <v>6548</v>
      </c>
      <c r="W1425" t="s">
        <v>6518</v>
      </c>
      <c r="X1425" t="s">
        <v>6551</v>
      </c>
      <c r="Y1425">
        <v>0</v>
      </c>
      <c r="Z1425">
        <v>1</v>
      </c>
    </row>
    <row r="1426" spans="1:26">
      <c r="A1426" s="1">
        <v>1424</v>
      </c>
      <c r="B1426" t="str">
        <f>HYPERLINK("https://bugs.eclipse.org/bugs/show_bug.cgi?id=46189", "46189")</f>
        <v>46189</v>
      </c>
      <c r="C1426" t="s">
        <v>149</v>
      </c>
      <c r="D1426" t="s">
        <v>10</v>
      </c>
      <c r="E1426" t="s">
        <v>12</v>
      </c>
      <c r="F1426" t="s">
        <v>26</v>
      </c>
      <c r="L1426" t="s">
        <v>6552</v>
      </c>
      <c r="N1426" t="s">
        <v>6552</v>
      </c>
      <c r="T1426" t="s">
        <v>6553</v>
      </c>
      <c r="U1426" t="s">
        <v>6554</v>
      </c>
      <c r="V1426" t="s">
        <v>6552</v>
      </c>
      <c r="W1426" t="s">
        <v>6518</v>
      </c>
      <c r="X1426" t="s">
        <v>6555</v>
      </c>
      <c r="Y1426">
        <v>0</v>
      </c>
      <c r="Z1426">
        <v>1</v>
      </c>
    </row>
    <row r="1427" spans="1:26">
      <c r="A1427" s="1">
        <v>1425</v>
      </c>
      <c r="B1427" t="str">
        <f>HYPERLINK("https://bugs.eclipse.org/bugs/show_bug.cgi?id=46190", "46190")</f>
        <v>46190</v>
      </c>
      <c r="C1427" t="s">
        <v>149</v>
      </c>
      <c r="D1427" t="s">
        <v>10</v>
      </c>
      <c r="E1427" t="s">
        <v>12</v>
      </c>
      <c r="F1427" t="s">
        <v>26</v>
      </c>
      <c r="L1427" t="s">
        <v>6556</v>
      </c>
      <c r="N1427" t="s">
        <v>6556</v>
      </c>
      <c r="T1427" t="s">
        <v>6557</v>
      </c>
      <c r="U1427" t="s">
        <v>6558</v>
      </c>
      <c r="V1427" t="s">
        <v>6556</v>
      </c>
      <c r="W1427" t="s">
        <v>6518</v>
      </c>
      <c r="X1427" t="s">
        <v>6559</v>
      </c>
      <c r="Y1427">
        <v>0</v>
      </c>
      <c r="Z1427">
        <v>1</v>
      </c>
    </row>
    <row r="1428" spans="1:26">
      <c r="A1428" s="1">
        <v>1426</v>
      </c>
      <c r="B1428" t="str">
        <f>HYPERLINK("https://bugs.eclipse.org/bugs/show_bug.cgi?id=46216", "46216")</f>
        <v>46216</v>
      </c>
      <c r="C1428" t="s">
        <v>35</v>
      </c>
      <c r="D1428" t="s">
        <v>11</v>
      </c>
      <c r="E1428" t="s">
        <v>12</v>
      </c>
      <c r="F1428" t="s">
        <v>26</v>
      </c>
      <c r="G1428" t="s">
        <v>6560</v>
      </c>
      <c r="L1428" t="s">
        <v>6561</v>
      </c>
      <c r="M1428" t="s">
        <v>6562</v>
      </c>
      <c r="N1428" t="s">
        <v>6561</v>
      </c>
      <c r="T1428" t="s">
        <v>6563</v>
      </c>
      <c r="U1428" t="s">
        <v>6564</v>
      </c>
      <c r="V1428" t="s">
        <v>6562</v>
      </c>
      <c r="W1428" t="s">
        <v>851</v>
      </c>
      <c r="X1428" t="s">
        <v>6565</v>
      </c>
      <c r="Y1428">
        <v>0</v>
      </c>
      <c r="Z1428">
        <v>1909</v>
      </c>
    </row>
    <row r="1429" spans="1:26">
      <c r="A1429" s="1">
        <v>1427</v>
      </c>
      <c r="B1429" t="str">
        <f>HYPERLINK("https://bugs.eclipse.org/bugs/show_bug.cgi?id=46317", "46317")</f>
        <v>46317</v>
      </c>
      <c r="C1429" t="s">
        <v>56</v>
      </c>
      <c r="D1429" t="s">
        <v>10</v>
      </c>
      <c r="E1429" t="s">
        <v>14</v>
      </c>
      <c r="F1429" t="s">
        <v>26</v>
      </c>
      <c r="L1429" t="s">
        <v>6566</v>
      </c>
      <c r="P1429" t="s">
        <v>6567</v>
      </c>
      <c r="T1429" t="s">
        <v>6568</v>
      </c>
      <c r="U1429" t="s">
        <v>6569</v>
      </c>
      <c r="V1429" t="s">
        <v>6567</v>
      </c>
      <c r="W1429" t="s">
        <v>75</v>
      </c>
      <c r="X1429" t="s">
        <v>6570</v>
      </c>
      <c r="Y1429">
        <v>1</v>
      </c>
      <c r="Z1429">
        <v>2121.958333333333</v>
      </c>
    </row>
    <row r="1430" spans="1:26">
      <c r="A1430" s="1">
        <v>1428</v>
      </c>
      <c r="B1430" t="str">
        <f>HYPERLINK("https://bugs.eclipse.org/bugs/show_bug.cgi?id=46318", "46318")</f>
        <v>46318</v>
      </c>
      <c r="C1430" t="s">
        <v>6571</v>
      </c>
      <c r="D1430" t="s">
        <v>192</v>
      </c>
      <c r="E1430" t="s">
        <v>15</v>
      </c>
      <c r="F1430" t="s">
        <v>51</v>
      </c>
      <c r="Q1430" t="s">
        <v>6572</v>
      </c>
      <c r="T1430" t="s">
        <v>6573</v>
      </c>
      <c r="U1430" t="s">
        <v>6574</v>
      </c>
      <c r="V1430" t="s">
        <v>6575</v>
      </c>
      <c r="W1430" t="s">
        <v>6576</v>
      </c>
      <c r="X1430" t="s">
        <v>6577</v>
      </c>
      <c r="Y1430">
        <v>0</v>
      </c>
      <c r="Z1430">
        <v>2951</v>
      </c>
    </row>
    <row r="1431" spans="1:26">
      <c r="A1431" s="1">
        <v>1429</v>
      </c>
      <c r="B1431" t="str">
        <f>HYPERLINK("https://bugs.eclipse.org/bugs/show_bug.cgi?id=46320", "46320")</f>
        <v>46320</v>
      </c>
      <c r="C1431" t="s">
        <v>56</v>
      </c>
      <c r="D1431" t="s">
        <v>10</v>
      </c>
      <c r="E1431" t="s">
        <v>14</v>
      </c>
      <c r="F1431" t="s">
        <v>26</v>
      </c>
      <c r="L1431" t="s">
        <v>6578</v>
      </c>
      <c r="P1431" t="s">
        <v>6579</v>
      </c>
      <c r="R1431" t="s">
        <v>6580</v>
      </c>
      <c r="S1431" t="s">
        <v>6581</v>
      </c>
      <c r="T1431" t="s">
        <v>6582</v>
      </c>
      <c r="U1431" t="s">
        <v>6583</v>
      </c>
      <c r="V1431" t="s">
        <v>6579</v>
      </c>
      <c r="W1431" t="s">
        <v>80</v>
      </c>
      <c r="X1431" t="s">
        <v>6584</v>
      </c>
      <c r="Y1431">
        <v>0</v>
      </c>
      <c r="Z1431">
        <v>2121.958333333333</v>
      </c>
    </row>
    <row r="1432" spans="1:26">
      <c r="A1432" s="1">
        <v>1430</v>
      </c>
      <c r="B1432" t="str">
        <f>HYPERLINK("https://bugs.eclipse.org/bugs/show_bug.cgi?id=46328", "46328")</f>
        <v>46328</v>
      </c>
      <c r="C1432" t="s">
        <v>6585</v>
      </c>
      <c r="D1432" t="s">
        <v>10</v>
      </c>
      <c r="E1432" t="s">
        <v>15</v>
      </c>
      <c r="F1432" t="s">
        <v>26</v>
      </c>
      <c r="L1432" t="s">
        <v>6586</v>
      </c>
      <c r="Q1432" t="s">
        <v>6586</v>
      </c>
      <c r="T1432" t="s">
        <v>6587</v>
      </c>
      <c r="U1432" t="s">
        <v>6588</v>
      </c>
      <c r="V1432" t="s">
        <v>6586</v>
      </c>
      <c r="W1432" t="s">
        <v>49</v>
      </c>
      <c r="X1432" t="s">
        <v>6589</v>
      </c>
      <c r="Y1432">
        <v>0</v>
      </c>
      <c r="Z1432">
        <v>2</v>
      </c>
    </row>
    <row r="1433" spans="1:26">
      <c r="A1433" s="1">
        <v>1431</v>
      </c>
      <c r="B1433" t="str">
        <f>HYPERLINK("https://bugs.eclipse.org/bugs/show_bug.cgi?id=46373", "46373")</f>
        <v>46373</v>
      </c>
      <c r="C1433" t="s">
        <v>149</v>
      </c>
      <c r="D1433" t="s">
        <v>10</v>
      </c>
      <c r="E1433" t="s">
        <v>12</v>
      </c>
      <c r="F1433" t="s">
        <v>26</v>
      </c>
      <c r="L1433" t="s">
        <v>6590</v>
      </c>
      <c r="N1433" t="s">
        <v>6590</v>
      </c>
      <c r="T1433" t="s">
        <v>6591</v>
      </c>
      <c r="U1433" t="s">
        <v>6592</v>
      </c>
      <c r="V1433" t="s">
        <v>6590</v>
      </c>
      <c r="W1433" t="s">
        <v>6518</v>
      </c>
      <c r="X1433" t="s">
        <v>6593</v>
      </c>
      <c r="Y1433">
        <v>0</v>
      </c>
      <c r="Z1433">
        <v>1</v>
      </c>
    </row>
    <row r="1434" spans="1:26">
      <c r="A1434" s="1">
        <v>1432</v>
      </c>
      <c r="B1434" t="str">
        <f>HYPERLINK("https://bugs.eclipse.org/bugs/show_bug.cgi?id=46496", "46496")</f>
        <v>46496</v>
      </c>
      <c r="C1434" t="s">
        <v>6594</v>
      </c>
      <c r="D1434" t="s">
        <v>10</v>
      </c>
      <c r="E1434" t="s">
        <v>15</v>
      </c>
      <c r="F1434" t="s">
        <v>26</v>
      </c>
      <c r="L1434" t="s">
        <v>6595</v>
      </c>
      <c r="Q1434" t="s">
        <v>6595</v>
      </c>
      <c r="T1434" t="s">
        <v>6596</v>
      </c>
      <c r="U1434" t="s">
        <v>6595</v>
      </c>
      <c r="V1434" t="s">
        <v>6595</v>
      </c>
      <c r="W1434" t="s">
        <v>86</v>
      </c>
      <c r="X1434" t="s">
        <v>6597</v>
      </c>
      <c r="Y1434">
        <v>1</v>
      </c>
      <c r="Z1434">
        <v>1</v>
      </c>
    </row>
    <row r="1435" spans="1:26">
      <c r="A1435" s="1">
        <v>1433</v>
      </c>
      <c r="B1435" t="str">
        <f>HYPERLINK("https://bugs.eclipse.org/bugs/show_bug.cgi?id=46558", "46558")</f>
        <v>46558</v>
      </c>
      <c r="C1435" t="s">
        <v>56</v>
      </c>
      <c r="D1435" t="s">
        <v>10</v>
      </c>
      <c r="E1435" t="s">
        <v>14</v>
      </c>
      <c r="F1435" t="s">
        <v>460</v>
      </c>
      <c r="L1435" t="s">
        <v>6598</v>
      </c>
      <c r="P1435" t="s">
        <v>6599</v>
      </c>
      <c r="T1435" t="s">
        <v>6600</v>
      </c>
      <c r="U1435" t="s">
        <v>6601</v>
      </c>
      <c r="V1435" t="s">
        <v>6599</v>
      </c>
      <c r="W1435" t="s">
        <v>75</v>
      </c>
      <c r="X1435" t="s">
        <v>6602</v>
      </c>
      <c r="Y1435">
        <v>0</v>
      </c>
      <c r="Z1435">
        <v>2116.958333333333</v>
      </c>
    </row>
    <row r="1436" spans="1:26">
      <c r="A1436" s="1">
        <v>1434</v>
      </c>
      <c r="B1436" t="str">
        <f>HYPERLINK("https://bugs.eclipse.org/bugs/show_bug.cgi?id=46608", "46608")</f>
        <v>46608</v>
      </c>
      <c r="C1436" t="s">
        <v>149</v>
      </c>
      <c r="D1436" t="s">
        <v>10</v>
      </c>
      <c r="E1436" t="s">
        <v>12</v>
      </c>
      <c r="F1436" t="s">
        <v>26</v>
      </c>
      <c r="L1436" t="s">
        <v>6603</v>
      </c>
      <c r="N1436" t="s">
        <v>6603</v>
      </c>
      <c r="T1436" t="s">
        <v>6604</v>
      </c>
      <c r="U1436" t="s">
        <v>6605</v>
      </c>
      <c r="V1436" t="s">
        <v>6606</v>
      </c>
      <c r="W1436" t="s">
        <v>6607</v>
      </c>
      <c r="X1436" t="s">
        <v>6608</v>
      </c>
      <c r="Y1436">
        <v>0</v>
      </c>
      <c r="Z1436">
        <v>4</v>
      </c>
    </row>
    <row r="1437" spans="1:26">
      <c r="A1437" s="1">
        <v>1435</v>
      </c>
      <c r="B1437" t="str">
        <f>HYPERLINK("https://bugs.eclipse.org/bugs/show_bug.cgi?id=46644", "46644")</f>
        <v>46644</v>
      </c>
      <c r="C1437" t="s">
        <v>140</v>
      </c>
      <c r="D1437" t="s">
        <v>10</v>
      </c>
      <c r="E1437" t="s">
        <v>16</v>
      </c>
      <c r="F1437" t="s">
        <v>51</v>
      </c>
      <c r="L1437" t="s">
        <v>6609</v>
      </c>
      <c r="R1437" t="s">
        <v>6609</v>
      </c>
      <c r="T1437" t="s">
        <v>6610</v>
      </c>
      <c r="U1437" t="s">
        <v>6611</v>
      </c>
      <c r="V1437" t="s">
        <v>6609</v>
      </c>
      <c r="W1437" t="s">
        <v>6612</v>
      </c>
      <c r="X1437" t="s">
        <v>6613</v>
      </c>
      <c r="Y1437">
        <v>0</v>
      </c>
      <c r="Z1437">
        <v>841</v>
      </c>
    </row>
    <row r="1438" spans="1:26">
      <c r="A1438" s="1">
        <v>1436</v>
      </c>
      <c r="B1438" t="str">
        <f>HYPERLINK("https://bugs.eclipse.org/bugs/show_bug.cgi?id=46674", "46674")</f>
        <v>46674</v>
      </c>
      <c r="C1438" t="s">
        <v>149</v>
      </c>
      <c r="D1438" t="s">
        <v>10</v>
      </c>
      <c r="E1438" t="s">
        <v>12</v>
      </c>
      <c r="F1438" t="s">
        <v>26</v>
      </c>
      <c r="L1438" t="s">
        <v>6614</v>
      </c>
      <c r="N1438" t="s">
        <v>6614</v>
      </c>
      <c r="T1438" t="s">
        <v>6615</v>
      </c>
      <c r="U1438" t="s">
        <v>6616</v>
      </c>
      <c r="V1438" t="s">
        <v>6614</v>
      </c>
      <c r="W1438" t="s">
        <v>6518</v>
      </c>
      <c r="X1438" t="s">
        <v>6617</v>
      </c>
      <c r="Y1438">
        <v>0</v>
      </c>
      <c r="Z1438">
        <v>0</v>
      </c>
    </row>
    <row r="1439" spans="1:26">
      <c r="A1439" s="1">
        <v>1437</v>
      </c>
      <c r="B1439" t="str">
        <f>HYPERLINK("https://bugs.eclipse.org/bugs/show_bug.cgi?id=46677", "46677")</f>
        <v>46677</v>
      </c>
      <c r="C1439" t="s">
        <v>56</v>
      </c>
      <c r="D1439" t="s">
        <v>10</v>
      </c>
      <c r="E1439" t="s">
        <v>14</v>
      </c>
      <c r="F1439" t="s">
        <v>26</v>
      </c>
      <c r="G1439" t="s">
        <v>6618</v>
      </c>
      <c r="L1439" t="s">
        <v>6619</v>
      </c>
      <c r="P1439" t="s">
        <v>6620</v>
      </c>
      <c r="T1439" t="s">
        <v>6621</v>
      </c>
      <c r="U1439" t="s">
        <v>6622</v>
      </c>
      <c r="V1439" t="s">
        <v>6620</v>
      </c>
      <c r="W1439" t="s">
        <v>75</v>
      </c>
      <c r="X1439" t="s">
        <v>6623</v>
      </c>
      <c r="Y1439">
        <v>0</v>
      </c>
      <c r="Z1439">
        <v>2115.958333333333</v>
      </c>
    </row>
    <row r="1440" spans="1:26">
      <c r="A1440" s="1">
        <v>1438</v>
      </c>
      <c r="B1440" t="str">
        <f>HYPERLINK("https://bugs.eclipse.org/bugs/show_bug.cgi?id=46697", "46697")</f>
        <v>46697</v>
      </c>
      <c r="C1440" t="s">
        <v>56</v>
      </c>
      <c r="D1440" t="s">
        <v>10</v>
      </c>
      <c r="E1440" t="s">
        <v>14</v>
      </c>
      <c r="F1440" t="s">
        <v>26</v>
      </c>
      <c r="L1440" t="s">
        <v>6624</v>
      </c>
      <c r="P1440" t="s">
        <v>6624</v>
      </c>
      <c r="T1440" t="s">
        <v>6625</v>
      </c>
      <c r="U1440" t="s">
        <v>6624</v>
      </c>
      <c r="V1440" t="s">
        <v>6624</v>
      </c>
      <c r="W1440" t="s">
        <v>86</v>
      </c>
      <c r="X1440" t="s">
        <v>6626</v>
      </c>
      <c r="Y1440">
        <v>3</v>
      </c>
      <c r="Z1440">
        <v>3</v>
      </c>
    </row>
    <row r="1441" spans="1:26">
      <c r="A1441" s="1">
        <v>1439</v>
      </c>
      <c r="B1441" t="str">
        <f>HYPERLINK("https://bugs.eclipse.org/bugs/show_bug.cgi?id=46727", "46727")</f>
        <v>46727</v>
      </c>
      <c r="C1441" t="s">
        <v>35</v>
      </c>
      <c r="D1441" t="s">
        <v>11</v>
      </c>
      <c r="E1441" t="s">
        <v>12</v>
      </c>
      <c r="F1441" t="s">
        <v>150</v>
      </c>
      <c r="L1441" t="s">
        <v>6627</v>
      </c>
      <c r="M1441" t="s">
        <v>6628</v>
      </c>
      <c r="N1441" t="s">
        <v>6627</v>
      </c>
      <c r="T1441" t="s">
        <v>6629</v>
      </c>
      <c r="U1441" t="s">
        <v>6630</v>
      </c>
      <c r="V1441" t="s">
        <v>6628</v>
      </c>
      <c r="W1441" t="s">
        <v>1161</v>
      </c>
      <c r="X1441" t="s">
        <v>6631</v>
      </c>
      <c r="Y1441">
        <v>0</v>
      </c>
      <c r="Z1441">
        <v>88</v>
      </c>
    </row>
    <row r="1442" spans="1:26">
      <c r="A1442" s="1">
        <v>1440</v>
      </c>
      <c r="B1442" t="str">
        <f>HYPERLINK("https://bugs.eclipse.org/bugs/show_bug.cgi?id=46763", "46763")</f>
        <v>46763</v>
      </c>
      <c r="C1442" t="s">
        <v>149</v>
      </c>
      <c r="D1442" t="s">
        <v>10</v>
      </c>
      <c r="E1442" t="s">
        <v>12</v>
      </c>
      <c r="F1442" t="s">
        <v>26</v>
      </c>
      <c r="L1442" t="s">
        <v>6632</v>
      </c>
      <c r="N1442" t="s">
        <v>6632</v>
      </c>
      <c r="T1442" t="s">
        <v>6633</v>
      </c>
      <c r="U1442" t="s">
        <v>6634</v>
      </c>
      <c r="V1442" t="s">
        <v>6632</v>
      </c>
      <c r="W1442" t="s">
        <v>86</v>
      </c>
      <c r="X1442" t="s">
        <v>6635</v>
      </c>
      <c r="Y1442">
        <v>0</v>
      </c>
      <c r="Z1442">
        <v>7</v>
      </c>
    </row>
    <row r="1443" spans="1:26">
      <c r="A1443" s="1">
        <v>1441</v>
      </c>
      <c r="B1443" t="str">
        <f>HYPERLINK("https://bugs.eclipse.org/bugs/show_bug.cgi?id=46764", "46764")</f>
        <v>46764</v>
      </c>
      <c r="C1443" t="s">
        <v>149</v>
      </c>
      <c r="D1443" t="s">
        <v>10</v>
      </c>
      <c r="E1443" t="s">
        <v>12</v>
      </c>
      <c r="F1443" t="s">
        <v>26</v>
      </c>
      <c r="L1443" t="s">
        <v>6636</v>
      </c>
      <c r="N1443" t="s">
        <v>6636</v>
      </c>
      <c r="T1443" t="s">
        <v>6637</v>
      </c>
      <c r="U1443" t="s">
        <v>6638</v>
      </c>
      <c r="V1443" t="s">
        <v>6636</v>
      </c>
      <c r="W1443" t="s">
        <v>86</v>
      </c>
      <c r="X1443" t="s">
        <v>6639</v>
      </c>
      <c r="Y1443">
        <v>0</v>
      </c>
      <c r="Z1443">
        <v>0</v>
      </c>
    </row>
    <row r="1444" spans="1:26">
      <c r="A1444" s="1">
        <v>1442</v>
      </c>
      <c r="B1444" t="str">
        <f>HYPERLINK("https://bugs.eclipse.org/bugs/show_bug.cgi?id=46765", "46765")</f>
        <v>46765</v>
      </c>
      <c r="C1444" t="s">
        <v>6640</v>
      </c>
      <c r="D1444" t="s">
        <v>10</v>
      </c>
      <c r="E1444" t="s">
        <v>15</v>
      </c>
      <c r="F1444" t="s">
        <v>26</v>
      </c>
      <c r="L1444" t="s">
        <v>6641</v>
      </c>
      <c r="Q1444" t="s">
        <v>6641</v>
      </c>
      <c r="T1444" t="s">
        <v>6642</v>
      </c>
      <c r="U1444" t="s">
        <v>6643</v>
      </c>
      <c r="V1444" t="s">
        <v>6641</v>
      </c>
      <c r="W1444" t="s">
        <v>851</v>
      </c>
      <c r="X1444" t="s">
        <v>6644</v>
      </c>
      <c r="Y1444">
        <v>0</v>
      </c>
      <c r="Z1444">
        <v>939.95833333333337</v>
      </c>
    </row>
    <row r="1445" spans="1:26">
      <c r="A1445" s="1">
        <v>1443</v>
      </c>
      <c r="B1445" t="str">
        <f>HYPERLINK("https://bugs.eclipse.org/bugs/show_bug.cgi?id=46923", "46923")</f>
        <v>46923</v>
      </c>
      <c r="C1445" t="s">
        <v>149</v>
      </c>
      <c r="D1445" t="s">
        <v>10</v>
      </c>
      <c r="E1445" t="s">
        <v>12</v>
      </c>
      <c r="F1445" t="s">
        <v>26</v>
      </c>
      <c r="L1445" t="s">
        <v>6645</v>
      </c>
      <c r="N1445" t="s">
        <v>6645</v>
      </c>
      <c r="T1445" t="s">
        <v>6646</v>
      </c>
      <c r="U1445" t="s">
        <v>6647</v>
      </c>
      <c r="V1445" t="s">
        <v>6645</v>
      </c>
      <c r="W1445" t="s">
        <v>86</v>
      </c>
      <c r="X1445" t="s">
        <v>6648</v>
      </c>
      <c r="Y1445">
        <v>2</v>
      </c>
      <c r="Z1445">
        <v>14</v>
      </c>
    </row>
    <row r="1446" spans="1:26">
      <c r="A1446" s="1">
        <v>1444</v>
      </c>
      <c r="B1446" t="str">
        <f>HYPERLINK("https://bugs.eclipse.org/bugs/show_bug.cgi?id=46926", "46926")</f>
        <v>46926</v>
      </c>
      <c r="C1446" t="s">
        <v>149</v>
      </c>
      <c r="D1446" t="s">
        <v>10</v>
      </c>
      <c r="E1446" t="s">
        <v>12</v>
      </c>
      <c r="F1446" t="s">
        <v>26</v>
      </c>
      <c r="G1446" t="s">
        <v>6649</v>
      </c>
      <c r="L1446" t="s">
        <v>6650</v>
      </c>
      <c r="N1446" t="s">
        <v>6650</v>
      </c>
      <c r="T1446" t="s">
        <v>6651</v>
      </c>
      <c r="U1446" t="s">
        <v>6652</v>
      </c>
      <c r="V1446" t="s">
        <v>6653</v>
      </c>
      <c r="W1446" t="s">
        <v>851</v>
      </c>
      <c r="X1446" t="s">
        <v>6654</v>
      </c>
      <c r="Y1446">
        <v>0</v>
      </c>
      <c r="Z1446">
        <v>71</v>
      </c>
    </row>
    <row r="1447" spans="1:26">
      <c r="A1447" s="1">
        <v>1445</v>
      </c>
      <c r="B1447" t="str">
        <f>HYPERLINK("https://bugs.eclipse.org/bugs/show_bug.cgi?id=46929", "46929")</f>
        <v>46929</v>
      </c>
      <c r="C1447" t="s">
        <v>149</v>
      </c>
      <c r="D1447" t="s">
        <v>10</v>
      </c>
      <c r="E1447" t="s">
        <v>12</v>
      </c>
      <c r="F1447" t="s">
        <v>26</v>
      </c>
      <c r="L1447" t="s">
        <v>6655</v>
      </c>
      <c r="N1447" t="s">
        <v>6655</v>
      </c>
      <c r="T1447" t="s">
        <v>6656</v>
      </c>
      <c r="U1447" t="s">
        <v>6657</v>
      </c>
      <c r="V1447" t="s">
        <v>6655</v>
      </c>
      <c r="W1447" t="s">
        <v>851</v>
      </c>
      <c r="X1447" t="s">
        <v>6658</v>
      </c>
      <c r="Y1447">
        <v>0</v>
      </c>
      <c r="Z1447">
        <v>55</v>
      </c>
    </row>
    <row r="1448" spans="1:26">
      <c r="A1448" s="1">
        <v>1446</v>
      </c>
      <c r="B1448" t="str">
        <f>HYPERLINK("https://bugs.eclipse.org/bugs/show_bug.cgi?id=46930", "46930")</f>
        <v>46930</v>
      </c>
      <c r="C1448" t="s">
        <v>149</v>
      </c>
      <c r="D1448" t="s">
        <v>10</v>
      </c>
      <c r="E1448" t="s">
        <v>12</v>
      </c>
      <c r="F1448" t="s">
        <v>26</v>
      </c>
      <c r="L1448" t="s">
        <v>6659</v>
      </c>
      <c r="N1448" t="s">
        <v>6659</v>
      </c>
      <c r="T1448" t="s">
        <v>6660</v>
      </c>
      <c r="U1448" t="s">
        <v>6661</v>
      </c>
      <c r="V1448" t="s">
        <v>6659</v>
      </c>
      <c r="W1448" t="s">
        <v>851</v>
      </c>
      <c r="X1448" t="s">
        <v>6662</v>
      </c>
      <c r="Y1448">
        <v>0</v>
      </c>
      <c r="Z1448">
        <v>19</v>
      </c>
    </row>
    <row r="1449" spans="1:26">
      <c r="A1449" s="1">
        <v>1447</v>
      </c>
      <c r="B1449" t="str">
        <f>HYPERLINK("https://bugs.eclipse.org/bugs/show_bug.cgi?id=46931", "46931")</f>
        <v>46931</v>
      </c>
      <c r="C1449" t="s">
        <v>35</v>
      </c>
      <c r="D1449" t="s">
        <v>11</v>
      </c>
      <c r="E1449" t="s">
        <v>12</v>
      </c>
      <c r="F1449" t="s">
        <v>26</v>
      </c>
      <c r="L1449" t="s">
        <v>6663</v>
      </c>
      <c r="M1449" t="s">
        <v>6664</v>
      </c>
      <c r="N1449" t="s">
        <v>6663</v>
      </c>
      <c r="T1449" t="s">
        <v>6665</v>
      </c>
      <c r="U1449" t="s">
        <v>6666</v>
      </c>
      <c r="V1449" t="s">
        <v>6664</v>
      </c>
      <c r="W1449" t="s">
        <v>6330</v>
      </c>
      <c r="X1449" t="s">
        <v>6667</v>
      </c>
      <c r="Y1449">
        <v>0</v>
      </c>
      <c r="Z1449">
        <v>190.95833333333329</v>
      </c>
    </row>
    <row r="1450" spans="1:26">
      <c r="A1450" s="1">
        <v>1448</v>
      </c>
      <c r="B1450" t="str">
        <f>HYPERLINK("https://bugs.eclipse.org/bugs/show_bug.cgi?id=46933", "46933")</f>
        <v>46933</v>
      </c>
      <c r="C1450" t="s">
        <v>149</v>
      </c>
      <c r="D1450" t="s">
        <v>10</v>
      </c>
      <c r="E1450" t="s">
        <v>12</v>
      </c>
      <c r="F1450" t="s">
        <v>26</v>
      </c>
      <c r="L1450" t="s">
        <v>6668</v>
      </c>
      <c r="N1450" t="s">
        <v>6668</v>
      </c>
      <c r="T1450" t="s">
        <v>6669</v>
      </c>
      <c r="U1450" t="s">
        <v>6670</v>
      </c>
      <c r="V1450" t="s">
        <v>6668</v>
      </c>
      <c r="W1450" t="s">
        <v>86</v>
      </c>
      <c r="X1450" t="s">
        <v>6671</v>
      </c>
      <c r="Y1450">
        <v>0</v>
      </c>
      <c r="Z1450">
        <v>26</v>
      </c>
    </row>
    <row r="1451" spans="1:26">
      <c r="A1451" s="1">
        <v>1449</v>
      </c>
      <c r="B1451" t="str">
        <f>HYPERLINK("https://bugs.eclipse.org/bugs/show_bug.cgi?id=46935", "46935")</f>
        <v>46935</v>
      </c>
      <c r="C1451" t="s">
        <v>149</v>
      </c>
      <c r="D1451" t="s">
        <v>10</v>
      </c>
      <c r="E1451" t="s">
        <v>12</v>
      </c>
      <c r="F1451" t="s">
        <v>26</v>
      </c>
      <c r="L1451" t="s">
        <v>6672</v>
      </c>
      <c r="N1451" t="s">
        <v>6672</v>
      </c>
      <c r="T1451" t="s">
        <v>6673</v>
      </c>
      <c r="U1451" t="s">
        <v>6674</v>
      </c>
      <c r="V1451" t="s">
        <v>6672</v>
      </c>
      <c r="W1451" t="s">
        <v>851</v>
      </c>
      <c r="X1451" t="s">
        <v>6675</v>
      </c>
      <c r="Y1451">
        <v>0</v>
      </c>
      <c r="Z1451">
        <v>147.95833333333329</v>
      </c>
    </row>
    <row r="1452" spans="1:26">
      <c r="A1452" s="1">
        <v>1450</v>
      </c>
      <c r="B1452" t="str">
        <f>HYPERLINK("https://bugs.eclipse.org/bugs/show_bug.cgi?id=46938", "46938")</f>
        <v>46938</v>
      </c>
      <c r="C1452" t="s">
        <v>149</v>
      </c>
      <c r="D1452" t="s">
        <v>10</v>
      </c>
      <c r="E1452" t="s">
        <v>12</v>
      </c>
      <c r="F1452" t="s">
        <v>26</v>
      </c>
      <c r="G1452" t="s">
        <v>6676</v>
      </c>
      <c r="L1452" t="s">
        <v>6677</v>
      </c>
      <c r="N1452" t="s">
        <v>6677</v>
      </c>
      <c r="T1452" t="s">
        <v>6678</v>
      </c>
      <c r="U1452" t="s">
        <v>6679</v>
      </c>
      <c r="V1452" t="s">
        <v>6677</v>
      </c>
      <c r="W1452" t="s">
        <v>851</v>
      </c>
      <c r="X1452" t="s">
        <v>6680</v>
      </c>
      <c r="Y1452">
        <v>0</v>
      </c>
      <c r="Z1452">
        <v>55</v>
      </c>
    </row>
    <row r="1453" spans="1:26">
      <c r="A1453" s="1">
        <v>1451</v>
      </c>
      <c r="B1453" t="str">
        <f>HYPERLINK("https://bugs.eclipse.org/bugs/show_bug.cgi?id=46939", "46939")</f>
        <v>46939</v>
      </c>
      <c r="C1453" t="s">
        <v>25</v>
      </c>
      <c r="D1453" t="s">
        <v>25</v>
      </c>
      <c r="F1453" t="s">
        <v>26</v>
      </c>
      <c r="T1453" t="s">
        <v>6678</v>
      </c>
      <c r="U1453" t="s">
        <v>6681</v>
      </c>
      <c r="V1453" t="s">
        <v>6682</v>
      </c>
      <c r="W1453" t="s">
        <v>851</v>
      </c>
      <c r="X1453" t="s">
        <v>6683</v>
      </c>
      <c r="Y1453">
        <v>54</v>
      </c>
    </row>
    <row r="1454" spans="1:26">
      <c r="A1454" s="1">
        <v>1452</v>
      </c>
      <c r="B1454" t="str">
        <f>HYPERLINK("https://bugs.eclipse.org/bugs/show_bug.cgi?id=46940", "46940")</f>
        <v>46940</v>
      </c>
      <c r="C1454" t="s">
        <v>140</v>
      </c>
      <c r="D1454" t="s">
        <v>10</v>
      </c>
      <c r="E1454" t="s">
        <v>16</v>
      </c>
      <c r="F1454" t="s">
        <v>26</v>
      </c>
      <c r="L1454" t="s">
        <v>6684</v>
      </c>
      <c r="R1454" t="s">
        <v>6684</v>
      </c>
      <c r="T1454" t="s">
        <v>6685</v>
      </c>
      <c r="U1454" t="s">
        <v>6686</v>
      </c>
      <c r="V1454" t="s">
        <v>6684</v>
      </c>
      <c r="W1454" t="s">
        <v>86</v>
      </c>
      <c r="X1454" t="s">
        <v>6687</v>
      </c>
      <c r="Y1454">
        <v>0</v>
      </c>
      <c r="Z1454">
        <v>27</v>
      </c>
    </row>
    <row r="1455" spans="1:26">
      <c r="A1455" s="1">
        <v>1453</v>
      </c>
      <c r="B1455" t="str">
        <f>HYPERLINK("https://bugs.eclipse.org/bugs/show_bug.cgi?id=46941", "46941")</f>
        <v>46941</v>
      </c>
      <c r="C1455" t="s">
        <v>149</v>
      </c>
      <c r="D1455" t="s">
        <v>10</v>
      </c>
      <c r="E1455" t="s">
        <v>12</v>
      </c>
      <c r="F1455" t="s">
        <v>26</v>
      </c>
      <c r="L1455" t="s">
        <v>6688</v>
      </c>
      <c r="N1455" t="s">
        <v>6688</v>
      </c>
      <c r="T1455" t="s">
        <v>6689</v>
      </c>
      <c r="U1455" t="s">
        <v>6690</v>
      </c>
      <c r="V1455" t="s">
        <v>6688</v>
      </c>
      <c r="W1455" t="s">
        <v>851</v>
      </c>
      <c r="X1455" t="s">
        <v>6691</v>
      </c>
      <c r="Y1455">
        <v>0</v>
      </c>
      <c r="Z1455">
        <v>22</v>
      </c>
    </row>
    <row r="1456" spans="1:26">
      <c r="A1456" s="1">
        <v>1454</v>
      </c>
      <c r="B1456" t="str">
        <f>HYPERLINK("https://bugs.eclipse.org/bugs/show_bug.cgi?id=46942", "46942")</f>
        <v>46942</v>
      </c>
      <c r="C1456" t="s">
        <v>149</v>
      </c>
      <c r="D1456" t="s">
        <v>10</v>
      </c>
      <c r="E1456" t="s">
        <v>12</v>
      </c>
      <c r="F1456" t="s">
        <v>26</v>
      </c>
      <c r="L1456" t="s">
        <v>6692</v>
      </c>
      <c r="N1456" t="s">
        <v>6692</v>
      </c>
      <c r="T1456" t="s">
        <v>6693</v>
      </c>
      <c r="U1456" t="s">
        <v>6694</v>
      </c>
      <c r="V1456" t="s">
        <v>6692</v>
      </c>
      <c r="W1456" t="s">
        <v>851</v>
      </c>
      <c r="X1456" t="s">
        <v>6695</v>
      </c>
      <c r="Y1456">
        <v>0</v>
      </c>
      <c r="Z1456">
        <v>176.95833333333329</v>
      </c>
    </row>
    <row r="1457" spans="1:26">
      <c r="A1457" s="1">
        <v>1455</v>
      </c>
      <c r="B1457" t="str">
        <f>HYPERLINK("https://bugs.eclipse.org/bugs/show_bug.cgi?id=46949", "46949")</f>
        <v>46949</v>
      </c>
      <c r="C1457" t="s">
        <v>149</v>
      </c>
      <c r="D1457" t="s">
        <v>10</v>
      </c>
      <c r="E1457" t="s">
        <v>12</v>
      </c>
      <c r="F1457" t="s">
        <v>26</v>
      </c>
      <c r="L1457" t="s">
        <v>6696</v>
      </c>
      <c r="N1457" t="s">
        <v>6696</v>
      </c>
      <c r="T1457" t="s">
        <v>6697</v>
      </c>
      <c r="U1457" t="s">
        <v>6698</v>
      </c>
      <c r="V1457" t="s">
        <v>6696</v>
      </c>
      <c r="W1457" t="s">
        <v>851</v>
      </c>
      <c r="X1457" t="s">
        <v>6699</v>
      </c>
      <c r="Y1457">
        <v>0</v>
      </c>
      <c r="Z1457">
        <v>26</v>
      </c>
    </row>
    <row r="1458" spans="1:26">
      <c r="A1458" s="1">
        <v>1456</v>
      </c>
      <c r="B1458" t="str">
        <f>HYPERLINK("https://bugs.eclipse.org/bugs/show_bug.cgi?id=46951", "46951")</f>
        <v>46951</v>
      </c>
      <c r="C1458" t="s">
        <v>149</v>
      </c>
      <c r="D1458" t="s">
        <v>10</v>
      </c>
      <c r="E1458" t="s">
        <v>12</v>
      </c>
      <c r="F1458" t="s">
        <v>26</v>
      </c>
      <c r="L1458" t="s">
        <v>6700</v>
      </c>
      <c r="N1458" t="s">
        <v>6700</v>
      </c>
      <c r="T1458" t="s">
        <v>6701</v>
      </c>
      <c r="U1458" t="s">
        <v>6702</v>
      </c>
      <c r="V1458" t="s">
        <v>6700</v>
      </c>
      <c r="W1458" t="s">
        <v>86</v>
      </c>
      <c r="X1458" t="s">
        <v>6703</v>
      </c>
      <c r="Y1458">
        <v>0</v>
      </c>
      <c r="Z1458">
        <v>47</v>
      </c>
    </row>
    <row r="1459" spans="1:26">
      <c r="A1459" s="1">
        <v>1457</v>
      </c>
      <c r="B1459" t="str">
        <f>HYPERLINK("https://bugs.eclipse.org/bugs/show_bug.cgi?id=46981", "46981")</f>
        <v>46981</v>
      </c>
      <c r="C1459" t="s">
        <v>149</v>
      </c>
      <c r="D1459" t="s">
        <v>10</v>
      </c>
      <c r="E1459" t="s">
        <v>12</v>
      </c>
      <c r="F1459" t="s">
        <v>26</v>
      </c>
      <c r="L1459" t="s">
        <v>6704</v>
      </c>
      <c r="N1459" t="s">
        <v>6704</v>
      </c>
      <c r="T1459" t="s">
        <v>6705</v>
      </c>
      <c r="U1459" t="s">
        <v>6706</v>
      </c>
      <c r="V1459" t="s">
        <v>6704</v>
      </c>
      <c r="W1459" t="s">
        <v>86</v>
      </c>
      <c r="X1459" t="s">
        <v>6707</v>
      </c>
      <c r="Y1459">
        <v>0</v>
      </c>
      <c r="Z1459">
        <v>26</v>
      </c>
    </row>
    <row r="1460" spans="1:26">
      <c r="A1460" s="1">
        <v>1458</v>
      </c>
      <c r="B1460" t="str">
        <f>HYPERLINK("https://bugs.eclipse.org/bugs/show_bug.cgi?id=46993", "46993")</f>
        <v>46993</v>
      </c>
      <c r="C1460" t="s">
        <v>149</v>
      </c>
      <c r="D1460" t="s">
        <v>10</v>
      </c>
      <c r="E1460" t="s">
        <v>12</v>
      </c>
      <c r="F1460" t="s">
        <v>26</v>
      </c>
      <c r="L1460" t="s">
        <v>6708</v>
      </c>
      <c r="N1460" t="s">
        <v>6708</v>
      </c>
      <c r="T1460" t="s">
        <v>6709</v>
      </c>
      <c r="U1460" t="s">
        <v>6710</v>
      </c>
      <c r="V1460" t="s">
        <v>6708</v>
      </c>
      <c r="W1460" t="s">
        <v>86</v>
      </c>
      <c r="X1460" t="s">
        <v>6711</v>
      </c>
      <c r="Y1460">
        <v>0</v>
      </c>
      <c r="Z1460">
        <v>86</v>
      </c>
    </row>
    <row r="1461" spans="1:26">
      <c r="A1461" s="1">
        <v>1459</v>
      </c>
      <c r="B1461" t="str">
        <f>HYPERLINK("https://bugs.eclipse.org/bugs/show_bug.cgi?id=46995", "46995")</f>
        <v>46995</v>
      </c>
      <c r="C1461" t="s">
        <v>149</v>
      </c>
      <c r="D1461" t="s">
        <v>10</v>
      </c>
      <c r="E1461" t="s">
        <v>12</v>
      </c>
      <c r="F1461" t="s">
        <v>26</v>
      </c>
      <c r="L1461" t="s">
        <v>6712</v>
      </c>
      <c r="N1461" t="s">
        <v>6712</v>
      </c>
      <c r="T1461" t="s">
        <v>6713</v>
      </c>
      <c r="U1461" t="s">
        <v>6714</v>
      </c>
      <c r="V1461" t="s">
        <v>6712</v>
      </c>
      <c r="W1461" t="s">
        <v>86</v>
      </c>
      <c r="X1461" t="s">
        <v>6715</v>
      </c>
      <c r="Y1461">
        <v>0</v>
      </c>
      <c r="Z1461">
        <v>26</v>
      </c>
    </row>
    <row r="1462" spans="1:26">
      <c r="A1462" s="1">
        <v>1460</v>
      </c>
      <c r="B1462" t="str">
        <f>HYPERLINK("https://bugs.eclipse.org/bugs/show_bug.cgi?id=46998", "46998")</f>
        <v>46998</v>
      </c>
      <c r="C1462" t="s">
        <v>6716</v>
      </c>
      <c r="D1462" t="s">
        <v>10</v>
      </c>
      <c r="E1462" t="s">
        <v>15</v>
      </c>
      <c r="F1462" t="s">
        <v>26</v>
      </c>
      <c r="L1462" t="s">
        <v>6717</v>
      </c>
      <c r="Q1462" t="s">
        <v>6717</v>
      </c>
      <c r="T1462" t="s">
        <v>6718</v>
      </c>
      <c r="U1462" t="s">
        <v>6719</v>
      </c>
      <c r="V1462" t="s">
        <v>6717</v>
      </c>
      <c r="W1462" t="s">
        <v>86</v>
      </c>
      <c r="X1462" t="s">
        <v>6720</v>
      </c>
      <c r="Y1462">
        <v>0</v>
      </c>
      <c r="Z1462">
        <v>2</v>
      </c>
    </row>
    <row r="1463" spans="1:26">
      <c r="A1463" s="1">
        <v>1461</v>
      </c>
      <c r="B1463" t="str">
        <f>HYPERLINK("https://bugs.eclipse.org/bugs/show_bug.cgi?id=47001", "47001")</f>
        <v>47001</v>
      </c>
      <c r="C1463" t="s">
        <v>149</v>
      </c>
      <c r="D1463" t="s">
        <v>10</v>
      </c>
      <c r="E1463" t="s">
        <v>12</v>
      </c>
      <c r="F1463" t="s">
        <v>26</v>
      </c>
      <c r="L1463" t="s">
        <v>6721</v>
      </c>
      <c r="N1463" t="s">
        <v>6721</v>
      </c>
      <c r="T1463" t="s">
        <v>6722</v>
      </c>
      <c r="U1463" t="s">
        <v>6723</v>
      </c>
      <c r="V1463" t="s">
        <v>6721</v>
      </c>
      <c r="W1463" t="s">
        <v>86</v>
      </c>
      <c r="X1463" t="s">
        <v>6724</v>
      </c>
      <c r="Y1463">
        <v>0</v>
      </c>
      <c r="Z1463">
        <v>86</v>
      </c>
    </row>
    <row r="1464" spans="1:26">
      <c r="A1464" s="1">
        <v>1462</v>
      </c>
      <c r="B1464" t="str">
        <f>HYPERLINK("https://bugs.eclipse.org/bugs/show_bug.cgi?id=47002", "47002")</f>
        <v>47002</v>
      </c>
      <c r="C1464" t="s">
        <v>191</v>
      </c>
      <c r="D1464" t="s">
        <v>192</v>
      </c>
      <c r="E1464" t="s">
        <v>14</v>
      </c>
      <c r="F1464" t="s">
        <v>26</v>
      </c>
      <c r="T1464" t="s">
        <v>6725</v>
      </c>
      <c r="U1464" t="s">
        <v>6726</v>
      </c>
      <c r="V1464" t="s">
        <v>6727</v>
      </c>
      <c r="W1464" t="s">
        <v>65</v>
      </c>
      <c r="X1464" t="s">
        <v>6728</v>
      </c>
      <c r="Y1464">
        <v>0</v>
      </c>
      <c r="Z1464">
        <v>5831</v>
      </c>
    </row>
    <row r="1465" spans="1:26">
      <c r="A1465" s="1">
        <v>1463</v>
      </c>
      <c r="B1465" t="str">
        <f>HYPERLINK("https://bugs.eclipse.org/bugs/show_bug.cgi?id=47010", "47010")</f>
        <v>47010</v>
      </c>
      <c r="C1465" t="s">
        <v>149</v>
      </c>
      <c r="D1465" t="s">
        <v>10</v>
      </c>
      <c r="E1465" t="s">
        <v>12</v>
      </c>
      <c r="F1465" t="s">
        <v>26</v>
      </c>
      <c r="G1465" t="s">
        <v>6729</v>
      </c>
      <c r="L1465" t="s">
        <v>6730</v>
      </c>
      <c r="N1465" t="s">
        <v>6730</v>
      </c>
      <c r="T1465" t="s">
        <v>6731</v>
      </c>
      <c r="U1465" t="s">
        <v>6732</v>
      </c>
      <c r="V1465" t="s">
        <v>6730</v>
      </c>
      <c r="W1465" t="s">
        <v>851</v>
      </c>
      <c r="X1465" t="s">
        <v>6733</v>
      </c>
      <c r="Y1465">
        <v>0</v>
      </c>
      <c r="Z1465">
        <v>162.95833333333329</v>
      </c>
    </row>
    <row r="1466" spans="1:26">
      <c r="A1466" s="1">
        <v>1464</v>
      </c>
      <c r="B1466" t="str">
        <f>HYPERLINK("https://bugs.eclipse.org/bugs/show_bug.cgi?id=47014", "47014")</f>
        <v>47014</v>
      </c>
      <c r="C1466" t="s">
        <v>56</v>
      </c>
      <c r="D1466" t="s">
        <v>10</v>
      </c>
      <c r="E1466" t="s">
        <v>14</v>
      </c>
      <c r="F1466" t="s">
        <v>26</v>
      </c>
      <c r="L1466" t="s">
        <v>6734</v>
      </c>
      <c r="P1466" t="s">
        <v>6734</v>
      </c>
      <c r="T1466" t="s">
        <v>6735</v>
      </c>
      <c r="U1466" t="s">
        <v>6736</v>
      </c>
      <c r="V1466" t="s">
        <v>6734</v>
      </c>
      <c r="W1466" t="s">
        <v>86</v>
      </c>
      <c r="X1466" t="s">
        <v>6737</v>
      </c>
      <c r="Y1466">
        <v>0</v>
      </c>
      <c r="Z1466">
        <v>16</v>
      </c>
    </row>
    <row r="1467" spans="1:26">
      <c r="A1467" s="1">
        <v>1465</v>
      </c>
      <c r="B1467" t="str">
        <f>HYPERLINK("https://bugs.eclipse.org/bugs/show_bug.cgi?id=47027", "47027")</f>
        <v>47027</v>
      </c>
      <c r="C1467" t="s">
        <v>149</v>
      </c>
      <c r="D1467" t="s">
        <v>10</v>
      </c>
      <c r="E1467" t="s">
        <v>12</v>
      </c>
      <c r="F1467" t="s">
        <v>26</v>
      </c>
      <c r="L1467" t="s">
        <v>6738</v>
      </c>
      <c r="N1467" t="s">
        <v>6738</v>
      </c>
      <c r="T1467" t="s">
        <v>6739</v>
      </c>
      <c r="U1467" t="s">
        <v>6740</v>
      </c>
      <c r="V1467" t="s">
        <v>6738</v>
      </c>
      <c r="W1467" t="s">
        <v>86</v>
      </c>
      <c r="X1467" t="s">
        <v>6741</v>
      </c>
      <c r="Y1467">
        <v>0</v>
      </c>
      <c r="Z1467">
        <v>86</v>
      </c>
    </row>
    <row r="1468" spans="1:26">
      <c r="A1468" s="1">
        <v>1466</v>
      </c>
      <c r="B1468" t="str">
        <f>HYPERLINK("https://bugs.eclipse.org/bugs/show_bug.cgi?id=47062", "47062")</f>
        <v>47062</v>
      </c>
      <c r="C1468" t="s">
        <v>149</v>
      </c>
      <c r="D1468" t="s">
        <v>10</v>
      </c>
      <c r="E1468" t="s">
        <v>12</v>
      </c>
      <c r="F1468" t="s">
        <v>26</v>
      </c>
      <c r="L1468" t="s">
        <v>6742</v>
      </c>
      <c r="N1468" t="s">
        <v>6742</v>
      </c>
      <c r="Q1468" t="s">
        <v>6743</v>
      </c>
      <c r="S1468" t="s">
        <v>6744</v>
      </c>
      <c r="T1468" t="s">
        <v>6745</v>
      </c>
      <c r="U1468" t="s">
        <v>6746</v>
      </c>
      <c r="V1468" t="s">
        <v>6742</v>
      </c>
      <c r="W1468" t="s">
        <v>851</v>
      </c>
      <c r="X1468" t="s">
        <v>6747</v>
      </c>
      <c r="Y1468">
        <v>0</v>
      </c>
      <c r="Z1468">
        <v>19</v>
      </c>
    </row>
    <row r="1469" spans="1:26">
      <c r="A1469" s="1">
        <v>1467</v>
      </c>
      <c r="B1469" t="str">
        <f>HYPERLINK("https://bugs.eclipse.org/bugs/show_bug.cgi?id=47162", "47162")</f>
        <v>47162</v>
      </c>
      <c r="C1469" t="s">
        <v>25</v>
      </c>
      <c r="D1469" t="s">
        <v>25</v>
      </c>
      <c r="F1469" t="s">
        <v>26</v>
      </c>
      <c r="T1469" t="s">
        <v>6748</v>
      </c>
      <c r="U1469" t="s">
        <v>6749</v>
      </c>
      <c r="V1469" t="s">
        <v>6750</v>
      </c>
      <c r="W1469" t="s">
        <v>143</v>
      </c>
      <c r="X1469" t="s">
        <v>6751</v>
      </c>
      <c r="Y1469">
        <v>1</v>
      </c>
    </row>
    <row r="1470" spans="1:26">
      <c r="A1470" s="1">
        <v>1468</v>
      </c>
      <c r="B1470" t="str">
        <f>HYPERLINK("https://bugs.eclipse.org/bugs/show_bug.cgi?id=47181", "47181")</f>
        <v>47181</v>
      </c>
      <c r="C1470" t="s">
        <v>149</v>
      </c>
      <c r="D1470" t="s">
        <v>10</v>
      </c>
      <c r="E1470" t="s">
        <v>12</v>
      </c>
      <c r="F1470" t="s">
        <v>26</v>
      </c>
      <c r="G1470" t="s">
        <v>6752</v>
      </c>
      <c r="L1470" t="s">
        <v>6753</v>
      </c>
      <c r="N1470" t="s">
        <v>6753</v>
      </c>
      <c r="T1470" t="s">
        <v>6754</v>
      </c>
      <c r="U1470" t="s">
        <v>6755</v>
      </c>
      <c r="V1470" t="s">
        <v>6753</v>
      </c>
      <c r="W1470" t="s">
        <v>86</v>
      </c>
      <c r="X1470" t="s">
        <v>6756</v>
      </c>
      <c r="Y1470">
        <v>1</v>
      </c>
      <c r="Z1470">
        <v>4</v>
      </c>
    </row>
    <row r="1471" spans="1:26">
      <c r="A1471" s="1">
        <v>1469</v>
      </c>
      <c r="B1471" t="str">
        <f>HYPERLINK("https://bugs.eclipse.org/bugs/show_bug.cgi?id=47205", "47205")</f>
        <v>47205</v>
      </c>
      <c r="C1471" t="s">
        <v>6757</v>
      </c>
      <c r="D1471" t="s">
        <v>10</v>
      </c>
      <c r="E1471" t="s">
        <v>15</v>
      </c>
      <c r="F1471" t="s">
        <v>26</v>
      </c>
      <c r="L1471" t="s">
        <v>6755</v>
      </c>
      <c r="Q1471" t="s">
        <v>6755</v>
      </c>
      <c r="T1471" t="s">
        <v>6758</v>
      </c>
      <c r="U1471" t="s">
        <v>6755</v>
      </c>
      <c r="V1471" t="s">
        <v>6755</v>
      </c>
      <c r="W1471" t="s">
        <v>86</v>
      </c>
      <c r="X1471" t="s">
        <v>6759</v>
      </c>
      <c r="Y1471">
        <v>0</v>
      </c>
      <c r="Z1471">
        <v>0</v>
      </c>
    </row>
    <row r="1472" spans="1:26">
      <c r="A1472" s="1">
        <v>1470</v>
      </c>
      <c r="B1472" t="str">
        <f>HYPERLINK("https://bugs.eclipse.org/bugs/show_bug.cgi?id=47210", "47210")</f>
        <v>47210</v>
      </c>
      <c r="C1472" t="s">
        <v>149</v>
      </c>
      <c r="D1472" t="s">
        <v>10</v>
      </c>
      <c r="E1472" t="s">
        <v>12</v>
      </c>
      <c r="F1472" t="s">
        <v>26</v>
      </c>
      <c r="L1472" t="s">
        <v>6760</v>
      </c>
      <c r="N1472" t="s">
        <v>6760</v>
      </c>
      <c r="T1472" t="s">
        <v>6761</v>
      </c>
      <c r="U1472" t="s">
        <v>6762</v>
      </c>
      <c r="V1472" t="s">
        <v>6760</v>
      </c>
      <c r="W1472" t="s">
        <v>851</v>
      </c>
      <c r="X1472" t="s">
        <v>6763</v>
      </c>
      <c r="Y1472">
        <v>0</v>
      </c>
      <c r="Z1472">
        <v>17</v>
      </c>
    </row>
    <row r="1473" spans="1:26">
      <c r="A1473" s="1">
        <v>1471</v>
      </c>
      <c r="B1473" t="str">
        <f>HYPERLINK("https://bugs.eclipse.org/bugs/show_bug.cgi?id=47211", "47211")</f>
        <v>47211</v>
      </c>
      <c r="C1473" t="s">
        <v>149</v>
      </c>
      <c r="D1473" t="s">
        <v>10</v>
      </c>
      <c r="E1473" t="s">
        <v>12</v>
      </c>
      <c r="F1473" t="s">
        <v>26</v>
      </c>
      <c r="L1473" t="s">
        <v>6764</v>
      </c>
      <c r="N1473" t="s">
        <v>6764</v>
      </c>
      <c r="T1473" t="s">
        <v>6765</v>
      </c>
      <c r="U1473" t="s">
        <v>6766</v>
      </c>
      <c r="V1473" t="s">
        <v>6764</v>
      </c>
      <c r="W1473" t="s">
        <v>86</v>
      </c>
      <c r="X1473" t="s">
        <v>6767</v>
      </c>
      <c r="Y1473">
        <v>0</v>
      </c>
      <c r="Z1473">
        <v>24</v>
      </c>
    </row>
    <row r="1474" spans="1:26">
      <c r="A1474" s="1">
        <v>1472</v>
      </c>
      <c r="B1474" t="str">
        <f>HYPERLINK("https://bugs.eclipse.org/bugs/show_bug.cgi?id=47212", "47212")</f>
        <v>47212</v>
      </c>
      <c r="C1474" t="s">
        <v>149</v>
      </c>
      <c r="D1474" t="s">
        <v>10</v>
      </c>
      <c r="E1474" t="s">
        <v>12</v>
      </c>
      <c r="F1474" t="s">
        <v>26</v>
      </c>
      <c r="L1474" t="s">
        <v>6768</v>
      </c>
      <c r="N1474" t="s">
        <v>6768</v>
      </c>
      <c r="T1474" t="s">
        <v>6769</v>
      </c>
      <c r="U1474" t="s">
        <v>6770</v>
      </c>
      <c r="V1474" t="s">
        <v>6768</v>
      </c>
      <c r="W1474" t="s">
        <v>86</v>
      </c>
      <c r="X1474" t="s">
        <v>6771</v>
      </c>
      <c r="Y1474">
        <v>0</v>
      </c>
      <c r="Z1474">
        <v>24</v>
      </c>
    </row>
    <row r="1475" spans="1:26">
      <c r="A1475" s="1">
        <v>1473</v>
      </c>
      <c r="B1475" t="str">
        <f>HYPERLINK("https://bugs.eclipse.org/bugs/show_bug.cgi?id=47249", "47249")</f>
        <v>47249</v>
      </c>
      <c r="C1475" t="s">
        <v>56</v>
      </c>
      <c r="D1475" t="s">
        <v>10</v>
      </c>
      <c r="E1475" t="s">
        <v>14</v>
      </c>
      <c r="F1475" t="s">
        <v>26</v>
      </c>
      <c r="L1475" t="s">
        <v>6772</v>
      </c>
      <c r="P1475" t="s">
        <v>6772</v>
      </c>
      <c r="T1475" t="s">
        <v>6773</v>
      </c>
      <c r="U1475" t="s">
        <v>6772</v>
      </c>
      <c r="V1475" t="s">
        <v>6772</v>
      </c>
      <c r="W1475" t="s">
        <v>86</v>
      </c>
      <c r="X1475" t="s">
        <v>6774</v>
      </c>
      <c r="Y1475">
        <v>0</v>
      </c>
      <c r="Z1475">
        <v>0</v>
      </c>
    </row>
    <row r="1476" spans="1:26">
      <c r="A1476" s="1">
        <v>1474</v>
      </c>
      <c r="B1476" t="str">
        <f>HYPERLINK("https://bugs.eclipse.org/bugs/show_bug.cgi?id=47258", "47258")</f>
        <v>47258</v>
      </c>
      <c r="C1476" t="s">
        <v>56</v>
      </c>
      <c r="D1476" t="s">
        <v>10</v>
      </c>
      <c r="E1476" t="s">
        <v>14</v>
      </c>
      <c r="F1476" t="s">
        <v>51</v>
      </c>
      <c r="L1476" t="s">
        <v>6775</v>
      </c>
      <c r="P1476" t="s">
        <v>6776</v>
      </c>
      <c r="T1476" t="s">
        <v>6777</v>
      </c>
      <c r="U1476" t="s">
        <v>6775</v>
      </c>
      <c r="V1476" t="s">
        <v>6776</v>
      </c>
      <c r="W1476" t="s">
        <v>80</v>
      </c>
      <c r="X1476" t="s">
        <v>6778</v>
      </c>
      <c r="Y1476">
        <v>25</v>
      </c>
      <c r="Z1476">
        <v>2108.958333333333</v>
      </c>
    </row>
    <row r="1477" spans="1:26">
      <c r="A1477" s="1">
        <v>1475</v>
      </c>
      <c r="B1477" t="str">
        <f>HYPERLINK("https://bugs.eclipse.org/bugs/show_bug.cgi?id=47293", "47293")</f>
        <v>47293</v>
      </c>
      <c r="C1477" t="s">
        <v>3805</v>
      </c>
      <c r="D1477" t="s">
        <v>10</v>
      </c>
      <c r="E1477" t="s">
        <v>15</v>
      </c>
      <c r="F1477" t="s">
        <v>26</v>
      </c>
      <c r="L1477" t="s">
        <v>6779</v>
      </c>
      <c r="Q1477" t="s">
        <v>6779</v>
      </c>
      <c r="S1477" t="s">
        <v>6780</v>
      </c>
      <c r="T1477" t="s">
        <v>6781</v>
      </c>
      <c r="U1477" t="s">
        <v>6782</v>
      </c>
      <c r="V1477" t="s">
        <v>6779</v>
      </c>
      <c r="W1477" t="s">
        <v>851</v>
      </c>
      <c r="X1477" t="s">
        <v>6783</v>
      </c>
      <c r="Y1477">
        <v>0</v>
      </c>
      <c r="Z1477">
        <v>387</v>
      </c>
    </row>
    <row r="1478" spans="1:26">
      <c r="A1478" s="1">
        <v>1476</v>
      </c>
      <c r="B1478" t="str">
        <f>HYPERLINK("https://bugs.eclipse.org/bugs/show_bug.cgi?id=47302", "47302")</f>
        <v>47302</v>
      </c>
      <c r="C1478" t="s">
        <v>140</v>
      </c>
      <c r="D1478" t="s">
        <v>10</v>
      </c>
      <c r="E1478" t="s">
        <v>16</v>
      </c>
      <c r="F1478" t="s">
        <v>51</v>
      </c>
      <c r="L1478" t="s">
        <v>6784</v>
      </c>
      <c r="R1478" t="s">
        <v>6784</v>
      </c>
      <c r="T1478" t="s">
        <v>6785</v>
      </c>
      <c r="U1478" t="s">
        <v>6786</v>
      </c>
      <c r="V1478" t="s">
        <v>6784</v>
      </c>
      <c r="W1478" t="s">
        <v>49</v>
      </c>
      <c r="X1478" t="s">
        <v>6787</v>
      </c>
      <c r="Y1478">
        <v>1</v>
      </c>
      <c r="Z1478">
        <v>931.95833333333337</v>
      </c>
    </row>
    <row r="1479" spans="1:26">
      <c r="A1479" s="1">
        <v>1477</v>
      </c>
      <c r="B1479" t="str">
        <f>HYPERLINK("https://bugs.eclipse.org/bugs/show_bug.cgi?id=47405", "47405")</f>
        <v>47405</v>
      </c>
      <c r="C1479" t="s">
        <v>149</v>
      </c>
      <c r="D1479" t="s">
        <v>10</v>
      </c>
      <c r="E1479" t="s">
        <v>12</v>
      </c>
      <c r="F1479" t="s">
        <v>26</v>
      </c>
      <c r="L1479" t="s">
        <v>6788</v>
      </c>
      <c r="N1479" t="s">
        <v>6788</v>
      </c>
      <c r="T1479" t="s">
        <v>6789</v>
      </c>
      <c r="U1479" t="s">
        <v>6790</v>
      </c>
      <c r="V1479" t="s">
        <v>6788</v>
      </c>
      <c r="W1479" t="s">
        <v>86</v>
      </c>
      <c r="X1479" t="s">
        <v>6791</v>
      </c>
      <c r="Y1479">
        <v>0</v>
      </c>
      <c r="Z1479">
        <v>20</v>
      </c>
    </row>
    <row r="1480" spans="1:26">
      <c r="A1480" s="1">
        <v>1478</v>
      </c>
      <c r="B1480" t="str">
        <f>HYPERLINK("https://bugs.eclipse.org/bugs/show_bug.cgi?id=47407", "47407")</f>
        <v>47407</v>
      </c>
      <c r="C1480" t="s">
        <v>149</v>
      </c>
      <c r="D1480" t="s">
        <v>10</v>
      </c>
      <c r="E1480" t="s">
        <v>12</v>
      </c>
      <c r="F1480" t="s">
        <v>26</v>
      </c>
      <c r="L1480" t="s">
        <v>6792</v>
      </c>
      <c r="N1480" t="s">
        <v>6792</v>
      </c>
      <c r="T1480" t="s">
        <v>6793</v>
      </c>
      <c r="U1480" t="s">
        <v>6794</v>
      </c>
      <c r="V1480" t="s">
        <v>6792</v>
      </c>
      <c r="W1480" t="s">
        <v>851</v>
      </c>
      <c r="X1480" t="s">
        <v>6795</v>
      </c>
      <c r="Y1480">
        <v>0</v>
      </c>
      <c r="Z1480">
        <v>0</v>
      </c>
    </row>
    <row r="1481" spans="1:26">
      <c r="A1481" s="1">
        <v>1479</v>
      </c>
      <c r="B1481" t="str">
        <f>HYPERLINK("https://bugs.eclipse.org/bugs/show_bug.cgi?id=47409", "47409")</f>
        <v>47409</v>
      </c>
      <c r="C1481" t="s">
        <v>149</v>
      </c>
      <c r="D1481" t="s">
        <v>10</v>
      </c>
      <c r="E1481" t="s">
        <v>12</v>
      </c>
      <c r="F1481" t="s">
        <v>26</v>
      </c>
      <c r="L1481" t="s">
        <v>6796</v>
      </c>
      <c r="N1481" t="s">
        <v>6796</v>
      </c>
      <c r="T1481" t="s">
        <v>6797</v>
      </c>
      <c r="U1481" t="s">
        <v>6798</v>
      </c>
      <c r="V1481" t="s">
        <v>6796</v>
      </c>
      <c r="W1481" t="s">
        <v>86</v>
      </c>
      <c r="X1481" t="s">
        <v>6799</v>
      </c>
      <c r="Y1481">
        <v>0</v>
      </c>
      <c r="Z1481">
        <v>41</v>
      </c>
    </row>
    <row r="1482" spans="1:26">
      <c r="A1482" s="1">
        <v>1480</v>
      </c>
      <c r="B1482" t="str">
        <f>HYPERLINK("https://bugs.eclipse.org/bugs/show_bug.cgi?id=47418", "47418")</f>
        <v>47418</v>
      </c>
      <c r="C1482" t="s">
        <v>3805</v>
      </c>
      <c r="D1482" t="s">
        <v>10</v>
      </c>
      <c r="E1482" t="s">
        <v>15</v>
      </c>
      <c r="F1482" t="s">
        <v>26</v>
      </c>
      <c r="L1482" t="s">
        <v>6800</v>
      </c>
      <c r="Q1482" t="s">
        <v>6800</v>
      </c>
      <c r="R1482" t="s">
        <v>6801</v>
      </c>
      <c r="S1482" t="s">
        <v>6802</v>
      </c>
      <c r="T1482" t="s">
        <v>6803</v>
      </c>
      <c r="U1482" t="s">
        <v>6804</v>
      </c>
      <c r="V1482" t="s">
        <v>6800</v>
      </c>
      <c r="W1482" t="s">
        <v>851</v>
      </c>
      <c r="X1482" t="s">
        <v>6805</v>
      </c>
      <c r="Y1482">
        <v>0</v>
      </c>
      <c r="Z1482">
        <v>366</v>
      </c>
    </row>
    <row r="1483" spans="1:26">
      <c r="A1483" s="1">
        <v>1481</v>
      </c>
      <c r="B1483" t="str">
        <f>HYPERLINK("https://bugs.eclipse.org/bugs/show_bug.cgi?id=47484", "47484")</f>
        <v>47484</v>
      </c>
      <c r="C1483" t="s">
        <v>149</v>
      </c>
      <c r="D1483" t="s">
        <v>10</v>
      </c>
      <c r="E1483" t="s">
        <v>12</v>
      </c>
      <c r="F1483" t="s">
        <v>26</v>
      </c>
      <c r="L1483" t="s">
        <v>6806</v>
      </c>
      <c r="N1483" t="s">
        <v>6806</v>
      </c>
      <c r="T1483" t="s">
        <v>6807</v>
      </c>
      <c r="U1483" t="s">
        <v>6806</v>
      </c>
      <c r="V1483" t="s">
        <v>6806</v>
      </c>
      <c r="W1483" t="s">
        <v>86</v>
      </c>
      <c r="X1483" t="s">
        <v>6808</v>
      </c>
      <c r="Y1483">
        <v>1</v>
      </c>
      <c r="Z1483">
        <v>1</v>
      </c>
    </row>
    <row r="1484" spans="1:26">
      <c r="A1484" s="1">
        <v>1482</v>
      </c>
      <c r="B1484" t="str">
        <f>HYPERLINK("https://bugs.eclipse.org/bugs/show_bug.cgi?id=47509", "47509")</f>
        <v>47509</v>
      </c>
      <c r="C1484" t="s">
        <v>35</v>
      </c>
      <c r="D1484" t="s">
        <v>11</v>
      </c>
      <c r="E1484" t="s">
        <v>12</v>
      </c>
      <c r="F1484" t="s">
        <v>26</v>
      </c>
      <c r="G1484" t="s">
        <v>6809</v>
      </c>
      <c r="L1484" t="s">
        <v>6810</v>
      </c>
      <c r="M1484" t="s">
        <v>6811</v>
      </c>
      <c r="N1484" t="s">
        <v>6810</v>
      </c>
      <c r="T1484" t="s">
        <v>6812</v>
      </c>
      <c r="U1484" t="s">
        <v>6813</v>
      </c>
      <c r="V1484" t="s">
        <v>3657</v>
      </c>
      <c r="W1484" t="s">
        <v>851</v>
      </c>
      <c r="X1484" t="s">
        <v>6814</v>
      </c>
      <c r="Y1484">
        <v>0</v>
      </c>
      <c r="Z1484">
        <v>649.95833333333337</v>
      </c>
    </row>
    <row r="1485" spans="1:26">
      <c r="A1485" s="1">
        <v>1483</v>
      </c>
      <c r="B1485" t="str">
        <f>HYPERLINK("https://bugs.eclipse.org/bugs/show_bug.cgi?id=47547", "47547")</f>
        <v>47547</v>
      </c>
      <c r="C1485" t="s">
        <v>6815</v>
      </c>
      <c r="D1485" t="s">
        <v>10</v>
      </c>
      <c r="E1485" t="s">
        <v>15</v>
      </c>
      <c r="F1485" t="s">
        <v>51</v>
      </c>
      <c r="L1485" t="s">
        <v>6816</v>
      </c>
      <c r="Q1485" t="s">
        <v>6816</v>
      </c>
      <c r="S1485" t="s">
        <v>6817</v>
      </c>
      <c r="T1485" t="s">
        <v>6818</v>
      </c>
      <c r="U1485" t="s">
        <v>6819</v>
      </c>
      <c r="V1485" t="s">
        <v>6816</v>
      </c>
      <c r="W1485" t="s">
        <v>851</v>
      </c>
      <c r="X1485" t="s">
        <v>6820</v>
      </c>
      <c r="Y1485">
        <v>0</v>
      </c>
      <c r="Z1485">
        <v>925.95833333333337</v>
      </c>
    </row>
    <row r="1486" spans="1:26">
      <c r="A1486" s="1">
        <v>1484</v>
      </c>
      <c r="B1486" t="str">
        <f>HYPERLINK("https://bugs.eclipse.org/bugs/show_bug.cgi?id=47573", "47573")</f>
        <v>47573</v>
      </c>
      <c r="C1486" t="s">
        <v>149</v>
      </c>
      <c r="D1486" t="s">
        <v>10</v>
      </c>
      <c r="E1486" t="s">
        <v>12</v>
      </c>
      <c r="F1486" t="s">
        <v>26</v>
      </c>
      <c r="L1486" t="s">
        <v>6821</v>
      </c>
      <c r="N1486" t="s">
        <v>6821</v>
      </c>
      <c r="T1486" t="s">
        <v>6822</v>
      </c>
      <c r="U1486" t="s">
        <v>6823</v>
      </c>
      <c r="V1486" t="s">
        <v>6821</v>
      </c>
      <c r="W1486" t="s">
        <v>86</v>
      </c>
      <c r="X1486" t="s">
        <v>6824</v>
      </c>
      <c r="Y1486">
        <v>1</v>
      </c>
      <c r="Z1486">
        <v>176.95833333333329</v>
      </c>
    </row>
    <row r="1487" spans="1:26">
      <c r="A1487" s="1">
        <v>1485</v>
      </c>
      <c r="B1487" t="str">
        <f>HYPERLINK("https://bugs.eclipse.org/bugs/show_bug.cgi?id=47602", "47602")</f>
        <v>47602</v>
      </c>
      <c r="C1487" t="s">
        <v>191</v>
      </c>
      <c r="D1487" t="s">
        <v>192</v>
      </c>
      <c r="E1487" t="s">
        <v>14</v>
      </c>
      <c r="F1487" t="s">
        <v>26</v>
      </c>
      <c r="T1487" t="s">
        <v>6825</v>
      </c>
      <c r="U1487" t="s">
        <v>6826</v>
      </c>
      <c r="V1487" t="s">
        <v>6827</v>
      </c>
      <c r="W1487" t="s">
        <v>65</v>
      </c>
      <c r="X1487" t="s">
        <v>6828</v>
      </c>
      <c r="Y1487">
        <v>1</v>
      </c>
      <c r="Z1487">
        <v>5864</v>
      </c>
    </row>
    <row r="1488" spans="1:26">
      <c r="A1488" s="1">
        <v>1486</v>
      </c>
      <c r="B1488" t="str">
        <f>HYPERLINK("https://bugs.eclipse.org/bugs/show_bug.cgi?id=47712", "47712")</f>
        <v>47712</v>
      </c>
      <c r="C1488" t="s">
        <v>25</v>
      </c>
      <c r="D1488" t="s">
        <v>25</v>
      </c>
      <c r="F1488" t="s">
        <v>51</v>
      </c>
      <c r="T1488" t="s">
        <v>6829</v>
      </c>
      <c r="U1488" t="s">
        <v>6830</v>
      </c>
      <c r="V1488" t="s">
        <v>6831</v>
      </c>
      <c r="W1488" t="s">
        <v>6832</v>
      </c>
      <c r="X1488" t="s">
        <v>6833</v>
      </c>
      <c r="Y1488">
        <v>2</v>
      </c>
    </row>
    <row r="1489" spans="1:26">
      <c r="A1489" s="1">
        <v>1487</v>
      </c>
      <c r="B1489" t="str">
        <f>HYPERLINK("https://bugs.eclipse.org/bugs/show_bug.cgi?id=47733", "47733")</f>
        <v>47733</v>
      </c>
      <c r="C1489" t="s">
        <v>140</v>
      </c>
      <c r="D1489" t="s">
        <v>10</v>
      </c>
      <c r="E1489" t="s">
        <v>16</v>
      </c>
      <c r="F1489" t="s">
        <v>26</v>
      </c>
      <c r="L1489" t="s">
        <v>6834</v>
      </c>
      <c r="R1489" t="s">
        <v>6834</v>
      </c>
      <c r="T1489" t="s">
        <v>6835</v>
      </c>
      <c r="U1489" t="s">
        <v>6836</v>
      </c>
      <c r="V1489" t="s">
        <v>6834</v>
      </c>
      <c r="W1489" t="s">
        <v>143</v>
      </c>
      <c r="X1489" t="s">
        <v>6837</v>
      </c>
      <c r="Y1489">
        <v>18</v>
      </c>
      <c r="Z1489">
        <v>19</v>
      </c>
    </row>
    <row r="1490" spans="1:26">
      <c r="A1490" s="1">
        <v>1488</v>
      </c>
      <c r="B1490" t="str">
        <f>HYPERLINK("https://bugs.eclipse.org/bugs/show_bug.cgi?id=47734", "47734")</f>
        <v>47734</v>
      </c>
      <c r="C1490" t="s">
        <v>140</v>
      </c>
      <c r="D1490" t="s">
        <v>10</v>
      </c>
      <c r="E1490" t="s">
        <v>16</v>
      </c>
      <c r="F1490" t="s">
        <v>26</v>
      </c>
      <c r="L1490" t="s">
        <v>6838</v>
      </c>
      <c r="R1490" t="s">
        <v>6838</v>
      </c>
      <c r="T1490" t="s">
        <v>6839</v>
      </c>
      <c r="U1490" t="s">
        <v>6838</v>
      </c>
      <c r="V1490" t="s">
        <v>6838</v>
      </c>
      <c r="W1490" t="s">
        <v>86</v>
      </c>
      <c r="X1490" t="s">
        <v>6840</v>
      </c>
      <c r="Y1490">
        <v>4</v>
      </c>
      <c r="Z1490">
        <v>4</v>
      </c>
    </row>
    <row r="1491" spans="1:26">
      <c r="A1491" s="1">
        <v>1489</v>
      </c>
      <c r="B1491" t="str">
        <f>HYPERLINK("https://bugs.eclipse.org/bugs/show_bug.cgi?id=47785", "47785")</f>
        <v>47785</v>
      </c>
      <c r="C1491" t="s">
        <v>35</v>
      </c>
      <c r="D1491" t="s">
        <v>11</v>
      </c>
      <c r="E1491" t="s">
        <v>12</v>
      </c>
      <c r="F1491" t="s">
        <v>26</v>
      </c>
      <c r="L1491" t="s">
        <v>6841</v>
      </c>
      <c r="M1491" t="s">
        <v>6842</v>
      </c>
      <c r="N1491" t="s">
        <v>6841</v>
      </c>
      <c r="T1491" t="s">
        <v>6843</v>
      </c>
      <c r="U1491" t="s">
        <v>6844</v>
      </c>
      <c r="V1491" t="s">
        <v>6842</v>
      </c>
      <c r="W1491" t="s">
        <v>86</v>
      </c>
      <c r="X1491" t="s">
        <v>6845</v>
      </c>
      <c r="Y1491">
        <v>0</v>
      </c>
      <c r="Z1491">
        <v>192.95833333333329</v>
      </c>
    </row>
    <row r="1492" spans="1:26">
      <c r="A1492" s="1">
        <v>1490</v>
      </c>
      <c r="B1492" t="str">
        <f>HYPERLINK("https://bugs.eclipse.org/bugs/show_bug.cgi?id=47788", "47788")</f>
        <v>47788</v>
      </c>
      <c r="C1492" t="s">
        <v>149</v>
      </c>
      <c r="D1492" t="s">
        <v>10</v>
      </c>
      <c r="E1492" t="s">
        <v>12</v>
      </c>
      <c r="F1492" t="s">
        <v>26</v>
      </c>
      <c r="L1492" t="s">
        <v>6846</v>
      </c>
      <c r="N1492" t="s">
        <v>6846</v>
      </c>
      <c r="T1492" t="s">
        <v>6847</v>
      </c>
      <c r="U1492" t="s">
        <v>6848</v>
      </c>
      <c r="V1492" t="s">
        <v>6846</v>
      </c>
      <c r="W1492" t="s">
        <v>851</v>
      </c>
      <c r="X1492" t="s">
        <v>6849</v>
      </c>
      <c r="Y1492">
        <v>0</v>
      </c>
      <c r="Z1492">
        <v>112</v>
      </c>
    </row>
    <row r="1493" spans="1:26">
      <c r="A1493" s="1">
        <v>1491</v>
      </c>
      <c r="B1493" t="str">
        <f>HYPERLINK("https://bugs.eclipse.org/bugs/show_bug.cgi?id=47789", "47789")</f>
        <v>47789</v>
      </c>
      <c r="C1493" t="s">
        <v>56</v>
      </c>
      <c r="D1493" t="s">
        <v>10</v>
      </c>
      <c r="E1493" t="s">
        <v>14</v>
      </c>
      <c r="F1493" t="s">
        <v>26</v>
      </c>
      <c r="L1493" t="s">
        <v>6850</v>
      </c>
      <c r="P1493" t="s">
        <v>6850</v>
      </c>
      <c r="T1493" t="s">
        <v>6851</v>
      </c>
      <c r="U1493" t="s">
        <v>6852</v>
      </c>
      <c r="V1493" t="s">
        <v>6850</v>
      </c>
      <c r="W1493" t="s">
        <v>49</v>
      </c>
      <c r="X1493" t="s">
        <v>6853</v>
      </c>
      <c r="Y1493">
        <v>0</v>
      </c>
      <c r="Z1493">
        <v>923.95833333333337</v>
      </c>
    </row>
    <row r="1494" spans="1:26">
      <c r="A1494" s="1">
        <v>1492</v>
      </c>
      <c r="B1494" t="str">
        <f>HYPERLINK("https://bugs.eclipse.org/bugs/show_bug.cgi?id=47790", "47790")</f>
        <v>47790</v>
      </c>
      <c r="C1494" t="s">
        <v>2526</v>
      </c>
      <c r="D1494" t="s">
        <v>10</v>
      </c>
      <c r="E1494" t="s">
        <v>15</v>
      </c>
      <c r="F1494" t="s">
        <v>26</v>
      </c>
      <c r="L1494" t="s">
        <v>6854</v>
      </c>
      <c r="Q1494" t="s">
        <v>6854</v>
      </c>
      <c r="T1494" t="s">
        <v>6855</v>
      </c>
      <c r="U1494" t="s">
        <v>6854</v>
      </c>
      <c r="V1494" t="s">
        <v>6854</v>
      </c>
      <c r="W1494" t="s">
        <v>86</v>
      </c>
      <c r="X1494" t="s">
        <v>6856</v>
      </c>
      <c r="Y1494">
        <v>0</v>
      </c>
      <c r="Z1494">
        <v>0</v>
      </c>
    </row>
    <row r="1495" spans="1:26">
      <c r="A1495" s="1">
        <v>1493</v>
      </c>
      <c r="B1495" t="str">
        <f>HYPERLINK("https://bugs.eclipse.org/bugs/show_bug.cgi?id=47798", "47798")</f>
        <v>47798</v>
      </c>
      <c r="C1495" t="s">
        <v>149</v>
      </c>
      <c r="D1495" t="s">
        <v>10</v>
      </c>
      <c r="E1495" t="s">
        <v>12</v>
      </c>
      <c r="F1495" t="s">
        <v>26</v>
      </c>
      <c r="L1495" t="s">
        <v>6857</v>
      </c>
      <c r="N1495" t="s">
        <v>6857</v>
      </c>
      <c r="T1495" t="s">
        <v>6858</v>
      </c>
      <c r="U1495" t="s">
        <v>6859</v>
      </c>
      <c r="V1495" t="s">
        <v>6857</v>
      </c>
      <c r="W1495" t="s">
        <v>851</v>
      </c>
      <c r="X1495" t="s">
        <v>6860</v>
      </c>
      <c r="Y1495">
        <v>0</v>
      </c>
      <c r="Z1495">
        <v>108</v>
      </c>
    </row>
    <row r="1496" spans="1:26">
      <c r="A1496" s="1">
        <v>1494</v>
      </c>
      <c r="B1496" t="str">
        <f>HYPERLINK("https://bugs.eclipse.org/bugs/show_bug.cgi?id=47822", "47822")</f>
        <v>47822</v>
      </c>
      <c r="C1496" t="s">
        <v>149</v>
      </c>
      <c r="D1496" t="s">
        <v>10</v>
      </c>
      <c r="E1496" t="s">
        <v>12</v>
      </c>
      <c r="F1496" t="s">
        <v>26</v>
      </c>
      <c r="L1496" t="s">
        <v>6861</v>
      </c>
      <c r="N1496" t="s">
        <v>6861</v>
      </c>
      <c r="T1496" t="s">
        <v>6862</v>
      </c>
      <c r="U1496" t="s">
        <v>6863</v>
      </c>
      <c r="V1496" t="s">
        <v>6861</v>
      </c>
      <c r="W1496" t="s">
        <v>851</v>
      </c>
      <c r="X1496" t="s">
        <v>6864</v>
      </c>
      <c r="Y1496">
        <v>0</v>
      </c>
      <c r="Z1496">
        <v>8</v>
      </c>
    </row>
    <row r="1497" spans="1:26">
      <c r="A1497" s="1">
        <v>1495</v>
      </c>
      <c r="B1497" t="str">
        <f>HYPERLINK("https://bugs.eclipse.org/bugs/show_bug.cgi?id=47836", "47836")</f>
        <v>47836</v>
      </c>
      <c r="C1497" t="s">
        <v>6865</v>
      </c>
      <c r="D1497" t="s">
        <v>10</v>
      </c>
      <c r="E1497" t="s">
        <v>15</v>
      </c>
      <c r="F1497" t="s">
        <v>26</v>
      </c>
      <c r="L1497" t="s">
        <v>6653</v>
      </c>
      <c r="Q1497" t="s">
        <v>6653</v>
      </c>
      <c r="T1497" t="s">
        <v>6866</v>
      </c>
      <c r="U1497" t="s">
        <v>6867</v>
      </c>
      <c r="V1497" t="s">
        <v>6653</v>
      </c>
      <c r="W1497" t="s">
        <v>851</v>
      </c>
      <c r="X1497" t="s">
        <v>6868</v>
      </c>
      <c r="Y1497">
        <v>0</v>
      </c>
      <c r="Z1497">
        <v>59</v>
      </c>
    </row>
    <row r="1498" spans="1:26">
      <c r="A1498" s="1">
        <v>1496</v>
      </c>
      <c r="B1498" t="str">
        <f>HYPERLINK("https://bugs.eclipse.org/bugs/show_bug.cgi?id=47837", "47837")</f>
        <v>47837</v>
      </c>
      <c r="C1498" t="s">
        <v>35</v>
      </c>
      <c r="D1498" t="s">
        <v>11</v>
      </c>
      <c r="E1498" t="s">
        <v>12</v>
      </c>
      <c r="F1498" t="s">
        <v>26</v>
      </c>
      <c r="G1498" t="s">
        <v>6869</v>
      </c>
      <c r="L1498" t="s">
        <v>6870</v>
      </c>
      <c r="M1498" t="s">
        <v>6871</v>
      </c>
      <c r="N1498" t="s">
        <v>6870</v>
      </c>
      <c r="S1498" t="s">
        <v>6872</v>
      </c>
      <c r="T1498" t="s">
        <v>6873</v>
      </c>
      <c r="U1498" t="s">
        <v>6874</v>
      </c>
      <c r="V1498" t="s">
        <v>6871</v>
      </c>
      <c r="W1498" t="s">
        <v>86</v>
      </c>
      <c r="X1498" t="s">
        <v>6875</v>
      </c>
      <c r="Y1498">
        <v>16</v>
      </c>
      <c r="Z1498">
        <v>192.95833333333329</v>
      </c>
    </row>
    <row r="1499" spans="1:26">
      <c r="A1499" s="1">
        <v>1497</v>
      </c>
      <c r="B1499" t="str">
        <f>HYPERLINK("https://bugs.eclipse.org/bugs/show_bug.cgi?id=47838", "47838")</f>
        <v>47838</v>
      </c>
      <c r="C1499" t="s">
        <v>35</v>
      </c>
      <c r="D1499" t="s">
        <v>11</v>
      </c>
      <c r="E1499" t="s">
        <v>12</v>
      </c>
      <c r="F1499" t="s">
        <v>150</v>
      </c>
      <c r="L1499" t="s">
        <v>6876</v>
      </c>
      <c r="M1499" t="s">
        <v>6877</v>
      </c>
      <c r="N1499" t="s">
        <v>6876</v>
      </c>
      <c r="T1499" t="s">
        <v>6878</v>
      </c>
      <c r="U1499" t="s">
        <v>6879</v>
      </c>
      <c r="V1499" t="s">
        <v>6877</v>
      </c>
      <c r="W1499" t="s">
        <v>6330</v>
      </c>
      <c r="X1499" t="s">
        <v>6880</v>
      </c>
      <c r="Y1499">
        <v>0</v>
      </c>
      <c r="Z1499">
        <v>16</v>
      </c>
    </row>
    <row r="1500" spans="1:26">
      <c r="A1500" s="1">
        <v>1498</v>
      </c>
      <c r="B1500" t="str">
        <f>HYPERLINK("https://bugs.eclipse.org/bugs/show_bug.cgi?id=47868", "47868")</f>
        <v>47868</v>
      </c>
      <c r="C1500" t="s">
        <v>56</v>
      </c>
      <c r="D1500" t="s">
        <v>10</v>
      </c>
      <c r="E1500" t="s">
        <v>14</v>
      </c>
      <c r="F1500" t="s">
        <v>26</v>
      </c>
      <c r="L1500" t="s">
        <v>6881</v>
      </c>
      <c r="P1500" t="s">
        <v>6881</v>
      </c>
      <c r="T1500" t="s">
        <v>6882</v>
      </c>
      <c r="U1500" t="s">
        <v>6881</v>
      </c>
      <c r="V1500" t="s">
        <v>6881</v>
      </c>
      <c r="W1500" t="s">
        <v>86</v>
      </c>
      <c r="X1500" t="s">
        <v>6883</v>
      </c>
      <c r="Y1500">
        <v>14</v>
      </c>
      <c r="Z1500">
        <v>14</v>
      </c>
    </row>
    <row r="1501" spans="1:26">
      <c r="A1501" s="1">
        <v>1499</v>
      </c>
      <c r="B1501" t="str">
        <f>HYPERLINK("https://bugs.eclipse.org/bugs/show_bug.cgi?id=47873", "47873")</f>
        <v>47873</v>
      </c>
      <c r="C1501" t="s">
        <v>149</v>
      </c>
      <c r="D1501" t="s">
        <v>10</v>
      </c>
      <c r="E1501" t="s">
        <v>12</v>
      </c>
      <c r="F1501" t="s">
        <v>26</v>
      </c>
      <c r="L1501" t="s">
        <v>6884</v>
      </c>
      <c r="N1501" t="s">
        <v>6884</v>
      </c>
      <c r="T1501" t="s">
        <v>6885</v>
      </c>
      <c r="U1501" t="s">
        <v>6886</v>
      </c>
      <c r="V1501" t="s">
        <v>6884</v>
      </c>
      <c r="W1501" t="s">
        <v>86</v>
      </c>
      <c r="X1501" t="s">
        <v>6887</v>
      </c>
      <c r="Y1501">
        <v>0</v>
      </c>
      <c r="Z1501">
        <v>1</v>
      </c>
    </row>
    <row r="1502" spans="1:26">
      <c r="A1502" s="1">
        <v>1500</v>
      </c>
      <c r="B1502" t="str">
        <f>HYPERLINK("https://bugs.eclipse.org/bugs/show_bug.cgi?id=47874", "47874")</f>
        <v>47874</v>
      </c>
      <c r="C1502" t="s">
        <v>149</v>
      </c>
      <c r="D1502" t="s">
        <v>10</v>
      </c>
      <c r="E1502" t="s">
        <v>12</v>
      </c>
      <c r="F1502" t="s">
        <v>26</v>
      </c>
      <c r="L1502" t="s">
        <v>6888</v>
      </c>
      <c r="N1502" t="s">
        <v>6888</v>
      </c>
      <c r="T1502" t="s">
        <v>6889</v>
      </c>
      <c r="U1502" t="s">
        <v>6890</v>
      </c>
      <c r="V1502" t="s">
        <v>6888</v>
      </c>
      <c r="W1502" t="s">
        <v>851</v>
      </c>
      <c r="X1502" t="s">
        <v>6891</v>
      </c>
      <c r="Y1502">
        <v>0</v>
      </c>
      <c r="Z1502">
        <v>9</v>
      </c>
    </row>
    <row r="1503" spans="1:26">
      <c r="A1503" s="1">
        <v>1501</v>
      </c>
      <c r="B1503" t="str">
        <f>HYPERLINK("https://bugs.eclipse.org/bugs/show_bug.cgi?id=48001", "48001")</f>
        <v>48001</v>
      </c>
      <c r="C1503" t="s">
        <v>149</v>
      </c>
      <c r="D1503" t="s">
        <v>10</v>
      </c>
      <c r="E1503" t="s">
        <v>12</v>
      </c>
      <c r="F1503" t="s">
        <v>26</v>
      </c>
      <c r="L1503" t="s">
        <v>6892</v>
      </c>
      <c r="N1503" t="s">
        <v>6892</v>
      </c>
      <c r="T1503" t="s">
        <v>6893</v>
      </c>
      <c r="U1503" t="s">
        <v>6892</v>
      </c>
      <c r="V1503" t="s">
        <v>6892</v>
      </c>
      <c r="W1503" t="s">
        <v>49</v>
      </c>
      <c r="X1503" t="s">
        <v>6894</v>
      </c>
      <c r="Y1503">
        <v>0</v>
      </c>
      <c r="Z1503">
        <v>0</v>
      </c>
    </row>
    <row r="1504" spans="1:26">
      <c r="A1504" s="1">
        <v>1502</v>
      </c>
      <c r="B1504" t="str">
        <f>HYPERLINK("https://bugs.eclipse.org/bugs/show_bug.cgi?id=48056", "48056")</f>
        <v>48056</v>
      </c>
      <c r="C1504" t="s">
        <v>25</v>
      </c>
      <c r="D1504" t="s">
        <v>25</v>
      </c>
      <c r="F1504" t="s">
        <v>26</v>
      </c>
      <c r="G1504" t="s">
        <v>6895</v>
      </c>
      <c r="T1504" t="s">
        <v>6896</v>
      </c>
      <c r="U1504" t="s">
        <v>6897</v>
      </c>
      <c r="V1504" t="s">
        <v>6898</v>
      </c>
      <c r="W1504" t="s">
        <v>851</v>
      </c>
      <c r="X1504" t="s">
        <v>6899</v>
      </c>
      <c r="Y1504">
        <v>0</v>
      </c>
    </row>
    <row r="1505" spans="1:26">
      <c r="A1505" s="1">
        <v>1503</v>
      </c>
      <c r="B1505" t="str">
        <f>HYPERLINK("https://bugs.eclipse.org/bugs/show_bug.cgi?id=48126", "48126")</f>
        <v>48126</v>
      </c>
      <c r="C1505" t="s">
        <v>4692</v>
      </c>
      <c r="D1505" t="s">
        <v>4692</v>
      </c>
      <c r="F1505" t="s">
        <v>26</v>
      </c>
      <c r="T1505" t="s">
        <v>6900</v>
      </c>
      <c r="U1505" t="s">
        <v>6901</v>
      </c>
      <c r="V1505" t="s">
        <v>6902</v>
      </c>
      <c r="W1505" t="s">
        <v>49</v>
      </c>
      <c r="X1505" t="s">
        <v>6903</v>
      </c>
      <c r="Y1505">
        <v>0</v>
      </c>
    </row>
    <row r="1506" spans="1:26">
      <c r="A1506" s="1">
        <v>1504</v>
      </c>
      <c r="B1506" t="str">
        <f>HYPERLINK("https://bugs.eclipse.org/bugs/show_bug.cgi?id=48129", "48129")</f>
        <v>48129</v>
      </c>
      <c r="C1506" t="s">
        <v>140</v>
      </c>
      <c r="D1506" t="s">
        <v>10</v>
      </c>
      <c r="E1506" t="s">
        <v>16</v>
      </c>
      <c r="F1506" t="s">
        <v>26</v>
      </c>
      <c r="L1506" t="s">
        <v>6904</v>
      </c>
      <c r="R1506" t="s">
        <v>6904</v>
      </c>
      <c r="T1506" t="s">
        <v>6905</v>
      </c>
      <c r="U1506" t="s">
        <v>6906</v>
      </c>
      <c r="V1506" t="s">
        <v>6904</v>
      </c>
      <c r="W1506" t="s">
        <v>86</v>
      </c>
      <c r="X1506" t="s">
        <v>6907</v>
      </c>
      <c r="Y1506">
        <v>1</v>
      </c>
      <c r="Z1506">
        <v>4</v>
      </c>
    </row>
    <row r="1507" spans="1:26">
      <c r="A1507" s="1">
        <v>1505</v>
      </c>
      <c r="B1507" t="str">
        <f>HYPERLINK("https://bugs.eclipse.org/bugs/show_bug.cgi?id=48144", "48144")</f>
        <v>48144</v>
      </c>
      <c r="C1507" t="s">
        <v>35</v>
      </c>
      <c r="D1507" t="s">
        <v>11</v>
      </c>
      <c r="E1507" t="s">
        <v>12</v>
      </c>
      <c r="F1507" t="s">
        <v>26</v>
      </c>
      <c r="L1507" t="s">
        <v>6908</v>
      </c>
      <c r="M1507" t="s">
        <v>6909</v>
      </c>
      <c r="N1507" t="s">
        <v>6908</v>
      </c>
      <c r="T1507" t="s">
        <v>6910</v>
      </c>
      <c r="U1507" t="s">
        <v>6911</v>
      </c>
      <c r="V1507" t="s">
        <v>6909</v>
      </c>
      <c r="W1507" t="s">
        <v>1000</v>
      </c>
      <c r="X1507" t="s">
        <v>6912</v>
      </c>
      <c r="Y1507">
        <v>0</v>
      </c>
      <c r="Z1507">
        <v>98</v>
      </c>
    </row>
    <row r="1508" spans="1:26">
      <c r="A1508" s="1">
        <v>1506</v>
      </c>
      <c r="B1508" t="str">
        <f>HYPERLINK("https://bugs.eclipse.org/bugs/show_bug.cgi?id=48231", "48231")</f>
        <v>48231</v>
      </c>
      <c r="C1508" t="s">
        <v>35</v>
      </c>
      <c r="D1508" t="s">
        <v>11</v>
      </c>
      <c r="E1508" t="s">
        <v>12</v>
      </c>
      <c r="F1508" t="s">
        <v>26</v>
      </c>
      <c r="G1508" t="s">
        <v>6913</v>
      </c>
      <c r="L1508" t="s">
        <v>6914</v>
      </c>
      <c r="M1508" t="s">
        <v>6915</v>
      </c>
      <c r="N1508" t="s">
        <v>6914</v>
      </c>
      <c r="T1508" t="s">
        <v>6916</v>
      </c>
      <c r="U1508" t="s">
        <v>6917</v>
      </c>
      <c r="V1508" t="s">
        <v>6915</v>
      </c>
      <c r="W1508" t="s">
        <v>2668</v>
      </c>
      <c r="X1508" t="s">
        <v>6918</v>
      </c>
      <c r="Y1508">
        <v>1</v>
      </c>
      <c r="Z1508">
        <v>842</v>
      </c>
    </row>
    <row r="1509" spans="1:26">
      <c r="A1509" s="1">
        <v>1507</v>
      </c>
      <c r="B1509" t="str">
        <f>HYPERLINK("https://bugs.eclipse.org/bugs/show_bug.cgi?id=48240", "48240")</f>
        <v>48240</v>
      </c>
      <c r="C1509" t="s">
        <v>6919</v>
      </c>
      <c r="D1509" t="s">
        <v>10</v>
      </c>
      <c r="E1509" t="s">
        <v>15</v>
      </c>
      <c r="F1509" t="s">
        <v>51</v>
      </c>
      <c r="L1509" t="s">
        <v>6920</v>
      </c>
      <c r="Q1509" t="s">
        <v>6920</v>
      </c>
      <c r="T1509" t="s">
        <v>6921</v>
      </c>
      <c r="U1509" t="s">
        <v>6922</v>
      </c>
      <c r="V1509" t="s">
        <v>6920</v>
      </c>
      <c r="W1509" t="s">
        <v>49</v>
      </c>
      <c r="X1509" t="s">
        <v>6923</v>
      </c>
      <c r="Y1509">
        <v>0</v>
      </c>
      <c r="Z1509">
        <v>1403.958333333333</v>
      </c>
    </row>
    <row r="1510" spans="1:26">
      <c r="A1510" s="1">
        <v>1508</v>
      </c>
      <c r="B1510" t="str">
        <f>HYPERLINK("https://bugs.eclipse.org/bugs/show_bug.cgi?id=48245", "48245")</f>
        <v>48245</v>
      </c>
      <c r="C1510" t="s">
        <v>140</v>
      </c>
      <c r="D1510" t="s">
        <v>10</v>
      </c>
      <c r="E1510" t="s">
        <v>16</v>
      </c>
      <c r="F1510" t="s">
        <v>26</v>
      </c>
      <c r="L1510" t="s">
        <v>6924</v>
      </c>
      <c r="R1510" t="s">
        <v>6924</v>
      </c>
      <c r="T1510" t="s">
        <v>6925</v>
      </c>
      <c r="U1510" t="s">
        <v>6926</v>
      </c>
      <c r="V1510" t="s">
        <v>6924</v>
      </c>
      <c r="W1510" t="s">
        <v>86</v>
      </c>
      <c r="X1510" t="s">
        <v>6927</v>
      </c>
      <c r="Y1510">
        <v>2</v>
      </c>
      <c r="Z1510">
        <v>2</v>
      </c>
    </row>
    <row r="1511" spans="1:26">
      <c r="A1511" s="1">
        <v>1509</v>
      </c>
      <c r="B1511" t="str">
        <f>HYPERLINK("https://bugs.eclipse.org/bugs/show_bug.cgi?id=48260", "48260")</f>
        <v>48260</v>
      </c>
      <c r="C1511" t="s">
        <v>56</v>
      </c>
      <c r="D1511" t="s">
        <v>10</v>
      </c>
      <c r="E1511" t="s">
        <v>14</v>
      </c>
      <c r="F1511" t="s">
        <v>51</v>
      </c>
      <c r="L1511" t="s">
        <v>6928</v>
      </c>
      <c r="P1511" t="s">
        <v>6929</v>
      </c>
      <c r="T1511" t="s">
        <v>6930</v>
      </c>
      <c r="U1511" t="s">
        <v>6931</v>
      </c>
      <c r="V1511" t="s">
        <v>6929</v>
      </c>
      <c r="W1511" t="s">
        <v>75</v>
      </c>
      <c r="X1511" t="s">
        <v>6932</v>
      </c>
      <c r="Y1511">
        <v>0</v>
      </c>
      <c r="Z1511">
        <v>2091.958333333333</v>
      </c>
    </row>
    <row r="1512" spans="1:26">
      <c r="A1512" s="1">
        <v>1510</v>
      </c>
      <c r="B1512" t="str">
        <f>HYPERLINK("https://bugs.eclipse.org/bugs/show_bug.cgi?id=48282", "48282")</f>
        <v>48282</v>
      </c>
      <c r="C1512" t="s">
        <v>149</v>
      </c>
      <c r="D1512" t="s">
        <v>10</v>
      </c>
      <c r="E1512" t="s">
        <v>12</v>
      </c>
      <c r="F1512" t="s">
        <v>26</v>
      </c>
      <c r="L1512" t="s">
        <v>6933</v>
      </c>
      <c r="N1512" t="s">
        <v>6933</v>
      </c>
      <c r="T1512" t="s">
        <v>6934</v>
      </c>
      <c r="U1512" t="s">
        <v>6935</v>
      </c>
      <c r="V1512" t="s">
        <v>6933</v>
      </c>
      <c r="W1512" t="s">
        <v>851</v>
      </c>
      <c r="X1512" t="s">
        <v>6936</v>
      </c>
      <c r="Y1512">
        <v>3</v>
      </c>
      <c r="Z1512">
        <v>28</v>
      </c>
    </row>
    <row r="1513" spans="1:26">
      <c r="A1513" s="1">
        <v>1511</v>
      </c>
      <c r="B1513" t="str">
        <f>HYPERLINK("https://bugs.eclipse.org/bugs/show_bug.cgi?id=48325", "48325")</f>
        <v>48325</v>
      </c>
      <c r="C1513" t="s">
        <v>149</v>
      </c>
      <c r="D1513" t="s">
        <v>10</v>
      </c>
      <c r="E1513" t="s">
        <v>12</v>
      </c>
      <c r="F1513" t="s">
        <v>26</v>
      </c>
      <c r="L1513" t="s">
        <v>6937</v>
      </c>
      <c r="N1513" t="s">
        <v>6937</v>
      </c>
      <c r="T1513" t="s">
        <v>6938</v>
      </c>
      <c r="U1513" t="s">
        <v>6939</v>
      </c>
      <c r="V1513" t="s">
        <v>6937</v>
      </c>
      <c r="W1513" t="s">
        <v>851</v>
      </c>
      <c r="X1513" t="s">
        <v>6940</v>
      </c>
      <c r="Y1513">
        <v>0</v>
      </c>
      <c r="Z1513">
        <v>69</v>
      </c>
    </row>
    <row r="1514" spans="1:26">
      <c r="A1514" s="1">
        <v>1512</v>
      </c>
      <c r="B1514" t="str">
        <f>HYPERLINK("https://bugs.eclipse.org/bugs/show_bug.cgi?id=48360", "48360")</f>
        <v>48360</v>
      </c>
      <c r="C1514" t="s">
        <v>149</v>
      </c>
      <c r="D1514" t="s">
        <v>10</v>
      </c>
      <c r="E1514" t="s">
        <v>12</v>
      </c>
      <c r="F1514" t="s">
        <v>26</v>
      </c>
      <c r="L1514" t="s">
        <v>6941</v>
      </c>
      <c r="N1514" t="s">
        <v>6941</v>
      </c>
      <c r="T1514" t="s">
        <v>6942</v>
      </c>
      <c r="U1514" t="s">
        <v>6943</v>
      </c>
      <c r="V1514" t="s">
        <v>6941</v>
      </c>
      <c r="W1514" t="s">
        <v>851</v>
      </c>
      <c r="X1514" t="s">
        <v>6944</v>
      </c>
      <c r="Y1514">
        <v>0</v>
      </c>
      <c r="Z1514">
        <v>1</v>
      </c>
    </row>
    <row r="1515" spans="1:26">
      <c r="A1515" s="1">
        <v>1513</v>
      </c>
      <c r="B1515" t="str">
        <f>HYPERLINK("https://bugs.eclipse.org/bugs/show_bug.cgi?id=48393", "48393")</f>
        <v>48393</v>
      </c>
      <c r="C1515" t="s">
        <v>149</v>
      </c>
      <c r="D1515" t="s">
        <v>10</v>
      </c>
      <c r="E1515" t="s">
        <v>12</v>
      </c>
      <c r="F1515" t="s">
        <v>26</v>
      </c>
      <c r="L1515" t="s">
        <v>6945</v>
      </c>
      <c r="N1515" t="s">
        <v>6945</v>
      </c>
      <c r="R1515" t="s">
        <v>6946</v>
      </c>
      <c r="S1515" t="s">
        <v>6947</v>
      </c>
      <c r="T1515" t="s">
        <v>6948</v>
      </c>
      <c r="U1515" t="s">
        <v>6946</v>
      </c>
      <c r="V1515" t="s">
        <v>6945</v>
      </c>
      <c r="W1515" t="s">
        <v>851</v>
      </c>
      <c r="X1515" t="s">
        <v>6949</v>
      </c>
      <c r="Y1515">
        <v>0</v>
      </c>
      <c r="Z1515">
        <v>28</v>
      </c>
    </row>
    <row r="1516" spans="1:26">
      <c r="A1516" s="1">
        <v>1514</v>
      </c>
      <c r="B1516" t="str">
        <f>HYPERLINK("https://bugs.eclipse.org/bugs/show_bug.cgi?id=48436", "48436")</f>
        <v>48436</v>
      </c>
      <c r="C1516" t="s">
        <v>35</v>
      </c>
      <c r="D1516" t="s">
        <v>11</v>
      </c>
      <c r="E1516" t="s">
        <v>12</v>
      </c>
      <c r="F1516" t="s">
        <v>26</v>
      </c>
      <c r="L1516" t="s">
        <v>6950</v>
      </c>
      <c r="M1516" t="s">
        <v>6951</v>
      </c>
      <c r="N1516" t="s">
        <v>6950</v>
      </c>
      <c r="T1516" t="s">
        <v>6952</v>
      </c>
      <c r="U1516" t="s">
        <v>6953</v>
      </c>
      <c r="V1516" t="s">
        <v>6951</v>
      </c>
      <c r="W1516" t="s">
        <v>1161</v>
      </c>
      <c r="X1516" t="s">
        <v>6954</v>
      </c>
      <c r="Y1516">
        <v>1</v>
      </c>
      <c r="Z1516">
        <v>160.95833333333329</v>
      </c>
    </row>
    <row r="1517" spans="1:26">
      <c r="A1517" s="1">
        <v>1515</v>
      </c>
      <c r="B1517" t="str">
        <f>HYPERLINK("https://bugs.eclipse.org/bugs/show_bug.cgi?id=48498", "48498")</f>
        <v>48498</v>
      </c>
      <c r="C1517" t="s">
        <v>6955</v>
      </c>
      <c r="D1517" t="s">
        <v>10</v>
      </c>
      <c r="E1517" t="s">
        <v>15</v>
      </c>
      <c r="F1517" t="s">
        <v>26</v>
      </c>
      <c r="L1517" t="s">
        <v>6956</v>
      </c>
      <c r="Q1517" t="s">
        <v>6956</v>
      </c>
      <c r="T1517" t="s">
        <v>6957</v>
      </c>
      <c r="U1517" t="s">
        <v>6958</v>
      </c>
      <c r="V1517" t="s">
        <v>6956</v>
      </c>
      <c r="W1517" t="s">
        <v>86</v>
      </c>
      <c r="X1517" t="s">
        <v>6959</v>
      </c>
      <c r="Y1517">
        <v>0</v>
      </c>
      <c r="Z1517">
        <v>0</v>
      </c>
    </row>
    <row r="1518" spans="1:26">
      <c r="A1518" s="1">
        <v>1516</v>
      </c>
      <c r="B1518" t="str">
        <f>HYPERLINK("https://bugs.eclipse.org/bugs/show_bug.cgi?id=48501", "48501")</f>
        <v>48501</v>
      </c>
      <c r="C1518" t="s">
        <v>149</v>
      </c>
      <c r="D1518" t="s">
        <v>10</v>
      </c>
      <c r="E1518" t="s">
        <v>12</v>
      </c>
      <c r="F1518" t="s">
        <v>26</v>
      </c>
      <c r="G1518" t="s">
        <v>6960</v>
      </c>
      <c r="L1518" t="s">
        <v>6961</v>
      </c>
      <c r="N1518" t="s">
        <v>6961</v>
      </c>
      <c r="T1518" t="s">
        <v>6962</v>
      </c>
      <c r="U1518" t="s">
        <v>6963</v>
      </c>
      <c r="V1518" t="s">
        <v>6961</v>
      </c>
      <c r="W1518" t="s">
        <v>86</v>
      </c>
      <c r="X1518" t="s">
        <v>6964</v>
      </c>
      <c r="Y1518">
        <v>0</v>
      </c>
      <c r="Z1518">
        <v>152.95833333333329</v>
      </c>
    </row>
    <row r="1519" spans="1:26">
      <c r="A1519" s="1">
        <v>1517</v>
      </c>
      <c r="B1519" t="str">
        <f>HYPERLINK("https://bugs.eclipse.org/bugs/show_bug.cgi?id=48504", "48504")</f>
        <v>48504</v>
      </c>
      <c r="C1519" t="s">
        <v>149</v>
      </c>
      <c r="D1519" t="s">
        <v>10</v>
      </c>
      <c r="E1519" t="s">
        <v>12</v>
      </c>
      <c r="F1519" t="s">
        <v>26</v>
      </c>
      <c r="L1519" t="s">
        <v>6965</v>
      </c>
      <c r="N1519" t="s">
        <v>6965</v>
      </c>
      <c r="T1519" t="s">
        <v>6966</v>
      </c>
      <c r="U1519" t="s">
        <v>6967</v>
      </c>
      <c r="V1519" t="s">
        <v>6965</v>
      </c>
      <c r="W1519" t="s">
        <v>86</v>
      </c>
      <c r="X1519" t="s">
        <v>6968</v>
      </c>
      <c r="Y1519">
        <v>146.95833333333329</v>
      </c>
      <c r="Z1519">
        <v>152.95833333333329</v>
      </c>
    </row>
    <row r="1520" spans="1:26">
      <c r="A1520" s="1">
        <v>1518</v>
      </c>
      <c r="B1520" t="str">
        <f>HYPERLINK("https://bugs.eclipse.org/bugs/show_bug.cgi?id=48509", "48509")</f>
        <v>48509</v>
      </c>
      <c r="C1520" t="s">
        <v>140</v>
      </c>
      <c r="D1520" t="s">
        <v>10</v>
      </c>
      <c r="E1520" t="s">
        <v>16</v>
      </c>
      <c r="F1520" t="s">
        <v>26</v>
      </c>
      <c r="L1520" t="s">
        <v>6969</v>
      </c>
      <c r="R1520" t="s">
        <v>6969</v>
      </c>
      <c r="T1520" t="s">
        <v>6970</v>
      </c>
      <c r="U1520" t="s">
        <v>6971</v>
      </c>
      <c r="V1520" t="s">
        <v>6969</v>
      </c>
      <c r="W1520" t="s">
        <v>86</v>
      </c>
      <c r="X1520" t="s">
        <v>6972</v>
      </c>
      <c r="Y1520">
        <v>0</v>
      </c>
      <c r="Z1520">
        <v>3</v>
      </c>
    </row>
    <row r="1521" spans="1:26">
      <c r="A1521" s="1">
        <v>1519</v>
      </c>
      <c r="B1521" t="str">
        <f>HYPERLINK("https://bugs.eclipse.org/bugs/show_bug.cgi?id=48722", "48722")</f>
        <v>48722</v>
      </c>
      <c r="C1521" t="s">
        <v>149</v>
      </c>
      <c r="D1521" t="s">
        <v>10</v>
      </c>
      <c r="E1521" t="s">
        <v>12</v>
      </c>
      <c r="F1521" t="s">
        <v>26</v>
      </c>
      <c r="G1521" t="s">
        <v>6973</v>
      </c>
      <c r="L1521" t="s">
        <v>6974</v>
      </c>
      <c r="N1521" t="s">
        <v>6974</v>
      </c>
      <c r="T1521" t="s">
        <v>6975</v>
      </c>
      <c r="U1521" t="s">
        <v>6976</v>
      </c>
      <c r="V1521" t="s">
        <v>6072</v>
      </c>
      <c r="W1521" t="s">
        <v>851</v>
      </c>
      <c r="X1521" t="s">
        <v>6977</v>
      </c>
      <c r="Y1521">
        <v>0</v>
      </c>
      <c r="Z1521">
        <v>171.95833333333329</v>
      </c>
    </row>
    <row r="1522" spans="1:26">
      <c r="A1522" s="1">
        <v>1520</v>
      </c>
      <c r="B1522" t="str">
        <f>HYPERLINK("https://bugs.eclipse.org/bugs/show_bug.cgi?id=48732", "48732")</f>
        <v>48732</v>
      </c>
      <c r="C1522" t="s">
        <v>149</v>
      </c>
      <c r="D1522" t="s">
        <v>10</v>
      </c>
      <c r="E1522" t="s">
        <v>12</v>
      </c>
      <c r="F1522" t="s">
        <v>26</v>
      </c>
      <c r="L1522" t="s">
        <v>6978</v>
      </c>
      <c r="N1522" t="s">
        <v>6978</v>
      </c>
      <c r="T1522" t="s">
        <v>6979</v>
      </c>
      <c r="U1522" t="s">
        <v>6980</v>
      </c>
      <c r="V1522" t="s">
        <v>6978</v>
      </c>
      <c r="W1522" t="s">
        <v>86</v>
      </c>
      <c r="X1522" t="s">
        <v>6981</v>
      </c>
      <c r="Y1522">
        <v>59</v>
      </c>
      <c r="Z1522">
        <v>134.95833333333329</v>
      </c>
    </row>
    <row r="1523" spans="1:26">
      <c r="A1523" s="1">
        <v>1521</v>
      </c>
      <c r="B1523" t="str">
        <f>HYPERLINK("https://bugs.eclipse.org/bugs/show_bug.cgi?id=48742", "48742")</f>
        <v>48742</v>
      </c>
      <c r="C1523" t="s">
        <v>191</v>
      </c>
      <c r="D1523" t="s">
        <v>192</v>
      </c>
      <c r="E1523" t="s">
        <v>14</v>
      </c>
      <c r="F1523" t="s">
        <v>26</v>
      </c>
      <c r="P1523" t="s">
        <v>6982</v>
      </c>
      <c r="T1523" t="s">
        <v>6983</v>
      </c>
      <c r="U1523" t="s">
        <v>6984</v>
      </c>
      <c r="V1523" t="s">
        <v>6982</v>
      </c>
      <c r="W1523" t="s">
        <v>65</v>
      </c>
      <c r="X1523" t="s">
        <v>6985</v>
      </c>
      <c r="Y1523">
        <v>0</v>
      </c>
      <c r="Z1523">
        <v>5895</v>
      </c>
    </row>
    <row r="1524" spans="1:26">
      <c r="A1524" s="1">
        <v>1522</v>
      </c>
      <c r="B1524" t="str">
        <f>HYPERLINK("https://bugs.eclipse.org/bugs/show_bug.cgi?id=48743", "48743")</f>
        <v>48743</v>
      </c>
      <c r="C1524" t="s">
        <v>191</v>
      </c>
      <c r="D1524" t="s">
        <v>192</v>
      </c>
      <c r="E1524" t="s">
        <v>14</v>
      </c>
      <c r="F1524" t="s">
        <v>26</v>
      </c>
      <c r="T1524" t="s">
        <v>6986</v>
      </c>
      <c r="U1524" t="s">
        <v>6987</v>
      </c>
      <c r="V1524" t="s">
        <v>6988</v>
      </c>
      <c r="W1524" t="s">
        <v>65</v>
      </c>
      <c r="X1524" t="s">
        <v>6989</v>
      </c>
      <c r="Y1524">
        <v>59</v>
      </c>
      <c r="Z1524">
        <v>5855</v>
      </c>
    </row>
    <row r="1525" spans="1:26">
      <c r="A1525" s="1">
        <v>1523</v>
      </c>
      <c r="B1525" t="str">
        <f>HYPERLINK("https://bugs.eclipse.org/bugs/show_bug.cgi?id=48779", "48779")</f>
        <v>48779</v>
      </c>
      <c r="C1525" t="s">
        <v>35</v>
      </c>
      <c r="D1525" t="s">
        <v>11</v>
      </c>
      <c r="E1525" t="s">
        <v>12</v>
      </c>
      <c r="F1525" t="s">
        <v>26</v>
      </c>
      <c r="L1525" t="s">
        <v>6990</v>
      </c>
      <c r="M1525" t="s">
        <v>6991</v>
      </c>
      <c r="N1525" t="s">
        <v>6990</v>
      </c>
      <c r="T1525" t="s">
        <v>6992</v>
      </c>
      <c r="U1525" t="s">
        <v>6993</v>
      </c>
      <c r="V1525" t="s">
        <v>6991</v>
      </c>
      <c r="W1525" t="s">
        <v>6330</v>
      </c>
      <c r="X1525" t="s">
        <v>6994</v>
      </c>
      <c r="Y1525">
        <v>0</v>
      </c>
      <c r="Z1525">
        <v>164.95833333333329</v>
      </c>
    </row>
    <row r="1526" spans="1:26">
      <c r="A1526" s="1">
        <v>1524</v>
      </c>
      <c r="B1526" t="str">
        <f>HYPERLINK("https://bugs.eclipse.org/bugs/show_bug.cgi?id=48802", "48802")</f>
        <v>48802</v>
      </c>
      <c r="C1526" t="s">
        <v>56</v>
      </c>
      <c r="D1526" t="s">
        <v>10</v>
      </c>
      <c r="E1526" t="s">
        <v>14</v>
      </c>
      <c r="F1526" t="s">
        <v>51</v>
      </c>
      <c r="L1526" t="s">
        <v>6995</v>
      </c>
      <c r="P1526" t="s">
        <v>5306</v>
      </c>
      <c r="T1526" t="s">
        <v>6996</v>
      </c>
      <c r="U1526" t="s">
        <v>6997</v>
      </c>
      <c r="V1526" t="s">
        <v>5306</v>
      </c>
      <c r="W1526" t="s">
        <v>80</v>
      </c>
      <c r="X1526" t="s">
        <v>6998</v>
      </c>
      <c r="Y1526">
        <v>0</v>
      </c>
      <c r="Z1526">
        <v>2084.958333333333</v>
      </c>
    </row>
    <row r="1527" spans="1:26">
      <c r="A1527" s="1">
        <v>1525</v>
      </c>
      <c r="B1527" t="str">
        <f>HYPERLINK("https://bugs.eclipse.org/bugs/show_bug.cgi?id=48820", "48820")</f>
        <v>48820</v>
      </c>
      <c r="C1527" t="s">
        <v>149</v>
      </c>
      <c r="D1527" t="s">
        <v>10</v>
      </c>
      <c r="E1527" t="s">
        <v>12</v>
      </c>
      <c r="F1527" t="s">
        <v>26</v>
      </c>
      <c r="L1527" t="s">
        <v>6999</v>
      </c>
      <c r="N1527" t="s">
        <v>6999</v>
      </c>
      <c r="T1527" t="s">
        <v>7000</v>
      </c>
      <c r="U1527" t="s">
        <v>7001</v>
      </c>
      <c r="V1527" t="s">
        <v>6999</v>
      </c>
      <c r="W1527" t="s">
        <v>86</v>
      </c>
      <c r="X1527" t="s">
        <v>7002</v>
      </c>
      <c r="Y1527">
        <v>0</v>
      </c>
      <c r="Z1527">
        <v>0</v>
      </c>
    </row>
    <row r="1528" spans="1:26">
      <c r="A1528" s="1">
        <v>1526</v>
      </c>
      <c r="B1528" t="str">
        <f>HYPERLINK("https://bugs.eclipse.org/bugs/show_bug.cgi?id=48831", "48831")</f>
        <v>48831</v>
      </c>
      <c r="C1528" t="s">
        <v>149</v>
      </c>
      <c r="D1528" t="s">
        <v>10</v>
      </c>
      <c r="E1528" t="s">
        <v>12</v>
      </c>
      <c r="F1528" t="s">
        <v>26</v>
      </c>
      <c r="L1528" t="s">
        <v>7003</v>
      </c>
      <c r="N1528" t="s">
        <v>7003</v>
      </c>
      <c r="T1528" t="s">
        <v>7004</v>
      </c>
      <c r="U1528" t="s">
        <v>7005</v>
      </c>
      <c r="V1528" t="s">
        <v>7003</v>
      </c>
      <c r="W1528" t="s">
        <v>86</v>
      </c>
      <c r="X1528" t="s">
        <v>7006</v>
      </c>
      <c r="Y1528">
        <v>20</v>
      </c>
      <c r="Z1528">
        <v>54</v>
      </c>
    </row>
    <row r="1529" spans="1:26">
      <c r="A1529" s="1">
        <v>1527</v>
      </c>
      <c r="B1529" t="str">
        <f>HYPERLINK("https://bugs.eclipse.org/bugs/show_bug.cgi?id=48893", "48893")</f>
        <v>48893</v>
      </c>
      <c r="C1529" t="s">
        <v>56</v>
      </c>
      <c r="D1529" t="s">
        <v>10</v>
      </c>
      <c r="E1529" t="s">
        <v>14</v>
      </c>
      <c r="F1529" t="s">
        <v>51</v>
      </c>
      <c r="L1529" t="s">
        <v>7007</v>
      </c>
      <c r="P1529" t="s">
        <v>7008</v>
      </c>
      <c r="T1529" t="s">
        <v>7009</v>
      </c>
      <c r="U1529" t="s">
        <v>7010</v>
      </c>
      <c r="V1529" t="s">
        <v>7008</v>
      </c>
      <c r="W1529" t="s">
        <v>851</v>
      </c>
      <c r="X1529" t="s">
        <v>7011</v>
      </c>
      <c r="Y1529">
        <v>0</v>
      </c>
      <c r="Z1529">
        <v>1965.958333333333</v>
      </c>
    </row>
    <row r="1530" spans="1:26">
      <c r="A1530" s="1">
        <v>1528</v>
      </c>
      <c r="B1530" t="str">
        <f>HYPERLINK("https://bugs.eclipse.org/bugs/show_bug.cgi?id=48912", "48912")</f>
        <v>48912</v>
      </c>
      <c r="C1530" t="s">
        <v>4646</v>
      </c>
      <c r="D1530" t="s">
        <v>10</v>
      </c>
      <c r="E1530" t="s">
        <v>15</v>
      </c>
      <c r="F1530" t="s">
        <v>26</v>
      </c>
      <c r="L1530" t="s">
        <v>7012</v>
      </c>
      <c r="Q1530" t="s">
        <v>7012</v>
      </c>
      <c r="T1530" t="s">
        <v>7013</v>
      </c>
      <c r="U1530" t="s">
        <v>7012</v>
      </c>
      <c r="V1530" t="s">
        <v>7012</v>
      </c>
      <c r="W1530" t="s">
        <v>86</v>
      </c>
      <c r="X1530" t="s">
        <v>7014</v>
      </c>
      <c r="Y1530">
        <v>0</v>
      </c>
      <c r="Z1530">
        <v>0</v>
      </c>
    </row>
    <row r="1531" spans="1:26">
      <c r="A1531" s="1">
        <v>1529</v>
      </c>
      <c r="B1531" t="str">
        <f>HYPERLINK("https://bugs.eclipse.org/bugs/show_bug.cgi?id=48916", "48916")</f>
        <v>48916</v>
      </c>
      <c r="C1531" t="s">
        <v>140</v>
      </c>
      <c r="D1531" t="s">
        <v>10</v>
      </c>
      <c r="E1531" t="s">
        <v>16</v>
      </c>
      <c r="F1531" t="s">
        <v>26</v>
      </c>
      <c r="L1531" t="s">
        <v>7015</v>
      </c>
      <c r="R1531" t="s">
        <v>7015</v>
      </c>
      <c r="T1531" t="s">
        <v>7016</v>
      </c>
      <c r="U1531" t="s">
        <v>7015</v>
      </c>
      <c r="V1531" t="s">
        <v>7015</v>
      </c>
      <c r="W1531" t="s">
        <v>86</v>
      </c>
      <c r="X1531" t="s">
        <v>7017</v>
      </c>
      <c r="Y1531">
        <v>0</v>
      </c>
      <c r="Z1531">
        <v>0</v>
      </c>
    </row>
    <row r="1532" spans="1:26">
      <c r="A1532" s="1">
        <v>1530</v>
      </c>
      <c r="B1532" t="str">
        <f>HYPERLINK("https://bugs.eclipse.org/bugs/show_bug.cgi?id=48925", "48925")</f>
        <v>48925</v>
      </c>
      <c r="C1532" t="s">
        <v>56</v>
      </c>
      <c r="D1532" t="s">
        <v>10</v>
      </c>
      <c r="E1532" t="s">
        <v>14</v>
      </c>
      <c r="F1532" t="s">
        <v>26</v>
      </c>
      <c r="L1532" t="s">
        <v>7018</v>
      </c>
      <c r="P1532" t="s">
        <v>7019</v>
      </c>
      <c r="T1532" t="s">
        <v>7020</v>
      </c>
      <c r="U1532" t="s">
        <v>7018</v>
      </c>
      <c r="V1532" t="s">
        <v>7019</v>
      </c>
      <c r="W1532" t="s">
        <v>80</v>
      </c>
      <c r="X1532" t="s">
        <v>7021</v>
      </c>
      <c r="Y1532">
        <v>5</v>
      </c>
      <c r="Z1532">
        <v>2083.958333333333</v>
      </c>
    </row>
    <row r="1533" spans="1:26">
      <c r="A1533" s="1">
        <v>1531</v>
      </c>
      <c r="B1533" t="str">
        <f>HYPERLINK("https://bugs.eclipse.org/bugs/show_bug.cgi?id=48970", "48970")</f>
        <v>48970</v>
      </c>
      <c r="C1533" t="s">
        <v>149</v>
      </c>
      <c r="D1533" t="s">
        <v>10</v>
      </c>
      <c r="E1533" t="s">
        <v>12</v>
      </c>
      <c r="F1533" t="s">
        <v>26</v>
      </c>
      <c r="L1533" t="s">
        <v>7022</v>
      </c>
      <c r="N1533" t="s">
        <v>7022</v>
      </c>
      <c r="T1533" t="s">
        <v>7023</v>
      </c>
      <c r="U1533" t="s">
        <v>7024</v>
      </c>
      <c r="V1533" t="s">
        <v>7022</v>
      </c>
      <c r="W1533" t="s">
        <v>851</v>
      </c>
      <c r="X1533" t="s">
        <v>7025</v>
      </c>
      <c r="Y1533">
        <v>0</v>
      </c>
      <c r="Z1533">
        <v>145.95833333333329</v>
      </c>
    </row>
    <row r="1534" spans="1:26">
      <c r="A1534" s="1">
        <v>1532</v>
      </c>
      <c r="B1534" t="str">
        <f>HYPERLINK("https://bugs.eclipse.org/bugs/show_bug.cgi?id=48977", "48977")</f>
        <v>48977</v>
      </c>
      <c r="C1534" t="s">
        <v>56</v>
      </c>
      <c r="D1534" t="s">
        <v>10</v>
      </c>
      <c r="E1534" t="s">
        <v>14</v>
      </c>
      <c r="F1534" t="s">
        <v>26</v>
      </c>
      <c r="L1534" t="s">
        <v>7026</v>
      </c>
      <c r="P1534" t="s">
        <v>7027</v>
      </c>
      <c r="T1534" t="s">
        <v>7028</v>
      </c>
      <c r="U1534" t="s">
        <v>7029</v>
      </c>
      <c r="V1534" t="s">
        <v>7027</v>
      </c>
      <c r="W1534" t="s">
        <v>80</v>
      </c>
      <c r="X1534" t="s">
        <v>7030</v>
      </c>
      <c r="Y1534">
        <v>0</v>
      </c>
      <c r="Z1534">
        <v>2082.958333333333</v>
      </c>
    </row>
    <row r="1535" spans="1:26">
      <c r="A1535" s="1">
        <v>1533</v>
      </c>
      <c r="B1535" t="str">
        <f>HYPERLINK("https://bugs.eclipse.org/bugs/show_bug.cgi?id=48979", "48979")</f>
        <v>48979</v>
      </c>
      <c r="C1535" t="s">
        <v>140</v>
      </c>
      <c r="D1535" t="s">
        <v>10</v>
      </c>
      <c r="E1535" t="s">
        <v>16</v>
      </c>
      <c r="F1535" t="s">
        <v>26</v>
      </c>
      <c r="L1535" t="s">
        <v>7031</v>
      </c>
      <c r="R1535" t="s">
        <v>7031</v>
      </c>
      <c r="T1535" t="s">
        <v>7032</v>
      </c>
      <c r="U1535" t="s">
        <v>7033</v>
      </c>
      <c r="V1535" t="s">
        <v>7031</v>
      </c>
      <c r="W1535" t="s">
        <v>86</v>
      </c>
      <c r="X1535" t="s">
        <v>7034</v>
      </c>
      <c r="Y1535">
        <v>0</v>
      </c>
      <c r="Z1535">
        <v>147.95833333333329</v>
      </c>
    </row>
    <row r="1536" spans="1:26">
      <c r="A1536" s="1">
        <v>1534</v>
      </c>
      <c r="B1536" t="str">
        <f>HYPERLINK("https://bugs.eclipse.org/bugs/show_bug.cgi?id=48985", "48985")</f>
        <v>48985</v>
      </c>
      <c r="C1536" t="s">
        <v>149</v>
      </c>
      <c r="D1536" t="s">
        <v>10</v>
      </c>
      <c r="E1536" t="s">
        <v>12</v>
      </c>
      <c r="F1536" t="s">
        <v>26</v>
      </c>
      <c r="L1536" t="s">
        <v>7035</v>
      </c>
      <c r="N1536" t="s">
        <v>7035</v>
      </c>
      <c r="T1536" t="s">
        <v>7036</v>
      </c>
      <c r="U1536" t="s">
        <v>7037</v>
      </c>
      <c r="V1536" t="s">
        <v>7035</v>
      </c>
      <c r="W1536" t="s">
        <v>86</v>
      </c>
      <c r="X1536" t="s">
        <v>7038</v>
      </c>
      <c r="Y1536">
        <v>0</v>
      </c>
      <c r="Z1536">
        <v>187.95833333333329</v>
      </c>
    </row>
    <row r="1537" spans="1:26">
      <c r="A1537" s="1">
        <v>1535</v>
      </c>
      <c r="B1537" t="str">
        <f>HYPERLINK("https://bugs.eclipse.org/bugs/show_bug.cgi?id=48987", "48987")</f>
        <v>48987</v>
      </c>
      <c r="C1537" t="s">
        <v>140</v>
      </c>
      <c r="D1537" t="s">
        <v>10</v>
      </c>
      <c r="E1537" t="s">
        <v>16</v>
      </c>
      <c r="F1537" t="s">
        <v>51</v>
      </c>
      <c r="L1537" t="s">
        <v>7039</v>
      </c>
      <c r="R1537" t="s">
        <v>7039</v>
      </c>
      <c r="T1537" t="s">
        <v>7040</v>
      </c>
      <c r="U1537" t="s">
        <v>7041</v>
      </c>
      <c r="V1537" t="s">
        <v>7039</v>
      </c>
      <c r="W1537" t="s">
        <v>49</v>
      </c>
      <c r="X1537" t="s">
        <v>7042</v>
      </c>
      <c r="Y1537">
        <v>19</v>
      </c>
      <c r="Z1537">
        <v>907.95833333333337</v>
      </c>
    </row>
    <row r="1538" spans="1:26">
      <c r="A1538" s="1">
        <v>1536</v>
      </c>
      <c r="B1538" t="str">
        <f>HYPERLINK("https://bugs.eclipse.org/bugs/show_bug.cgi?id=48988", "48988")</f>
        <v>48988</v>
      </c>
      <c r="C1538" t="s">
        <v>35</v>
      </c>
      <c r="D1538" t="s">
        <v>11</v>
      </c>
      <c r="E1538" t="s">
        <v>12</v>
      </c>
      <c r="F1538" t="s">
        <v>26</v>
      </c>
      <c r="L1538" t="s">
        <v>7043</v>
      </c>
      <c r="M1538" t="s">
        <v>7044</v>
      </c>
      <c r="N1538" t="s">
        <v>7043</v>
      </c>
      <c r="T1538" t="s">
        <v>7045</v>
      </c>
      <c r="U1538" t="s">
        <v>7046</v>
      </c>
      <c r="V1538" t="s">
        <v>7044</v>
      </c>
      <c r="W1538" t="s">
        <v>143</v>
      </c>
      <c r="X1538" t="s">
        <v>7047</v>
      </c>
      <c r="Y1538">
        <v>0</v>
      </c>
      <c r="Z1538">
        <v>1</v>
      </c>
    </row>
    <row r="1539" spans="1:26">
      <c r="A1539" s="1">
        <v>1537</v>
      </c>
      <c r="B1539" t="str">
        <f>HYPERLINK("https://bugs.eclipse.org/bugs/show_bug.cgi?id=49002", "49002")</f>
        <v>49002</v>
      </c>
      <c r="C1539" t="s">
        <v>149</v>
      </c>
      <c r="D1539" t="s">
        <v>10</v>
      </c>
      <c r="E1539" t="s">
        <v>12</v>
      </c>
      <c r="F1539" t="s">
        <v>26</v>
      </c>
      <c r="L1539" t="s">
        <v>7048</v>
      </c>
      <c r="N1539" t="s">
        <v>7048</v>
      </c>
      <c r="T1539" t="s">
        <v>7049</v>
      </c>
      <c r="U1539" t="s">
        <v>7050</v>
      </c>
      <c r="V1539" t="s">
        <v>7048</v>
      </c>
      <c r="W1539" t="s">
        <v>851</v>
      </c>
      <c r="X1539" t="s">
        <v>7051</v>
      </c>
      <c r="Y1539">
        <v>0</v>
      </c>
      <c r="Z1539">
        <v>20</v>
      </c>
    </row>
    <row r="1540" spans="1:26">
      <c r="A1540" s="1">
        <v>1538</v>
      </c>
      <c r="B1540" t="str">
        <f>HYPERLINK("https://bugs.eclipse.org/bugs/show_bug.cgi?id=49003", "49003")</f>
        <v>49003</v>
      </c>
      <c r="C1540" t="s">
        <v>7052</v>
      </c>
      <c r="D1540" t="s">
        <v>10</v>
      </c>
      <c r="E1540" t="s">
        <v>15</v>
      </c>
      <c r="F1540" t="s">
        <v>51</v>
      </c>
      <c r="L1540" t="s">
        <v>7053</v>
      </c>
      <c r="Q1540" t="s">
        <v>7053</v>
      </c>
      <c r="T1540" t="s">
        <v>7054</v>
      </c>
      <c r="U1540" t="s">
        <v>7055</v>
      </c>
      <c r="V1540" t="s">
        <v>7053</v>
      </c>
      <c r="W1540" t="s">
        <v>49</v>
      </c>
      <c r="X1540" t="s">
        <v>7056</v>
      </c>
      <c r="Y1540">
        <v>0</v>
      </c>
      <c r="Z1540">
        <v>907.95833333333337</v>
      </c>
    </row>
    <row r="1541" spans="1:26">
      <c r="A1541" s="1">
        <v>1539</v>
      </c>
      <c r="B1541" t="str">
        <f>HYPERLINK("https://bugs.eclipse.org/bugs/show_bug.cgi?id=49010", "49010")</f>
        <v>49010</v>
      </c>
      <c r="C1541" t="s">
        <v>149</v>
      </c>
      <c r="D1541" t="s">
        <v>10</v>
      </c>
      <c r="E1541" t="s">
        <v>12</v>
      </c>
      <c r="F1541" t="s">
        <v>26</v>
      </c>
      <c r="G1541" t="s">
        <v>7057</v>
      </c>
      <c r="L1541" t="s">
        <v>7058</v>
      </c>
      <c r="N1541" t="s">
        <v>7058</v>
      </c>
      <c r="T1541" t="s">
        <v>7059</v>
      </c>
      <c r="U1541" t="s">
        <v>7060</v>
      </c>
      <c r="V1541" t="s">
        <v>7058</v>
      </c>
      <c r="W1541" t="s">
        <v>851</v>
      </c>
      <c r="X1541" t="s">
        <v>7061</v>
      </c>
      <c r="Y1541">
        <v>0</v>
      </c>
      <c r="Z1541">
        <v>19</v>
      </c>
    </row>
    <row r="1542" spans="1:26">
      <c r="A1542" s="1">
        <v>1540</v>
      </c>
      <c r="B1542" t="str">
        <f>HYPERLINK("https://bugs.eclipse.org/bugs/show_bug.cgi?id=49022", "49022")</f>
        <v>49022</v>
      </c>
      <c r="C1542" t="s">
        <v>149</v>
      </c>
      <c r="D1542" t="s">
        <v>10</v>
      </c>
      <c r="E1542" t="s">
        <v>12</v>
      </c>
      <c r="F1542" t="s">
        <v>26</v>
      </c>
      <c r="L1542" t="s">
        <v>7062</v>
      </c>
      <c r="N1542" t="s">
        <v>7062</v>
      </c>
      <c r="T1542" t="s">
        <v>7063</v>
      </c>
      <c r="U1542" t="s">
        <v>7064</v>
      </c>
      <c r="V1542" t="s">
        <v>7062</v>
      </c>
      <c r="W1542" t="s">
        <v>86</v>
      </c>
      <c r="X1542" t="s">
        <v>7065</v>
      </c>
      <c r="Y1542">
        <v>19</v>
      </c>
      <c r="Z1542">
        <v>96</v>
      </c>
    </row>
    <row r="1543" spans="1:26">
      <c r="A1543" s="1">
        <v>1541</v>
      </c>
      <c r="B1543" t="str">
        <f>HYPERLINK("https://bugs.eclipse.org/bugs/show_bug.cgi?id=49063", "49063")</f>
        <v>49063</v>
      </c>
      <c r="C1543" t="s">
        <v>7066</v>
      </c>
      <c r="D1543" t="s">
        <v>10</v>
      </c>
      <c r="E1543" t="s">
        <v>15</v>
      </c>
      <c r="F1543" t="s">
        <v>26</v>
      </c>
      <c r="L1543" t="s">
        <v>7067</v>
      </c>
      <c r="Q1543" t="s">
        <v>7067</v>
      </c>
      <c r="T1543" t="s">
        <v>7068</v>
      </c>
      <c r="U1543" t="s">
        <v>7067</v>
      </c>
      <c r="V1543" t="s">
        <v>7067</v>
      </c>
      <c r="W1543" t="s">
        <v>86</v>
      </c>
      <c r="X1543" t="s">
        <v>7069</v>
      </c>
      <c r="Y1543">
        <v>0</v>
      </c>
      <c r="Z1543">
        <v>0</v>
      </c>
    </row>
    <row r="1544" spans="1:26">
      <c r="A1544" s="1">
        <v>1542</v>
      </c>
      <c r="B1544" t="str">
        <f>HYPERLINK("https://bugs.eclipse.org/bugs/show_bug.cgi?id=49064", "49064")</f>
        <v>49064</v>
      </c>
      <c r="C1544" t="s">
        <v>7070</v>
      </c>
      <c r="D1544" t="s">
        <v>10</v>
      </c>
      <c r="E1544" t="s">
        <v>15</v>
      </c>
      <c r="F1544" t="s">
        <v>26</v>
      </c>
      <c r="L1544" t="s">
        <v>6874</v>
      </c>
      <c r="Q1544" t="s">
        <v>6874</v>
      </c>
      <c r="S1544" t="s">
        <v>7071</v>
      </c>
      <c r="T1544" t="s">
        <v>7072</v>
      </c>
      <c r="U1544" t="s">
        <v>7073</v>
      </c>
      <c r="V1544" t="s">
        <v>6874</v>
      </c>
      <c r="W1544" t="s">
        <v>86</v>
      </c>
      <c r="X1544" t="s">
        <v>7074</v>
      </c>
      <c r="Y1544">
        <v>0</v>
      </c>
      <c r="Z1544">
        <v>0</v>
      </c>
    </row>
    <row r="1545" spans="1:26">
      <c r="A1545" s="1">
        <v>1543</v>
      </c>
      <c r="B1545" t="str">
        <f>HYPERLINK("https://bugs.eclipse.org/bugs/show_bug.cgi?id=49113", "49113")</f>
        <v>49113</v>
      </c>
      <c r="C1545" t="s">
        <v>6352</v>
      </c>
      <c r="D1545" t="s">
        <v>10</v>
      </c>
      <c r="E1545" t="s">
        <v>15</v>
      </c>
      <c r="F1545" t="s">
        <v>26</v>
      </c>
      <c r="L1545" t="s">
        <v>7075</v>
      </c>
      <c r="Q1545" t="s">
        <v>7075</v>
      </c>
      <c r="T1545" t="s">
        <v>7076</v>
      </c>
      <c r="U1545" t="s">
        <v>7075</v>
      </c>
      <c r="V1545" t="s">
        <v>7075</v>
      </c>
      <c r="W1545" t="s">
        <v>86</v>
      </c>
      <c r="X1545" t="s">
        <v>7077</v>
      </c>
      <c r="Y1545">
        <v>0</v>
      </c>
      <c r="Z1545">
        <v>0</v>
      </c>
    </row>
    <row r="1546" spans="1:26">
      <c r="A1546" s="1">
        <v>1544</v>
      </c>
      <c r="B1546" t="str">
        <f>HYPERLINK("https://bugs.eclipse.org/bugs/show_bug.cgi?id=49230", "49230")</f>
        <v>49230</v>
      </c>
      <c r="C1546" t="s">
        <v>149</v>
      </c>
      <c r="D1546" t="s">
        <v>10</v>
      </c>
      <c r="E1546" t="s">
        <v>12</v>
      </c>
      <c r="F1546" t="s">
        <v>26</v>
      </c>
      <c r="L1546" t="s">
        <v>7078</v>
      </c>
      <c r="N1546" t="s">
        <v>7078</v>
      </c>
      <c r="T1546" t="s">
        <v>7079</v>
      </c>
      <c r="U1546" t="s">
        <v>7080</v>
      </c>
      <c r="V1546" t="s">
        <v>7078</v>
      </c>
      <c r="W1546" t="s">
        <v>851</v>
      </c>
      <c r="X1546" t="s">
        <v>7081</v>
      </c>
      <c r="Y1546">
        <v>1</v>
      </c>
      <c r="Z1546">
        <v>16</v>
      </c>
    </row>
    <row r="1547" spans="1:26">
      <c r="A1547" s="1">
        <v>1545</v>
      </c>
      <c r="B1547" t="str">
        <f>HYPERLINK("https://bugs.eclipse.org/bugs/show_bug.cgi?id=49231", "49231")</f>
        <v>49231</v>
      </c>
      <c r="C1547" t="s">
        <v>7082</v>
      </c>
      <c r="D1547" t="s">
        <v>10</v>
      </c>
      <c r="E1547" t="s">
        <v>15</v>
      </c>
      <c r="F1547" t="s">
        <v>26</v>
      </c>
      <c r="L1547" t="s">
        <v>7083</v>
      </c>
      <c r="Q1547" t="s">
        <v>7083</v>
      </c>
      <c r="T1547" t="s">
        <v>7084</v>
      </c>
      <c r="U1547" t="s">
        <v>7083</v>
      </c>
      <c r="V1547" t="s">
        <v>7083</v>
      </c>
      <c r="W1547" t="s">
        <v>86</v>
      </c>
      <c r="X1547" t="s">
        <v>7085</v>
      </c>
      <c r="Y1547">
        <v>1</v>
      </c>
      <c r="Z1547">
        <v>1</v>
      </c>
    </row>
    <row r="1548" spans="1:26">
      <c r="A1548" s="1">
        <v>1546</v>
      </c>
      <c r="B1548" t="str">
        <f>HYPERLINK("https://bugs.eclipse.org/bugs/show_bug.cgi?id=49232", "49232")</f>
        <v>49232</v>
      </c>
      <c r="C1548" t="s">
        <v>149</v>
      </c>
      <c r="D1548" t="s">
        <v>10</v>
      </c>
      <c r="E1548" t="s">
        <v>12</v>
      </c>
      <c r="F1548" t="s">
        <v>26</v>
      </c>
      <c r="L1548" t="s">
        <v>7086</v>
      </c>
      <c r="N1548" t="s">
        <v>7086</v>
      </c>
      <c r="T1548" t="s">
        <v>7087</v>
      </c>
      <c r="U1548" t="s">
        <v>7088</v>
      </c>
      <c r="V1548" t="s">
        <v>7086</v>
      </c>
      <c r="W1548" t="s">
        <v>851</v>
      </c>
      <c r="X1548" t="s">
        <v>7089</v>
      </c>
      <c r="Y1548">
        <v>1</v>
      </c>
      <c r="Z1548">
        <v>41</v>
      </c>
    </row>
    <row r="1549" spans="1:26">
      <c r="A1549" s="1">
        <v>1547</v>
      </c>
      <c r="B1549" t="str">
        <f>HYPERLINK("https://bugs.eclipse.org/bugs/show_bug.cgi?id=49350", "49350")</f>
        <v>49350</v>
      </c>
      <c r="C1549" t="s">
        <v>149</v>
      </c>
      <c r="D1549" t="s">
        <v>10</v>
      </c>
      <c r="E1549" t="s">
        <v>12</v>
      </c>
      <c r="F1549" t="s">
        <v>26</v>
      </c>
      <c r="L1549" t="s">
        <v>7090</v>
      </c>
      <c r="N1549" t="s">
        <v>7090</v>
      </c>
      <c r="T1549" t="s">
        <v>7091</v>
      </c>
      <c r="U1549" t="s">
        <v>7092</v>
      </c>
      <c r="V1549" t="s">
        <v>7090</v>
      </c>
      <c r="W1549" t="s">
        <v>851</v>
      </c>
      <c r="X1549" t="s">
        <v>7093</v>
      </c>
      <c r="Y1549">
        <v>10</v>
      </c>
      <c r="Z1549">
        <v>137.95833333333329</v>
      </c>
    </row>
    <row r="1550" spans="1:26">
      <c r="A1550" s="1">
        <v>1548</v>
      </c>
      <c r="B1550" t="str">
        <f>HYPERLINK("https://bugs.eclipse.org/bugs/show_bug.cgi?id=49366", "49366")</f>
        <v>49366</v>
      </c>
      <c r="C1550" t="s">
        <v>5739</v>
      </c>
      <c r="D1550" t="s">
        <v>10</v>
      </c>
      <c r="E1550" t="s">
        <v>15</v>
      </c>
      <c r="F1550" t="s">
        <v>26</v>
      </c>
      <c r="L1550" t="s">
        <v>7094</v>
      </c>
      <c r="Q1550" t="s">
        <v>7094</v>
      </c>
      <c r="T1550" t="s">
        <v>7095</v>
      </c>
      <c r="U1550" t="s">
        <v>7094</v>
      </c>
      <c r="V1550" t="s">
        <v>7094</v>
      </c>
      <c r="W1550" t="s">
        <v>86</v>
      </c>
      <c r="X1550" t="s">
        <v>7096</v>
      </c>
      <c r="Y1550">
        <v>0</v>
      </c>
      <c r="Z1550">
        <v>0</v>
      </c>
    </row>
    <row r="1551" spans="1:26">
      <c r="A1551" s="1">
        <v>1549</v>
      </c>
      <c r="B1551" t="str">
        <f>HYPERLINK("https://bugs.eclipse.org/bugs/show_bug.cgi?id=49425", "49425")</f>
        <v>49425</v>
      </c>
      <c r="C1551" t="s">
        <v>56</v>
      </c>
      <c r="D1551" t="s">
        <v>10</v>
      </c>
      <c r="E1551" t="s">
        <v>14</v>
      </c>
      <c r="F1551" t="s">
        <v>51</v>
      </c>
      <c r="L1551" t="s">
        <v>7097</v>
      </c>
      <c r="P1551" t="s">
        <v>7097</v>
      </c>
      <c r="T1551" t="s">
        <v>7098</v>
      </c>
      <c r="U1551" t="s">
        <v>7099</v>
      </c>
      <c r="V1551" t="s">
        <v>7097</v>
      </c>
      <c r="W1551" t="s">
        <v>49</v>
      </c>
      <c r="X1551" t="s">
        <v>7100</v>
      </c>
      <c r="Y1551">
        <v>3</v>
      </c>
      <c r="Z1551">
        <v>894.95833333333337</v>
      </c>
    </row>
    <row r="1552" spans="1:26">
      <c r="A1552" s="1">
        <v>1550</v>
      </c>
      <c r="B1552" t="str">
        <f>HYPERLINK("https://bugs.eclipse.org/bugs/show_bug.cgi?id=49449", "49449")</f>
        <v>49449</v>
      </c>
      <c r="C1552" t="s">
        <v>149</v>
      </c>
      <c r="D1552" t="s">
        <v>10</v>
      </c>
      <c r="E1552" t="s">
        <v>12</v>
      </c>
      <c r="F1552" t="s">
        <v>26</v>
      </c>
      <c r="L1552" t="s">
        <v>7101</v>
      </c>
      <c r="N1552" t="s">
        <v>7101</v>
      </c>
      <c r="T1552" t="s">
        <v>7102</v>
      </c>
      <c r="U1552" t="s">
        <v>7103</v>
      </c>
      <c r="V1552" t="s">
        <v>7101</v>
      </c>
      <c r="W1552" t="s">
        <v>851</v>
      </c>
      <c r="X1552" t="s">
        <v>7104</v>
      </c>
      <c r="Y1552">
        <v>1</v>
      </c>
      <c r="Z1552">
        <v>414</v>
      </c>
    </row>
    <row r="1553" spans="1:26">
      <c r="A1553" s="1">
        <v>1551</v>
      </c>
      <c r="B1553" t="str">
        <f>HYPERLINK("https://bugs.eclipse.org/bugs/show_bug.cgi?id=49492", "49492")</f>
        <v>49492</v>
      </c>
      <c r="C1553" t="s">
        <v>1062</v>
      </c>
      <c r="D1553" t="s">
        <v>10</v>
      </c>
      <c r="E1553" t="s">
        <v>15</v>
      </c>
      <c r="F1553" t="s">
        <v>26</v>
      </c>
      <c r="L1553" t="s">
        <v>7105</v>
      </c>
      <c r="Q1553" t="s">
        <v>7105</v>
      </c>
      <c r="T1553" t="s">
        <v>7106</v>
      </c>
      <c r="U1553" t="s">
        <v>7105</v>
      </c>
      <c r="V1553" t="s">
        <v>7105</v>
      </c>
      <c r="W1553" t="s">
        <v>60</v>
      </c>
      <c r="X1553" t="s">
        <v>7107</v>
      </c>
      <c r="Y1553">
        <v>2</v>
      </c>
      <c r="Z1553">
        <v>2</v>
      </c>
    </row>
    <row r="1554" spans="1:26">
      <c r="A1554" s="1">
        <v>1552</v>
      </c>
      <c r="B1554" t="str">
        <f>HYPERLINK("https://bugs.eclipse.org/bugs/show_bug.cgi?id=49583", "49583")</f>
        <v>49583</v>
      </c>
      <c r="C1554" t="s">
        <v>88</v>
      </c>
      <c r="D1554" t="s">
        <v>10</v>
      </c>
      <c r="E1554" t="s">
        <v>13</v>
      </c>
      <c r="F1554" t="s">
        <v>26</v>
      </c>
      <c r="L1554" t="s">
        <v>7108</v>
      </c>
      <c r="O1554" t="s">
        <v>7108</v>
      </c>
      <c r="T1554" t="s">
        <v>7109</v>
      </c>
      <c r="U1554" t="s">
        <v>7108</v>
      </c>
      <c r="V1554" t="s">
        <v>7108</v>
      </c>
      <c r="W1554" t="s">
        <v>7110</v>
      </c>
      <c r="X1554" t="s">
        <v>7111</v>
      </c>
      <c r="Y1554">
        <v>0</v>
      </c>
      <c r="Z1554">
        <v>0</v>
      </c>
    </row>
    <row r="1555" spans="1:26">
      <c r="A1555" s="1">
        <v>1553</v>
      </c>
      <c r="B1555" t="str">
        <f>HYPERLINK("https://bugs.eclipse.org/bugs/show_bug.cgi?id=49588", "49588")</f>
        <v>49588</v>
      </c>
      <c r="C1555" t="s">
        <v>7112</v>
      </c>
      <c r="D1555" t="s">
        <v>10</v>
      </c>
      <c r="E1555" t="s">
        <v>15</v>
      </c>
      <c r="F1555" t="s">
        <v>26</v>
      </c>
      <c r="L1555" t="s">
        <v>7113</v>
      </c>
      <c r="Q1555" t="s">
        <v>7113</v>
      </c>
      <c r="T1555" t="s">
        <v>7114</v>
      </c>
      <c r="U1555" t="s">
        <v>7115</v>
      </c>
      <c r="V1555" t="s">
        <v>7113</v>
      </c>
      <c r="W1555" t="s">
        <v>86</v>
      </c>
      <c r="X1555" t="s">
        <v>7116</v>
      </c>
      <c r="Y1555">
        <v>110.9583333333333</v>
      </c>
      <c r="Z1555">
        <v>120.9583333333333</v>
      </c>
    </row>
    <row r="1556" spans="1:26">
      <c r="A1556" s="1">
        <v>1554</v>
      </c>
      <c r="B1556" t="str">
        <f>HYPERLINK("https://bugs.eclipse.org/bugs/show_bug.cgi?id=49656", "49656")</f>
        <v>49656</v>
      </c>
      <c r="C1556" t="s">
        <v>149</v>
      </c>
      <c r="D1556" t="s">
        <v>10</v>
      </c>
      <c r="E1556" t="s">
        <v>12</v>
      </c>
      <c r="F1556" t="s">
        <v>26</v>
      </c>
      <c r="L1556" t="s">
        <v>7117</v>
      </c>
      <c r="N1556" t="s">
        <v>7117</v>
      </c>
      <c r="T1556" t="s">
        <v>7118</v>
      </c>
      <c r="U1556" t="s">
        <v>7119</v>
      </c>
      <c r="V1556" t="s">
        <v>7117</v>
      </c>
      <c r="W1556" t="s">
        <v>851</v>
      </c>
      <c r="X1556" t="s">
        <v>7120</v>
      </c>
      <c r="Y1556">
        <v>0</v>
      </c>
      <c r="Z1556">
        <v>36</v>
      </c>
    </row>
    <row r="1557" spans="1:26">
      <c r="A1557" s="1">
        <v>1555</v>
      </c>
      <c r="B1557" t="str">
        <f>HYPERLINK("https://bugs.eclipse.org/bugs/show_bug.cgi?id=49717", "49717")</f>
        <v>49717</v>
      </c>
      <c r="C1557" t="s">
        <v>7121</v>
      </c>
      <c r="D1557" t="s">
        <v>10</v>
      </c>
      <c r="E1557" t="s">
        <v>15</v>
      </c>
      <c r="F1557" t="s">
        <v>26</v>
      </c>
      <c r="L1557" t="s">
        <v>7122</v>
      </c>
      <c r="Q1557" t="s">
        <v>7122</v>
      </c>
      <c r="T1557" t="s">
        <v>7123</v>
      </c>
      <c r="U1557" t="s">
        <v>7124</v>
      </c>
      <c r="V1557" t="s">
        <v>7122</v>
      </c>
      <c r="W1557" t="s">
        <v>851</v>
      </c>
      <c r="X1557" t="s">
        <v>7125</v>
      </c>
      <c r="Y1557">
        <v>27</v>
      </c>
      <c r="Z1557">
        <v>137.95833333333329</v>
      </c>
    </row>
    <row r="1558" spans="1:26">
      <c r="A1558" s="1">
        <v>1556</v>
      </c>
      <c r="B1558" t="str">
        <f>HYPERLINK("https://bugs.eclipse.org/bugs/show_bug.cgi?id=49719", "49719")</f>
        <v>49719</v>
      </c>
      <c r="C1558" t="s">
        <v>149</v>
      </c>
      <c r="D1558" t="s">
        <v>10</v>
      </c>
      <c r="E1558" t="s">
        <v>12</v>
      </c>
      <c r="F1558" t="s">
        <v>26</v>
      </c>
      <c r="L1558" t="s">
        <v>7126</v>
      </c>
      <c r="N1558" t="s">
        <v>7126</v>
      </c>
      <c r="T1558" t="s">
        <v>7127</v>
      </c>
      <c r="U1558" t="s">
        <v>7128</v>
      </c>
      <c r="V1558" t="s">
        <v>7126</v>
      </c>
      <c r="W1558" t="s">
        <v>851</v>
      </c>
      <c r="X1558" t="s">
        <v>7129</v>
      </c>
      <c r="Y1558">
        <v>4</v>
      </c>
      <c r="Z1558">
        <v>4</v>
      </c>
    </row>
    <row r="1559" spans="1:26">
      <c r="A1559" s="1">
        <v>1557</v>
      </c>
      <c r="B1559" t="str">
        <f>HYPERLINK("https://bugs.eclipse.org/bugs/show_bug.cgi?id=49772", "49772")</f>
        <v>49772</v>
      </c>
      <c r="C1559" t="s">
        <v>149</v>
      </c>
      <c r="D1559" t="s">
        <v>10</v>
      </c>
      <c r="E1559" t="s">
        <v>12</v>
      </c>
      <c r="F1559" t="s">
        <v>26</v>
      </c>
      <c r="L1559" t="s">
        <v>7130</v>
      </c>
      <c r="N1559" t="s">
        <v>7130</v>
      </c>
      <c r="T1559" t="s">
        <v>7131</v>
      </c>
      <c r="U1559" t="s">
        <v>7132</v>
      </c>
      <c r="V1559" t="s">
        <v>7130</v>
      </c>
      <c r="W1559" t="s">
        <v>851</v>
      </c>
      <c r="X1559" t="s">
        <v>7133</v>
      </c>
      <c r="Y1559">
        <v>0</v>
      </c>
      <c r="Z1559">
        <v>122.9583333333333</v>
      </c>
    </row>
    <row r="1560" spans="1:26">
      <c r="A1560" s="1">
        <v>1558</v>
      </c>
      <c r="B1560" t="str">
        <f>HYPERLINK("https://bugs.eclipse.org/bugs/show_bug.cgi?id=49774", "49774")</f>
        <v>49774</v>
      </c>
      <c r="C1560" t="s">
        <v>149</v>
      </c>
      <c r="D1560" t="s">
        <v>10</v>
      </c>
      <c r="E1560" t="s">
        <v>12</v>
      </c>
      <c r="F1560" t="s">
        <v>26</v>
      </c>
      <c r="G1560" t="s">
        <v>7134</v>
      </c>
      <c r="L1560" t="s">
        <v>7135</v>
      </c>
      <c r="N1560" t="s">
        <v>7135</v>
      </c>
      <c r="T1560" t="s">
        <v>7136</v>
      </c>
      <c r="U1560" t="s">
        <v>7137</v>
      </c>
      <c r="V1560" t="s">
        <v>7135</v>
      </c>
      <c r="W1560" t="s">
        <v>851</v>
      </c>
      <c r="X1560" t="s">
        <v>7138</v>
      </c>
      <c r="Y1560">
        <v>0</v>
      </c>
      <c r="Z1560">
        <v>125.9583333333333</v>
      </c>
    </row>
    <row r="1561" spans="1:26">
      <c r="A1561" s="1">
        <v>1559</v>
      </c>
      <c r="B1561" t="str">
        <f>HYPERLINK("https://bugs.eclipse.org/bugs/show_bug.cgi?id=49796", "49796")</f>
        <v>49796</v>
      </c>
      <c r="C1561" t="s">
        <v>149</v>
      </c>
      <c r="D1561" t="s">
        <v>10</v>
      </c>
      <c r="E1561" t="s">
        <v>12</v>
      </c>
      <c r="F1561" t="s">
        <v>150</v>
      </c>
      <c r="L1561" t="s">
        <v>7139</v>
      </c>
      <c r="N1561" t="s">
        <v>7139</v>
      </c>
      <c r="T1561" t="s">
        <v>7140</v>
      </c>
      <c r="U1561" t="s">
        <v>7141</v>
      </c>
      <c r="V1561" t="s">
        <v>7139</v>
      </c>
      <c r="W1561" t="s">
        <v>86</v>
      </c>
      <c r="X1561" t="s">
        <v>7142</v>
      </c>
      <c r="Y1561">
        <v>0</v>
      </c>
      <c r="Z1561">
        <v>73</v>
      </c>
    </row>
    <row r="1562" spans="1:26">
      <c r="A1562" s="1">
        <v>1560</v>
      </c>
      <c r="B1562" t="str">
        <f>HYPERLINK("https://bugs.eclipse.org/bugs/show_bug.cgi?id=49840", "49840")</f>
        <v>49840</v>
      </c>
      <c r="C1562" t="s">
        <v>149</v>
      </c>
      <c r="D1562" t="s">
        <v>10</v>
      </c>
      <c r="E1562" t="s">
        <v>12</v>
      </c>
      <c r="F1562" t="s">
        <v>26</v>
      </c>
      <c r="L1562" t="s">
        <v>7143</v>
      </c>
      <c r="N1562" t="s">
        <v>7143</v>
      </c>
      <c r="T1562" t="s">
        <v>7144</v>
      </c>
      <c r="U1562" t="s">
        <v>7145</v>
      </c>
      <c r="V1562" t="s">
        <v>7146</v>
      </c>
      <c r="W1562" t="s">
        <v>851</v>
      </c>
      <c r="X1562" t="s">
        <v>7147</v>
      </c>
      <c r="Y1562">
        <v>0</v>
      </c>
      <c r="Z1562">
        <v>2</v>
      </c>
    </row>
    <row r="1563" spans="1:26">
      <c r="A1563" s="1">
        <v>1561</v>
      </c>
      <c r="B1563" t="str">
        <f>HYPERLINK("https://bugs.eclipse.org/bugs/show_bug.cgi?id=49966", "49966")</f>
        <v>49966</v>
      </c>
      <c r="C1563" t="s">
        <v>35</v>
      </c>
      <c r="D1563" t="s">
        <v>11</v>
      </c>
      <c r="E1563" t="s">
        <v>12</v>
      </c>
      <c r="F1563" t="s">
        <v>26</v>
      </c>
      <c r="G1563" t="s">
        <v>7134</v>
      </c>
      <c r="L1563" t="s">
        <v>7148</v>
      </c>
      <c r="M1563" t="s">
        <v>7149</v>
      </c>
      <c r="N1563" t="s">
        <v>7148</v>
      </c>
      <c r="T1563" t="s">
        <v>7150</v>
      </c>
      <c r="U1563" t="s">
        <v>7151</v>
      </c>
      <c r="V1563" t="s">
        <v>7149</v>
      </c>
      <c r="W1563" t="s">
        <v>851</v>
      </c>
      <c r="X1563" t="s">
        <v>7152</v>
      </c>
      <c r="Y1563">
        <v>0</v>
      </c>
      <c r="Z1563">
        <v>29</v>
      </c>
    </row>
    <row r="1564" spans="1:26">
      <c r="A1564" s="1">
        <v>1562</v>
      </c>
      <c r="B1564" t="str">
        <f>HYPERLINK("https://bugs.eclipse.org/bugs/show_bug.cgi?id=50030", "50030")</f>
        <v>50030</v>
      </c>
      <c r="C1564" t="s">
        <v>4692</v>
      </c>
      <c r="D1564" t="s">
        <v>4692</v>
      </c>
      <c r="F1564" t="s">
        <v>26</v>
      </c>
      <c r="T1564" t="s">
        <v>7153</v>
      </c>
      <c r="U1564" t="s">
        <v>7154</v>
      </c>
      <c r="V1564" t="s">
        <v>7155</v>
      </c>
      <c r="W1564" t="s">
        <v>49</v>
      </c>
      <c r="X1564" t="s">
        <v>7156</v>
      </c>
      <c r="Y1564">
        <v>1</v>
      </c>
    </row>
    <row r="1565" spans="1:26">
      <c r="A1565" s="1">
        <v>1563</v>
      </c>
      <c r="B1565" t="str">
        <f>HYPERLINK("https://bugs.eclipse.org/bugs/show_bug.cgi?id=50132", "50132")</f>
        <v>50132</v>
      </c>
      <c r="C1565" t="s">
        <v>7157</v>
      </c>
      <c r="D1565" t="s">
        <v>10</v>
      </c>
      <c r="E1565" t="s">
        <v>15</v>
      </c>
      <c r="F1565" t="s">
        <v>26</v>
      </c>
      <c r="L1565" t="s">
        <v>7158</v>
      </c>
      <c r="Q1565" t="s">
        <v>7158</v>
      </c>
      <c r="T1565" t="s">
        <v>7159</v>
      </c>
      <c r="U1565" t="s">
        <v>7160</v>
      </c>
      <c r="V1565" t="s">
        <v>7158</v>
      </c>
      <c r="W1565" t="s">
        <v>49</v>
      </c>
      <c r="X1565" t="s">
        <v>7161</v>
      </c>
      <c r="Y1565">
        <v>1</v>
      </c>
      <c r="Z1565">
        <v>3</v>
      </c>
    </row>
    <row r="1566" spans="1:26">
      <c r="A1566" s="1">
        <v>1564</v>
      </c>
      <c r="B1566" t="str">
        <f>HYPERLINK("https://bugs.eclipse.org/bugs/show_bug.cgi?id=50139", "50139")</f>
        <v>50139</v>
      </c>
      <c r="C1566" t="s">
        <v>149</v>
      </c>
      <c r="D1566" t="s">
        <v>10</v>
      </c>
      <c r="E1566" t="s">
        <v>12</v>
      </c>
      <c r="F1566" t="s">
        <v>26</v>
      </c>
      <c r="L1566" t="s">
        <v>7162</v>
      </c>
      <c r="N1566" t="s">
        <v>7162</v>
      </c>
      <c r="T1566" t="s">
        <v>7163</v>
      </c>
      <c r="U1566" t="s">
        <v>7164</v>
      </c>
      <c r="V1566" t="s">
        <v>7162</v>
      </c>
      <c r="W1566" t="s">
        <v>86</v>
      </c>
      <c r="X1566" t="s">
        <v>7165</v>
      </c>
      <c r="Y1566">
        <v>3</v>
      </c>
      <c r="Z1566">
        <v>811.95833333333337</v>
      </c>
    </row>
    <row r="1567" spans="1:26">
      <c r="A1567" s="1">
        <v>1565</v>
      </c>
      <c r="B1567" t="str">
        <f>HYPERLINK("https://bugs.eclipse.org/bugs/show_bug.cgi?id=50158", "50158")</f>
        <v>50158</v>
      </c>
      <c r="C1567" t="s">
        <v>140</v>
      </c>
      <c r="D1567" t="s">
        <v>10</v>
      </c>
      <c r="E1567" t="s">
        <v>16</v>
      </c>
      <c r="F1567" t="s">
        <v>26</v>
      </c>
      <c r="G1567" t="s">
        <v>7166</v>
      </c>
      <c r="L1567" t="s">
        <v>7167</v>
      </c>
      <c r="R1567" t="s">
        <v>7167</v>
      </c>
      <c r="T1567" t="s">
        <v>7168</v>
      </c>
      <c r="U1567" t="s">
        <v>7169</v>
      </c>
      <c r="V1567" t="s">
        <v>7167</v>
      </c>
      <c r="W1567" t="s">
        <v>143</v>
      </c>
      <c r="X1567" t="s">
        <v>7170</v>
      </c>
      <c r="Y1567">
        <v>0</v>
      </c>
      <c r="Z1567">
        <v>5594.958333333333</v>
      </c>
    </row>
    <row r="1568" spans="1:26">
      <c r="A1568" s="1">
        <v>1566</v>
      </c>
      <c r="B1568" t="str">
        <f>HYPERLINK("https://bugs.eclipse.org/bugs/show_bug.cgi?id=50308", "50308")</f>
        <v>50308</v>
      </c>
      <c r="C1568" t="s">
        <v>56</v>
      </c>
      <c r="D1568" t="s">
        <v>10</v>
      </c>
      <c r="E1568" t="s">
        <v>14</v>
      </c>
      <c r="F1568" t="s">
        <v>460</v>
      </c>
      <c r="L1568" t="s">
        <v>7171</v>
      </c>
      <c r="P1568" t="s">
        <v>7172</v>
      </c>
      <c r="T1568" t="s">
        <v>7173</v>
      </c>
      <c r="U1568" t="s">
        <v>7174</v>
      </c>
      <c r="V1568" t="s">
        <v>7172</v>
      </c>
      <c r="W1568" t="s">
        <v>75</v>
      </c>
      <c r="X1568" t="s">
        <v>7175</v>
      </c>
      <c r="Y1568">
        <v>2</v>
      </c>
      <c r="Z1568">
        <v>2048.958333333333</v>
      </c>
    </row>
    <row r="1569" spans="1:26">
      <c r="A1569" s="1">
        <v>1567</v>
      </c>
      <c r="B1569" t="str">
        <f>HYPERLINK("https://bugs.eclipse.org/bugs/show_bug.cgi?id=50332", "50332")</f>
        <v>50332</v>
      </c>
      <c r="C1569" t="s">
        <v>140</v>
      </c>
      <c r="D1569" t="s">
        <v>10</v>
      </c>
      <c r="E1569" t="s">
        <v>16</v>
      </c>
      <c r="F1569" t="s">
        <v>26</v>
      </c>
      <c r="L1569" t="s">
        <v>7176</v>
      </c>
      <c r="R1569" t="s">
        <v>7176</v>
      </c>
      <c r="S1569" t="s">
        <v>7177</v>
      </c>
      <c r="T1569" t="s">
        <v>7178</v>
      </c>
      <c r="U1569" t="s">
        <v>7179</v>
      </c>
      <c r="V1569" t="s">
        <v>7176</v>
      </c>
      <c r="W1569" t="s">
        <v>49</v>
      </c>
      <c r="X1569" t="s">
        <v>7180</v>
      </c>
      <c r="Y1569">
        <v>1</v>
      </c>
      <c r="Z1569">
        <v>58</v>
      </c>
    </row>
    <row r="1570" spans="1:26">
      <c r="A1570" s="1">
        <v>1568</v>
      </c>
      <c r="B1570" t="str">
        <f>HYPERLINK("https://bugs.eclipse.org/bugs/show_bug.cgi?id=50502", "50502")</f>
        <v>50502</v>
      </c>
      <c r="C1570" t="s">
        <v>149</v>
      </c>
      <c r="D1570" t="s">
        <v>10</v>
      </c>
      <c r="E1570" t="s">
        <v>12</v>
      </c>
      <c r="F1570" t="s">
        <v>150</v>
      </c>
      <c r="G1570" t="s">
        <v>7181</v>
      </c>
      <c r="L1570" t="s">
        <v>7182</v>
      </c>
      <c r="N1570" t="s">
        <v>7182</v>
      </c>
      <c r="T1570" t="s">
        <v>7183</v>
      </c>
      <c r="U1570" t="s">
        <v>7184</v>
      </c>
      <c r="V1570" t="s">
        <v>7185</v>
      </c>
      <c r="W1570" t="s">
        <v>851</v>
      </c>
      <c r="X1570" t="s">
        <v>7186</v>
      </c>
      <c r="Y1570">
        <v>0</v>
      </c>
      <c r="Z1570">
        <v>52</v>
      </c>
    </row>
    <row r="1571" spans="1:26">
      <c r="A1571" s="1">
        <v>1569</v>
      </c>
      <c r="B1571" t="str">
        <f>HYPERLINK("https://bugs.eclipse.org/bugs/show_bug.cgi?id=50607", "50607")</f>
        <v>50607</v>
      </c>
      <c r="C1571" t="s">
        <v>35</v>
      </c>
      <c r="D1571" t="s">
        <v>11</v>
      </c>
      <c r="E1571" t="s">
        <v>12</v>
      </c>
      <c r="F1571" t="s">
        <v>26</v>
      </c>
      <c r="G1571" t="s">
        <v>7187</v>
      </c>
      <c r="L1571" t="s">
        <v>7188</v>
      </c>
      <c r="M1571" t="s">
        <v>7189</v>
      </c>
      <c r="N1571" t="s">
        <v>7188</v>
      </c>
      <c r="T1571" t="s">
        <v>7190</v>
      </c>
      <c r="U1571" t="s">
        <v>7191</v>
      </c>
      <c r="V1571" t="s">
        <v>7189</v>
      </c>
      <c r="W1571" t="s">
        <v>851</v>
      </c>
      <c r="X1571" t="s">
        <v>7192</v>
      </c>
      <c r="Y1571">
        <v>0</v>
      </c>
      <c r="Z1571">
        <v>2016.958333333333</v>
      </c>
    </row>
    <row r="1572" spans="1:26">
      <c r="A1572" s="1">
        <v>1570</v>
      </c>
      <c r="B1572" t="str">
        <f>HYPERLINK("https://bugs.eclipse.org/bugs/show_bug.cgi?id=50630", "50630")</f>
        <v>50630</v>
      </c>
      <c r="C1572" t="s">
        <v>149</v>
      </c>
      <c r="D1572" t="s">
        <v>10</v>
      </c>
      <c r="E1572" t="s">
        <v>12</v>
      </c>
      <c r="F1572" t="s">
        <v>26</v>
      </c>
      <c r="L1572" t="s">
        <v>7193</v>
      </c>
      <c r="N1572" t="s">
        <v>7193</v>
      </c>
      <c r="T1572" t="s">
        <v>7194</v>
      </c>
      <c r="U1572" t="s">
        <v>7195</v>
      </c>
      <c r="V1572" t="s">
        <v>7193</v>
      </c>
      <c r="W1572" t="s">
        <v>86</v>
      </c>
      <c r="X1572" t="s">
        <v>7196</v>
      </c>
      <c r="Y1572">
        <v>0</v>
      </c>
      <c r="Z1572">
        <v>9</v>
      </c>
    </row>
    <row r="1573" spans="1:26">
      <c r="A1573" s="1">
        <v>1571</v>
      </c>
      <c r="B1573" t="str">
        <f>HYPERLINK("https://bugs.eclipse.org/bugs/show_bug.cgi?id=50658", "50658")</f>
        <v>50658</v>
      </c>
      <c r="C1573" t="s">
        <v>149</v>
      </c>
      <c r="D1573" t="s">
        <v>10</v>
      </c>
      <c r="E1573" t="s">
        <v>12</v>
      </c>
      <c r="F1573" t="s">
        <v>26</v>
      </c>
      <c r="L1573" t="s">
        <v>7197</v>
      </c>
      <c r="N1573" t="s">
        <v>7197</v>
      </c>
      <c r="T1573" t="s">
        <v>7198</v>
      </c>
      <c r="U1573" t="s">
        <v>7197</v>
      </c>
      <c r="V1573" t="s">
        <v>7197</v>
      </c>
      <c r="W1573" t="s">
        <v>86</v>
      </c>
      <c r="X1573" t="s">
        <v>7199</v>
      </c>
      <c r="Y1573">
        <v>17</v>
      </c>
      <c r="Z1573">
        <v>17</v>
      </c>
    </row>
    <row r="1574" spans="1:26">
      <c r="A1574" s="1">
        <v>1572</v>
      </c>
      <c r="B1574" t="str">
        <f>HYPERLINK("https://bugs.eclipse.org/bugs/show_bug.cgi?id=50676", "50676")</f>
        <v>50676</v>
      </c>
      <c r="C1574" t="s">
        <v>149</v>
      </c>
      <c r="D1574" t="s">
        <v>10</v>
      </c>
      <c r="E1574" t="s">
        <v>12</v>
      </c>
      <c r="F1574" t="s">
        <v>26</v>
      </c>
      <c r="L1574" t="s">
        <v>7200</v>
      </c>
      <c r="N1574" t="s">
        <v>7200</v>
      </c>
      <c r="T1574" t="s">
        <v>7201</v>
      </c>
      <c r="U1574" t="s">
        <v>7202</v>
      </c>
      <c r="V1574" t="s">
        <v>7200</v>
      </c>
      <c r="W1574" t="s">
        <v>86</v>
      </c>
      <c r="X1574" t="s">
        <v>7203</v>
      </c>
      <c r="Y1574">
        <v>0</v>
      </c>
      <c r="Z1574">
        <v>16</v>
      </c>
    </row>
    <row r="1575" spans="1:26">
      <c r="A1575" s="1">
        <v>1573</v>
      </c>
      <c r="B1575" t="str">
        <f>HYPERLINK("https://bugs.eclipse.org/bugs/show_bug.cgi?id=50749", "50749")</f>
        <v>50749</v>
      </c>
      <c r="C1575" t="s">
        <v>56</v>
      </c>
      <c r="D1575" t="s">
        <v>10</v>
      </c>
      <c r="E1575" t="s">
        <v>14</v>
      </c>
      <c r="F1575" t="s">
        <v>26</v>
      </c>
      <c r="G1575" t="s">
        <v>7204</v>
      </c>
      <c r="L1575" t="s">
        <v>7205</v>
      </c>
      <c r="P1575" t="s">
        <v>7206</v>
      </c>
      <c r="T1575" t="s">
        <v>7207</v>
      </c>
      <c r="U1575" t="s">
        <v>7205</v>
      </c>
      <c r="V1575" t="s">
        <v>7208</v>
      </c>
      <c r="W1575" t="s">
        <v>851</v>
      </c>
      <c r="X1575" t="s">
        <v>7209</v>
      </c>
      <c r="Y1575">
        <v>0</v>
      </c>
      <c r="Z1575">
        <v>3084.958333333333</v>
      </c>
    </row>
    <row r="1576" spans="1:26">
      <c r="A1576" s="1">
        <v>1574</v>
      </c>
      <c r="B1576" t="str">
        <f>HYPERLINK("https://bugs.eclipse.org/bugs/show_bug.cgi?id=50832", "50832")</f>
        <v>50832</v>
      </c>
      <c r="C1576" t="s">
        <v>149</v>
      </c>
      <c r="D1576" t="s">
        <v>10</v>
      </c>
      <c r="E1576" t="s">
        <v>12</v>
      </c>
      <c r="F1576" t="s">
        <v>26</v>
      </c>
      <c r="G1576" t="s">
        <v>7210</v>
      </c>
      <c r="L1576" t="s">
        <v>7211</v>
      </c>
      <c r="N1576" t="s">
        <v>7211</v>
      </c>
      <c r="T1576" t="s">
        <v>7212</v>
      </c>
      <c r="U1576" t="s">
        <v>7213</v>
      </c>
      <c r="V1576" t="s">
        <v>7211</v>
      </c>
      <c r="W1576" t="s">
        <v>851</v>
      </c>
      <c r="X1576" t="s">
        <v>7214</v>
      </c>
      <c r="Y1576">
        <v>0</v>
      </c>
      <c r="Z1576">
        <v>903.95833333333337</v>
      </c>
    </row>
    <row r="1577" spans="1:26">
      <c r="A1577" s="1">
        <v>1575</v>
      </c>
      <c r="B1577" t="str">
        <f>HYPERLINK("https://bugs.eclipse.org/bugs/show_bug.cgi?id=50851", "50851")</f>
        <v>50851</v>
      </c>
      <c r="C1577" t="s">
        <v>191</v>
      </c>
      <c r="D1577" t="s">
        <v>192</v>
      </c>
      <c r="E1577" t="s">
        <v>14</v>
      </c>
      <c r="F1577" t="s">
        <v>26</v>
      </c>
      <c r="P1577" t="s">
        <v>7215</v>
      </c>
      <c r="T1577" t="s">
        <v>7216</v>
      </c>
      <c r="U1577" t="s">
        <v>7217</v>
      </c>
      <c r="V1577" t="s">
        <v>7215</v>
      </c>
      <c r="W1577" t="s">
        <v>65</v>
      </c>
      <c r="X1577" t="s">
        <v>7218</v>
      </c>
      <c r="Y1577">
        <v>1</v>
      </c>
      <c r="Z1577">
        <v>5886.958333333333</v>
      </c>
    </row>
    <row r="1578" spans="1:26">
      <c r="A1578" s="1">
        <v>1576</v>
      </c>
      <c r="B1578" t="str">
        <f>HYPERLINK("https://bugs.eclipse.org/bugs/show_bug.cgi?id=50904", "50904")</f>
        <v>50904</v>
      </c>
      <c r="C1578" t="s">
        <v>149</v>
      </c>
      <c r="D1578" t="s">
        <v>10</v>
      </c>
      <c r="E1578" t="s">
        <v>12</v>
      </c>
      <c r="F1578" t="s">
        <v>26</v>
      </c>
      <c r="L1578" t="s">
        <v>7219</v>
      </c>
      <c r="N1578" t="s">
        <v>7219</v>
      </c>
      <c r="T1578" t="s">
        <v>7220</v>
      </c>
      <c r="U1578" t="s">
        <v>7221</v>
      </c>
      <c r="V1578" t="s">
        <v>7219</v>
      </c>
      <c r="W1578" t="s">
        <v>851</v>
      </c>
      <c r="X1578" t="s">
        <v>7222</v>
      </c>
      <c r="Y1578">
        <v>11</v>
      </c>
      <c r="Z1578">
        <v>103.9583333333333</v>
      </c>
    </row>
    <row r="1579" spans="1:26">
      <c r="A1579" s="1">
        <v>1577</v>
      </c>
      <c r="B1579" t="str">
        <f>HYPERLINK("https://bugs.eclipse.org/bugs/show_bug.cgi?id=50935", "50935")</f>
        <v>50935</v>
      </c>
      <c r="C1579" t="s">
        <v>149</v>
      </c>
      <c r="D1579" t="s">
        <v>10</v>
      </c>
      <c r="E1579" t="s">
        <v>12</v>
      </c>
      <c r="F1579" t="s">
        <v>26</v>
      </c>
      <c r="L1579" t="s">
        <v>7223</v>
      </c>
      <c r="N1579" t="s">
        <v>7223</v>
      </c>
      <c r="T1579" t="s">
        <v>7224</v>
      </c>
      <c r="U1579" t="s">
        <v>7225</v>
      </c>
      <c r="V1579" t="s">
        <v>7223</v>
      </c>
      <c r="W1579" t="s">
        <v>851</v>
      </c>
      <c r="X1579" t="s">
        <v>7226</v>
      </c>
      <c r="Y1579">
        <v>4</v>
      </c>
      <c r="Z1579">
        <v>103.9583333333333</v>
      </c>
    </row>
    <row r="1580" spans="1:26">
      <c r="A1580" s="1">
        <v>1578</v>
      </c>
      <c r="B1580" t="str">
        <f>HYPERLINK("https://bugs.eclipse.org/bugs/show_bug.cgi?id=50971", "50971")</f>
        <v>50971</v>
      </c>
      <c r="C1580" t="s">
        <v>149</v>
      </c>
      <c r="D1580" t="s">
        <v>10</v>
      </c>
      <c r="E1580" t="s">
        <v>12</v>
      </c>
      <c r="F1580" t="s">
        <v>26</v>
      </c>
      <c r="L1580" t="s">
        <v>7227</v>
      </c>
      <c r="N1580" t="s">
        <v>7227</v>
      </c>
      <c r="T1580" t="s">
        <v>7228</v>
      </c>
      <c r="U1580" t="s">
        <v>7227</v>
      </c>
      <c r="V1580" t="s">
        <v>7227</v>
      </c>
      <c r="W1580" t="s">
        <v>851</v>
      </c>
      <c r="X1580" t="s">
        <v>7229</v>
      </c>
      <c r="Y1580">
        <v>24</v>
      </c>
      <c r="Z1580">
        <v>24</v>
      </c>
    </row>
    <row r="1581" spans="1:26">
      <c r="A1581" s="1">
        <v>1579</v>
      </c>
      <c r="B1581" t="str">
        <f>HYPERLINK("https://bugs.eclipse.org/bugs/show_bug.cgi?id=50985", "50985")</f>
        <v>50985</v>
      </c>
      <c r="C1581" t="s">
        <v>7230</v>
      </c>
      <c r="D1581" t="s">
        <v>10</v>
      </c>
      <c r="E1581" t="s">
        <v>15</v>
      </c>
      <c r="F1581" t="s">
        <v>26</v>
      </c>
      <c r="L1581" t="s">
        <v>5928</v>
      </c>
      <c r="Q1581" t="s">
        <v>5928</v>
      </c>
      <c r="T1581" t="s">
        <v>7231</v>
      </c>
      <c r="U1581" t="s">
        <v>7232</v>
      </c>
      <c r="V1581" t="s">
        <v>5928</v>
      </c>
      <c r="W1581" t="s">
        <v>851</v>
      </c>
      <c r="X1581" t="s">
        <v>7233</v>
      </c>
      <c r="Y1581">
        <v>6</v>
      </c>
      <c r="Z1581">
        <v>159.95833333333329</v>
      </c>
    </row>
    <row r="1582" spans="1:26">
      <c r="A1582" s="1">
        <v>1580</v>
      </c>
      <c r="B1582" t="str">
        <f>HYPERLINK("https://bugs.eclipse.org/bugs/show_bug.cgi?id=50988", "50988")</f>
        <v>50988</v>
      </c>
      <c r="C1582" t="s">
        <v>35</v>
      </c>
      <c r="D1582" t="s">
        <v>11</v>
      </c>
      <c r="E1582" t="s">
        <v>12</v>
      </c>
      <c r="F1582" t="s">
        <v>26</v>
      </c>
      <c r="L1582" t="s">
        <v>7234</v>
      </c>
      <c r="M1582" t="s">
        <v>7235</v>
      </c>
      <c r="N1582" t="s">
        <v>7234</v>
      </c>
      <c r="T1582" t="s">
        <v>7236</v>
      </c>
      <c r="U1582" t="s">
        <v>7237</v>
      </c>
      <c r="V1582" t="s">
        <v>7235</v>
      </c>
      <c r="W1582" t="s">
        <v>851</v>
      </c>
      <c r="X1582" t="s">
        <v>7238</v>
      </c>
      <c r="Y1582">
        <v>0</v>
      </c>
      <c r="Z1582">
        <v>13</v>
      </c>
    </row>
    <row r="1583" spans="1:26">
      <c r="A1583" s="1">
        <v>1581</v>
      </c>
      <c r="B1583" t="str">
        <f>HYPERLINK("https://bugs.eclipse.org/bugs/show_bug.cgi?id=51004", "51004")</f>
        <v>51004</v>
      </c>
      <c r="C1583" t="s">
        <v>140</v>
      </c>
      <c r="D1583" t="s">
        <v>10</v>
      </c>
      <c r="E1583" t="s">
        <v>16</v>
      </c>
      <c r="F1583" t="s">
        <v>26</v>
      </c>
      <c r="L1583" t="s">
        <v>7239</v>
      </c>
      <c r="R1583" t="s">
        <v>7239</v>
      </c>
      <c r="T1583" t="s">
        <v>7240</v>
      </c>
      <c r="U1583" t="s">
        <v>7239</v>
      </c>
      <c r="V1583" t="s">
        <v>7239</v>
      </c>
      <c r="W1583" t="s">
        <v>49</v>
      </c>
      <c r="X1583" t="s">
        <v>7241</v>
      </c>
      <c r="Y1583">
        <v>6</v>
      </c>
      <c r="Z1583">
        <v>6</v>
      </c>
    </row>
    <row r="1584" spans="1:26">
      <c r="A1584" s="1">
        <v>1582</v>
      </c>
      <c r="B1584" t="str">
        <f>HYPERLINK("https://bugs.eclipse.org/bugs/show_bug.cgi?id=51023", "51023")</f>
        <v>51023</v>
      </c>
      <c r="C1584" t="s">
        <v>7230</v>
      </c>
      <c r="D1584" t="s">
        <v>10</v>
      </c>
      <c r="E1584" t="s">
        <v>15</v>
      </c>
      <c r="F1584" t="s">
        <v>26</v>
      </c>
      <c r="L1584" t="s">
        <v>7242</v>
      </c>
      <c r="Q1584" t="s">
        <v>7242</v>
      </c>
      <c r="T1584" t="s">
        <v>7243</v>
      </c>
      <c r="U1584" t="s">
        <v>7244</v>
      </c>
      <c r="V1584" t="s">
        <v>7242</v>
      </c>
      <c r="W1584" t="s">
        <v>851</v>
      </c>
      <c r="X1584" t="s">
        <v>7245</v>
      </c>
      <c r="Y1584">
        <v>0</v>
      </c>
      <c r="Z1584">
        <v>157.95833333333329</v>
      </c>
    </row>
    <row r="1585" spans="1:26">
      <c r="A1585" s="1">
        <v>1583</v>
      </c>
      <c r="B1585" t="str">
        <f>HYPERLINK("https://bugs.eclipse.org/bugs/show_bug.cgi?id=51027", "51027")</f>
        <v>51027</v>
      </c>
      <c r="C1585" t="s">
        <v>56</v>
      </c>
      <c r="D1585" t="s">
        <v>10</v>
      </c>
      <c r="E1585" t="s">
        <v>14</v>
      </c>
      <c r="F1585" t="s">
        <v>51</v>
      </c>
      <c r="L1585" t="s">
        <v>7246</v>
      </c>
      <c r="P1585" t="s">
        <v>7247</v>
      </c>
      <c r="T1585" t="s">
        <v>7248</v>
      </c>
      <c r="U1585" t="s">
        <v>7249</v>
      </c>
      <c r="V1585" t="s">
        <v>7247</v>
      </c>
      <c r="W1585" t="s">
        <v>80</v>
      </c>
      <c r="X1585" t="s">
        <v>7250</v>
      </c>
      <c r="Y1585">
        <v>1</v>
      </c>
      <c r="Z1585">
        <v>2036.958333333333</v>
      </c>
    </row>
    <row r="1586" spans="1:26">
      <c r="A1586" s="1">
        <v>1584</v>
      </c>
      <c r="B1586" t="str">
        <f>HYPERLINK("https://bugs.eclipse.org/bugs/show_bug.cgi?id=51039", "51039")</f>
        <v>51039</v>
      </c>
      <c r="C1586" t="s">
        <v>149</v>
      </c>
      <c r="D1586" t="s">
        <v>10</v>
      </c>
      <c r="E1586" t="s">
        <v>12</v>
      </c>
      <c r="F1586" t="s">
        <v>26</v>
      </c>
      <c r="L1586" t="s">
        <v>7251</v>
      </c>
      <c r="N1586" t="s">
        <v>7251</v>
      </c>
      <c r="T1586" t="s">
        <v>7252</v>
      </c>
      <c r="U1586" t="s">
        <v>7253</v>
      </c>
      <c r="V1586" t="s">
        <v>7251</v>
      </c>
      <c r="W1586" t="s">
        <v>86</v>
      </c>
      <c r="X1586" t="s">
        <v>7254</v>
      </c>
      <c r="Y1586">
        <v>0</v>
      </c>
      <c r="Z1586">
        <v>12</v>
      </c>
    </row>
    <row r="1587" spans="1:26">
      <c r="A1587" s="1">
        <v>1585</v>
      </c>
      <c r="B1587" t="str">
        <f>HYPERLINK("https://bugs.eclipse.org/bugs/show_bug.cgi?id=51046", "51046")</f>
        <v>51046</v>
      </c>
      <c r="C1587" t="s">
        <v>56</v>
      </c>
      <c r="D1587" t="s">
        <v>10</v>
      </c>
      <c r="E1587" t="s">
        <v>14</v>
      </c>
      <c r="F1587" t="s">
        <v>26</v>
      </c>
      <c r="G1587" t="s">
        <v>7255</v>
      </c>
      <c r="L1587" t="s">
        <v>7256</v>
      </c>
      <c r="P1587" t="s">
        <v>7257</v>
      </c>
      <c r="T1587" t="s">
        <v>7258</v>
      </c>
      <c r="U1587" t="s">
        <v>7259</v>
      </c>
      <c r="V1587" t="s">
        <v>7257</v>
      </c>
      <c r="W1587" t="s">
        <v>75</v>
      </c>
      <c r="X1587" t="s">
        <v>7260</v>
      </c>
      <c r="Y1587">
        <v>0</v>
      </c>
      <c r="Z1587">
        <v>2035.958333333333</v>
      </c>
    </row>
    <row r="1588" spans="1:26">
      <c r="A1588" s="1">
        <v>1586</v>
      </c>
      <c r="B1588" t="str">
        <f>HYPERLINK("https://bugs.eclipse.org/bugs/show_bug.cgi?id=51053", "51053")</f>
        <v>51053</v>
      </c>
      <c r="C1588" t="s">
        <v>149</v>
      </c>
      <c r="D1588" t="s">
        <v>10</v>
      </c>
      <c r="E1588" t="s">
        <v>12</v>
      </c>
      <c r="F1588" t="s">
        <v>26</v>
      </c>
      <c r="L1588" t="s">
        <v>7261</v>
      </c>
      <c r="N1588" t="s">
        <v>7261</v>
      </c>
      <c r="T1588" t="s">
        <v>7262</v>
      </c>
      <c r="U1588" t="s">
        <v>7263</v>
      </c>
      <c r="V1588" t="s">
        <v>7261</v>
      </c>
      <c r="W1588" t="s">
        <v>86</v>
      </c>
      <c r="X1588" t="s">
        <v>7264</v>
      </c>
      <c r="Y1588">
        <v>3</v>
      </c>
      <c r="Z1588">
        <v>11</v>
      </c>
    </row>
    <row r="1589" spans="1:26">
      <c r="A1589" s="1">
        <v>1587</v>
      </c>
      <c r="B1589" t="str">
        <f>HYPERLINK("https://bugs.eclipse.org/bugs/show_bug.cgi?id=51109", "51109")</f>
        <v>51109</v>
      </c>
      <c r="C1589" t="s">
        <v>56</v>
      </c>
      <c r="D1589" t="s">
        <v>10</v>
      </c>
      <c r="E1589" t="s">
        <v>14</v>
      </c>
      <c r="F1589" t="s">
        <v>26</v>
      </c>
      <c r="L1589" t="s">
        <v>7265</v>
      </c>
      <c r="P1589" t="s">
        <v>7266</v>
      </c>
      <c r="T1589" t="s">
        <v>7267</v>
      </c>
      <c r="U1589" t="s">
        <v>7265</v>
      </c>
      <c r="V1589" t="s">
        <v>7266</v>
      </c>
      <c r="W1589" t="s">
        <v>75</v>
      </c>
      <c r="X1589" t="s">
        <v>7268</v>
      </c>
      <c r="Y1589">
        <v>2</v>
      </c>
      <c r="Z1589">
        <v>2034.958333333333</v>
      </c>
    </row>
    <row r="1590" spans="1:26">
      <c r="A1590" s="1">
        <v>1588</v>
      </c>
      <c r="B1590" t="str">
        <f>HYPERLINK("https://bugs.eclipse.org/bugs/show_bug.cgi?id=51111", "51111")</f>
        <v>51111</v>
      </c>
      <c r="C1590" t="s">
        <v>140</v>
      </c>
      <c r="D1590" t="s">
        <v>10</v>
      </c>
      <c r="E1590" t="s">
        <v>16</v>
      </c>
      <c r="F1590" t="s">
        <v>26</v>
      </c>
      <c r="L1590" t="s">
        <v>7269</v>
      </c>
      <c r="R1590" t="s">
        <v>7269</v>
      </c>
      <c r="T1590" t="s">
        <v>7270</v>
      </c>
      <c r="U1590" t="s">
        <v>7271</v>
      </c>
      <c r="V1590" t="s">
        <v>7269</v>
      </c>
      <c r="W1590" t="s">
        <v>86</v>
      </c>
      <c r="X1590" t="s">
        <v>7272</v>
      </c>
      <c r="Y1590">
        <v>2</v>
      </c>
      <c r="Z1590">
        <v>791.95833333333337</v>
      </c>
    </row>
    <row r="1591" spans="1:26">
      <c r="A1591" s="1">
        <v>1589</v>
      </c>
      <c r="B1591" t="str">
        <f>HYPERLINK("https://bugs.eclipse.org/bugs/show_bug.cgi?id=51133", "51133")</f>
        <v>51133</v>
      </c>
      <c r="C1591" t="s">
        <v>140</v>
      </c>
      <c r="D1591" t="s">
        <v>10</v>
      </c>
      <c r="E1591" t="s">
        <v>16</v>
      </c>
      <c r="F1591" t="s">
        <v>26</v>
      </c>
      <c r="L1591" t="s">
        <v>7273</v>
      </c>
      <c r="R1591" t="s">
        <v>7273</v>
      </c>
      <c r="T1591" t="s">
        <v>7274</v>
      </c>
      <c r="U1591" t="s">
        <v>7275</v>
      </c>
      <c r="V1591" t="s">
        <v>7276</v>
      </c>
      <c r="W1591" t="s">
        <v>7277</v>
      </c>
      <c r="X1591" t="s">
        <v>7278</v>
      </c>
      <c r="Y1591">
        <v>2</v>
      </c>
      <c r="Z1591">
        <v>5120</v>
      </c>
    </row>
    <row r="1592" spans="1:26">
      <c r="A1592" s="1">
        <v>1590</v>
      </c>
      <c r="B1592" t="str">
        <f>HYPERLINK("https://bugs.eclipse.org/bugs/show_bug.cgi?id=51160", "51160")</f>
        <v>51160</v>
      </c>
      <c r="C1592" t="s">
        <v>35</v>
      </c>
      <c r="D1592" t="s">
        <v>11</v>
      </c>
      <c r="E1592" t="s">
        <v>12</v>
      </c>
      <c r="F1592" t="s">
        <v>26</v>
      </c>
      <c r="L1592" t="s">
        <v>7279</v>
      </c>
      <c r="M1592" t="s">
        <v>7280</v>
      </c>
      <c r="N1592" t="s">
        <v>7279</v>
      </c>
      <c r="T1592" t="s">
        <v>7281</v>
      </c>
      <c r="U1592" t="s">
        <v>7282</v>
      </c>
      <c r="V1592" t="s">
        <v>7280</v>
      </c>
      <c r="W1592" t="s">
        <v>6330</v>
      </c>
      <c r="X1592" t="s">
        <v>7283</v>
      </c>
      <c r="Y1592">
        <v>0</v>
      </c>
      <c r="Z1592">
        <v>7</v>
      </c>
    </row>
    <row r="1593" spans="1:26">
      <c r="A1593" s="1">
        <v>1591</v>
      </c>
      <c r="B1593" t="str">
        <f>HYPERLINK("https://bugs.eclipse.org/bugs/show_bug.cgi?id=51259", "51259")</f>
        <v>51259</v>
      </c>
      <c r="C1593" t="s">
        <v>140</v>
      </c>
      <c r="D1593" t="s">
        <v>10</v>
      </c>
      <c r="E1593" t="s">
        <v>16</v>
      </c>
      <c r="F1593" t="s">
        <v>26</v>
      </c>
      <c r="L1593" t="s">
        <v>7284</v>
      </c>
      <c r="R1593" t="s">
        <v>7284</v>
      </c>
      <c r="T1593" t="s">
        <v>7285</v>
      </c>
      <c r="U1593" t="s">
        <v>7286</v>
      </c>
      <c r="V1593" t="s">
        <v>7284</v>
      </c>
      <c r="W1593" t="s">
        <v>86</v>
      </c>
      <c r="X1593" t="s">
        <v>7287</v>
      </c>
      <c r="Y1593">
        <v>4</v>
      </c>
      <c r="Z1593">
        <v>4</v>
      </c>
    </row>
    <row r="1594" spans="1:26">
      <c r="A1594" s="1">
        <v>1592</v>
      </c>
      <c r="B1594" t="str">
        <f>HYPERLINK("https://bugs.eclipse.org/bugs/show_bug.cgi?id=51286", "51286")</f>
        <v>51286</v>
      </c>
      <c r="C1594" t="s">
        <v>5739</v>
      </c>
      <c r="D1594" t="s">
        <v>10</v>
      </c>
      <c r="E1594" t="s">
        <v>15</v>
      </c>
      <c r="F1594" t="s">
        <v>26</v>
      </c>
      <c r="L1594" t="s">
        <v>7288</v>
      </c>
      <c r="Q1594" t="s">
        <v>7288</v>
      </c>
      <c r="T1594" t="s">
        <v>7289</v>
      </c>
      <c r="U1594" t="s">
        <v>7290</v>
      </c>
      <c r="V1594" t="s">
        <v>7288</v>
      </c>
      <c r="W1594" t="s">
        <v>60</v>
      </c>
      <c r="X1594" t="s">
        <v>7291</v>
      </c>
      <c r="Y1594">
        <v>0</v>
      </c>
      <c r="Z1594">
        <v>0</v>
      </c>
    </row>
    <row r="1595" spans="1:26">
      <c r="A1595" s="1">
        <v>1593</v>
      </c>
      <c r="B1595" t="str">
        <f>HYPERLINK("https://bugs.eclipse.org/bugs/show_bug.cgi?id=51292", "51292")</f>
        <v>51292</v>
      </c>
      <c r="C1595" t="s">
        <v>56</v>
      </c>
      <c r="D1595" t="s">
        <v>10</v>
      </c>
      <c r="E1595" t="s">
        <v>14</v>
      </c>
      <c r="F1595" t="s">
        <v>26</v>
      </c>
      <c r="G1595" t="s">
        <v>7292</v>
      </c>
      <c r="L1595" t="s">
        <v>7293</v>
      </c>
      <c r="P1595" t="s">
        <v>7294</v>
      </c>
      <c r="T1595" t="s">
        <v>7295</v>
      </c>
      <c r="U1595" t="s">
        <v>7296</v>
      </c>
      <c r="V1595" t="s">
        <v>7294</v>
      </c>
      <c r="W1595" t="s">
        <v>75</v>
      </c>
      <c r="X1595" t="s">
        <v>7297</v>
      </c>
      <c r="Y1595">
        <v>0</v>
      </c>
      <c r="Z1595">
        <v>2031.958333333333</v>
      </c>
    </row>
    <row r="1596" spans="1:26">
      <c r="A1596" s="1">
        <v>1594</v>
      </c>
      <c r="B1596" t="str">
        <f>HYPERLINK("https://bugs.eclipse.org/bugs/show_bug.cgi?id=51486", "51486")</f>
        <v>51486</v>
      </c>
      <c r="C1596" t="s">
        <v>149</v>
      </c>
      <c r="D1596" t="s">
        <v>10</v>
      </c>
      <c r="E1596" t="s">
        <v>12</v>
      </c>
      <c r="F1596" t="s">
        <v>26</v>
      </c>
      <c r="L1596" t="s">
        <v>7298</v>
      </c>
      <c r="N1596" t="s">
        <v>7298</v>
      </c>
      <c r="T1596" t="s">
        <v>7299</v>
      </c>
      <c r="U1596" t="s">
        <v>7300</v>
      </c>
      <c r="V1596" t="s">
        <v>7298</v>
      </c>
      <c r="W1596" t="s">
        <v>851</v>
      </c>
      <c r="X1596" t="s">
        <v>7301</v>
      </c>
      <c r="Y1596">
        <v>1</v>
      </c>
      <c r="Z1596">
        <v>2</v>
      </c>
    </row>
    <row r="1597" spans="1:26">
      <c r="A1597" s="1">
        <v>1595</v>
      </c>
      <c r="B1597" t="str">
        <f>HYPERLINK("https://bugs.eclipse.org/bugs/show_bug.cgi?id=51511", "51511")</f>
        <v>51511</v>
      </c>
      <c r="C1597" t="s">
        <v>7302</v>
      </c>
      <c r="D1597" t="s">
        <v>10</v>
      </c>
      <c r="E1597" t="s">
        <v>15</v>
      </c>
      <c r="F1597" t="s">
        <v>26</v>
      </c>
      <c r="L1597" t="s">
        <v>7303</v>
      </c>
      <c r="Q1597" t="s">
        <v>7303</v>
      </c>
      <c r="T1597" t="s">
        <v>7304</v>
      </c>
      <c r="U1597" t="s">
        <v>7305</v>
      </c>
      <c r="V1597" t="s">
        <v>7303</v>
      </c>
      <c r="W1597" t="s">
        <v>851</v>
      </c>
      <c r="X1597" t="s">
        <v>7306</v>
      </c>
      <c r="Y1597">
        <v>0</v>
      </c>
      <c r="Z1597">
        <v>2</v>
      </c>
    </row>
    <row r="1598" spans="1:26">
      <c r="A1598" s="1">
        <v>1596</v>
      </c>
      <c r="B1598" t="str">
        <f>HYPERLINK("https://bugs.eclipse.org/bugs/show_bug.cgi?id=51531", "51531")</f>
        <v>51531</v>
      </c>
      <c r="C1598" t="s">
        <v>35</v>
      </c>
      <c r="D1598" t="s">
        <v>11</v>
      </c>
      <c r="E1598" t="s">
        <v>12</v>
      </c>
      <c r="F1598" t="s">
        <v>26</v>
      </c>
      <c r="G1598" t="s">
        <v>7307</v>
      </c>
      <c r="L1598" t="s">
        <v>7308</v>
      </c>
      <c r="M1598" t="s">
        <v>7309</v>
      </c>
      <c r="N1598" t="s">
        <v>7308</v>
      </c>
      <c r="T1598" t="s">
        <v>7310</v>
      </c>
      <c r="U1598" t="s">
        <v>7311</v>
      </c>
      <c r="V1598" t="s">
        <v>7309</v>
      </c>
      <c r="W1598" t="s">
        <v>1000</v>
      </c>
      <c r="X1598" t="s">
        <v>7312</v>
      </c>
      <c r="Y1598">
        <v>1</v>
      </c>
      <c r="Z1598">
        <v>31</v>
      </c>
    </row>
    <row r="1599" spans="1:26">
      <c r="A1599" s="1">
        <v>1597</v>
      </c>
      <c r="B1599" t="str">
        <f>HYPERLINK("https://bugs.eclipse.org/bugs/show_bug.cgi?id=51540", "51540")</f>
        <v>51540</v>
      </c>
      <c r="C1599" t="s">
        <v>149</v>
      </c>
      <c r="D1599" t="s">
        <v>10</v>
      </c>
      <c r="E1599" t="s">
        <v>12</v>
      </c>
      <c r="F1599" t="s">
        <v>51</v>
      </c>
      <c r="L1599" t="s">
        <v>7313</v>
      </c>
      <c r="N1599" t="s">
        <v>7313</v>
      </c>
      <c r="T1599" t="s">
        <v>7314</v>
      </c>
      <c r="U1599" t="s">
        <v>7315</v>
      </c>
      <c r="V1599" t="s">
        <v>7313</v>
      </c>
      <c r="W1599" t="s">
        <v>86</v>
      </c>
      <c r="X1599" t="s">
        <v>7316</v>
      </c>
      <c r="Y1599">
        <v>0</v>
      </c>
      <c r="Z1599">
        <v>41</v>
      </c>
    </row>
    <row r="1600" spans="1:26">
      <c r="A1600" s="1">
        <v>1598</v>
      </c>
      <c r="B1600" t="str">
        <f>HYPERLINK("https://bugs.eclipse.org/bugs/show_bug.cgi?id=51625", "51625")</f>
        <v>51625</v>
      </c>
      <c r="C1600" t="s">
        <v>191</v>
      </c>
      <c r="D1600" t="s">
        <v>192</v>
      </c>
      <c r="E1600" t="s">
        <v>14</v>
      </c>
      <c r="F1600" t="s">
        <v>26</v>
      </c>
      <c r="G1600" t="s">
        <v>7317</v>
      </c>
      <c r="T1600" t="s">
        <v>7318</v>
      </c>
      <c r="U1600" t="s">
        <v>7319</v>
      </c>
      <c r="V1600" t="s">
        <v>7320</v>
      </c>
      <c r="W1600" t="s">
        <v>65</v>
      </c>
      <c r="X1600" t="s">
        <v>7321</v>
      </c>
      <c r="Y1600">
        <v>0</v>
      </c>
      <c r="Z1600">
        <v>5729.958333333333</v>
      </c>
    </row>
    <row r="1601" spans="1:26">
      <c r="A1601" s="1">
        <v>1599</v>
      </c>
      <c r="B1601" t="str">
        <f>HYPERLINK("https://bugs.eclipse.org/bugs/show_bug.cgi?id=51662", "51662")</f>
        <v>51662</v>
      </c>
      <c r="C1601" t="s">
        <v>56</v>
      </c>
      <c r="D1601" t="s">
        <v>10</v>
      </c>
      <c r="E1601" t="s">
        <v>14</v>
      </c>
      <c r="F1601" t="s">
        <v>51</v>
      </c>
      <c r="L1601" t="s">
        <v>7322</v>
      </c>
      <c r="P1601" t="s">
        <v>3696</v>
      </c>
      <c r="Q1601" t="s">
        <v>7323</v>
      </c>
      <c r="S1601" t="s">
        <v>7324</v>
      </c>
      <c r="T1601" t="s">
        <v>7325</v>
      </c>
      <c r="U1601" t="s">
        <v>7326</v>
      </c>
      <c r="V1601" t="s">
        <v>3696</v>
      </c>
      <c r="W1601" t="s">
        <v>75</v>
      </c>
      <c r="X1601" t="s">
        <v>7327</v>
      </c>
      <c r="Y1601">
        <v>0</v>
      </c>
      <c r="Z1601">
        <v>2026.958333333333</v>
      </c>
    </row>
    <row r="1602" spans="1:26">
      <c r="A1602" s="1">
        <v>1600</v>
      </c>
      <c r="B1602" t="str">
        <f>HYPERLINK("https://bugs.eclipse.org/bugs/show_bug.cgi?id=51822", "51822")</f>
        <v>51822</v>
      </c>
      <c r="C1602" t="s">
        <v>88</v>
      </c>
      <c r="D1602" t="s">
        <v>10</v>
      </c>
      <c r="E1602" t="s">
        <v>13</v>
      </c>
      <c r="F1602" t="s">
        <v>51</v>
      </c>
      <c r="L1602" t="s">
        <v>7328</v>
      </c>
      <c r="O1602" t="s">
        <v>7329</v>
      </c>
      <c r="T1602" t="s">
        <v>7330</v>
      </c>
      <c r="U1602" t="s">
        <v>7331</v>
      </c>
      <c r="V1602" t="s">
        <v>7329</v>
      </c>
      <c r="W1602" t="s">
        <v>75</v>
      </c>
      <c r="X1602" t="s">
        <v>7332</v>
      </c>
      <c r="Y1602">
        <v>4</v>
      </c>
      <c r="Z1602">
        <v>2025.958333333333</v>
      </c>
    </row>
    <row r="1603" spans="1:26">
      <c r="A1603" s="1">
        <v>1601</v>
      </c>
      <c r="B1603" t="str">
        <f>HYPERLINK("https://bugs.eclipse.org/bugs/show_bug.cgi?id=51898", "51898")</f>
        <v>51898</v>
      </c>
      <c r="C1603" t="s">
        <v>56</v>
      </c>
      <c r="D1603" t="s">
        <v>10</v>
      </c>
      <c r="E1603" t="s">
        <v>14</v>
      </c>
      <c r="F1603" t="s">
        <v>26</v>
      </c>
      <c r="L1603" t="s">
        <v>7333</v>
      </c>
      <c r="P1603" t="s">
        <v>7334</v>
      </c>
      <c r="S1603" t="s">
        <v>7335</v>
      </c>
      <c r="T1603" t="s">
        <v>7336</v>
      </c>
      <c r="U1603" t="s">
        <v>7337</v>
      </c>
      <c r="V1603" t="s">
        <v>7334</v>
      </c>
      <c r="W1603" t="s">
        <v>80</v>
      </c>
      <c r="X1603" t="s">
        <v>7338</v>
      </c>
      <c r="Y1603">
        <v>1</v>
      </c>
      <c r="Z1603">
        <v>2025.958333333333</v>
      </c>
    </row>
    <row r="1604" spans="1:26">
      <c r="A1604" s="1">
        <v>1602</v>
      </c>
      <c r="B1604" t="str">
        <f>HYPERLINK("https://bugs.eclipse.org/bugs/show_bug.cgi?id=51954", "51954")</f>
        <v>51954</v>
      </c>
      <c r="C1604" t="s">
        <v>149</v>
      </c>
      <c r="D1604" t="s">
        <v>10</v>
      </c>
      <c r="E1604" t="s">
        <v>12</v>
      </c>
      <c r="F1604" t="s">
        <v>26</v>
      </c>
      <c r="L1604" t="s">
        <v>7339</v>
      </c>
      <c r="N1604" t="s">
        <v>7339</v>
      </c>
      <c r="T1604" t="s">
        <v>7340</v>
      </c>
      <c r="U1604" t="s">
        <v>7339</v>
      </c>
      <c r="V1604" t="s">
        <v>7339</v>
      </c>
      <c r="W1604" t="s">
        <v>49</v>
      </c>
      <c r="X1604" t="s">
        <v>7341</v>
      </c>
      <c r="Y1604">
        <v>7</v>
      </c>
      <c r="Z1604">
        <v>7</v>
      </c>
    </row>
    <row r="1605" spans="1:26">
      <c r="A1605" s="1">
        <v>1603</v>
      </c>
      <c r="B1605" t="str">
        <f>HYPERLINK("https://bugs.eclipse.org/bugs/show_bug.cgi?id=51958", "51958")</f>
        <v>51958</v>
      </c>
      <c r="C1605" t="s">
        <v>149</v>
      </c>
      <c r="D1605" t="s">
        <v>10</v>
      </c>
      <c r="E1605" t="s">
        <v>12</v>
      </c>
      <c r="F1605" t="s">
        <v>26</v>
      </c>
      <c r="L1605" t="s">
        <v>7342</v>
      </c>
      <c r="N1605" t="s">
        <v>7342</v>
      </c>
      <c r="T1605" t="s">
        <v>7343</v>
      </c>
      <c r="U1605" t="s">
        <v>7344</v>
      </c>
      <c r="V1605" t="s">
        <v>7342</v>
      </c>
      <c r="W1605" t="s">
        <v>851</v>
      </c>
      <c r="X1605" t="s">
        <v>7345</v>
      </c>
      <c r="Y1605">
        <v>3</v>
      </c>
      <c r="Z1605">
        <v>88.958333333333329</v>
      </c>
    </row>
    <row r="1606" spans="1:26">
      <c r="A1606" s="1">
        <v>1604</v>
      </c>
      <c r="B1606" t="str">
        <f>HYPERLINK("https://bugs.eclipse.org/bugs/show_bug.cgi?id=51964", "51964")</f>
        <v>51964</v>
      </c>
      <c r="C1606" t="s">
        <v>56</v>
      </c>
      <c r="D1606" t="s">
        <v>10</v>
      </c>
      <c r="E1606" t="s">
        <v>14</v>
      </c>
      <c r="F1606" t="s">
        <v>26</v>
      </c>
      <c r="L1606" t="s">
        <v>7346</v>
      </c>
      <c r="P1606" t="s">
        <v>7346</v>
      </c>
      <c r="T1606" t="s">
        <v>7347</v>
      </c>
      <c r="U1606" t="s">
        <v>7348</v>
      </c>
      <c r="V1606" t="s">
        <v>7346</v>
      </c>
      <c r="W1606" t="s">
        <v>86</v>
      </c>
      <c r="X1606" t="s">
        <v>7349</v>
      </c>
      <c r="Y1606">
        <v>2</v>
      </c>
      <c r="Z1606">
        <v>4</v>
      </c>
    </row>
    <row r="1607" spans="1:26">
      <c r="A1607" s="1">
        <v>1605</v>
      </c>
      <c r="B1607" t="str">
        <f>HYPERLINK("https://bugs.eclipse.org/bugs/show_bug.cgi?id=52058", "52058")</f>
        <v>52058</v>
      </c>
      <c r="C1607" t="s">
        <v>149</v>
      </c>
      <c r="D1607" t="s">
        <v>10</v>
      </c>
      <c r="E1607" t="s">
        <v>12</v>
      </c>
      <c r="F1607" t="s">
        <v>26</v>
      </c>
      <c r="L1607" t="s">
        <v>7350</v>
      </c>
      <c r="N1607" t="s">
        <v>7350</v>
      </c>
      <c r="T1607" t="s">
        <v>7351</v>
      </c>
      <c r="U1607" t="s">
        <v>7350</v>
      </c>
      <c r="V1607" t="s">
        <v>7350</v>
      </c>
      <c r="W1607" t="s">
        <v>851</v>
      </c>
      <c r="X1607" t="s">
        <v>7352</v>
      </c>
      <c r="Y1607">
        <v>2</v>
      </c>
      <c r="Z1607">
        <v>2</v>
      </c>
    </row>
    <row r="1608" spans="1:26">
      <c r="A1608" s="1">
        <v>1606</v>
      </c>
      <c r="B1608" t="str">
        <f>HYPERLINK("https://bugs.eclipse.org/bugs/show_bug.cgi?id=52075", "52075")</f>
        <v>52075</v>
      </c>
      <c r="C1608" t="s">
        <v>140</v>
      </c>
      <c r="D1608" t="s">
        <v>10</v>
      </c>
      <c r="E1608" t="s">
        <v>16</v>
      </c>
      <c r="F1608" t="s">
        <v>150</v>
      </c>
      <c r="L1608" t="s">
        <v>7353</v>
      </c>
      <c r="R1608" t="s">
        <v>7353</v>
      </c>
      <c r="T1608" t="s">
        <v>7354</v>
      </c>
      <c r="U1608" t="s">
        <v>7355</v>
      </c>
      <c r="V1608" t="s">
        <v>7353</v>
      </c>
      <c r="W1608" t="s">
        <v>86</v>
      </c>
      <c r="X1608" t="s">
        <v>7356</v>
      </c>
      <c r="Y1608">
        <v>1</v>
      </c>
      <c r="Z1608">
        <v>4</v>
      </c>
    </row>
    <row r="1609" spans="1:26">
      <c r="A1609" s="1">
        <v>1607</v>
      </c>
      <c r="B1609" t="str">
        <f>HYPERLINK("https://bugs.eclipse.org/bugs/show_bug.cgi?id=52091", "52091")</f>
        <v>52091</v>
      </c>
      <c r="C1609" t="s">
        <v>149</v>
      </c>
      <c r="D1609" t="s">
        <v>10</v>
      </c>
      <c r="E1609" t="s">
        <v>12</v>
      </c>
      <c r="F1609" t="s">
        <v>26</v>
      </c>
      <c r="L1609" t="s">
        <v>7357</v>
      </c>
      <c r="N1609" t="s">
        <v>7357</v>
      </c>
      <c r="T1609" t="s">
        <v>7358</v>
      </c>
      <c r="U1609" t="s">
        <v>7357</v>
      </c>
      <c r="V1609" t="s">
        <v>7357</v>
      </c>
      <c r="W1609" t="s">
        <v>851</v>
      </c>
      <c r="X1609" t="s">
        <v>7359</v>
      </c>
      <c r="Y1609">
        <v>1</v>
      </c>
      <c r="Z1609">
        <v>1</v>
      </c>
    </row>
    <row r="1610" spans="1:26">
      <c r="A1610" s="1">
        <v>1608</v>
      </c>
      <c r="B1610" t="str">
        <f>HYPERLINK("https://bugs.eclipse.org/bugs/show_bug.cgi?id=52093", "52093")</f>
        <v>52093</v>
      </c>
      <c r="C1610" t="s">
        <v>7360</v>
      </c>
      <c r="D1610" t="s">
        <v>10</v>
      </c>
      <c r="E1610" t="s">
        <v>15</v>
      </c>
      <c r="F1610" t="s">
        <v>26</v>
      </c>
      <c r="L1610" t="s">
        <v>7361</v>
      </c>
      <c r="Q1610" t="s">
        <v>7361</v>
      </c>
      <c r="T1610" t="s">
        <v>7362</v>
      </c>
      <c r="U1610" t="s">
        <v>7363</v>
      </c>
      <c r="V1610" t="s">
        <v>7361</v>
      </c>
      <c r="W1610" t="s">
        <v>851</v>
      </c>
      <c r="X1610" t="s">
        <v>7364</v>
      </c>
      <c r="Y1610">
        <v>1</v>
      </c>
      <c r="Z1610">
        <v>578.95833333333337</v>
      </c>
    </row>
    <row r="1611" spans="1:26">
      <c r="A1611" s="1">
        <v>1609</v>
      </c>
      <c r="B1611" t="str">
        <f>HYPERLINK("https://bugs.eclipse.org/bugs/show_bug.cgi?id=52094", "52094")</f>
        <v>52094</v>
      </c>
      <c r="C1611" t="s">
        <v>56</v>
      </c>
      <c r="D1611" t="s">
        <v>10</v>
      </c>
      <c r="E1611" t="s">
        <v>14</v>
      </c>
      <c r="F1611" t="s">
        <v>51</v>
      </c>
      <c r="L1611" t="s">
        <v>7365</v>
      </c>
      <c r="P1611" t="s">
        <v>7366</v>
      </c>
      <c r="T1611" t="s">
        <v>7367</v>
      </c>
      <c r="U1611" t="s">
        <v>7368</v>
      </c>
      <c r="V1611" t="s">
        <v>7366</v>
      </c>
      <c r="W1611" t="s">
        <v>80</v>
      </c>
      <c r="X1611" t="s">
        <v>7369</v>
      </c>
      <c r="Y1611">
        <v>0</v>
      </c>
      <c r="Z1611">
        <v>2022.958333333333</v>
      </c>
    </row>
    <row r="1612" spans="1:26">
      <c r="A1612" s="1">
        <v>1610</v>
      </c>
      <c r="B1612" t="str">
        <f>HYPERLINK("https://bugs.eclipse.org/bugs/show_bug.cgi?id=52143", "52143")</f>
        <v>52143</v>
      </c>
      <c r="C1612" t="s">
        <v>140</v>
      </c>
      <c r="D1612" t="s">
        <v>10</v>
      </c>
      <c r="E1612" t="s">
        <v>16</v>
      </c>
      <c r="F1612" t="s">
        <v>26</v>
      </c>
      <c r="L1612" t="s">
        <v>7370</v>
      </c>
      <c r="R1612" t="s">
        <v>7370</v>
      </c>
      <c r="T1612" t="s">
        <v>7371</v>
      </c>
      <c r="U1612" t="s">
        <v>7372</v>
      </c>
      <c r="V1612" t="s">
        <v>7370</v>
      </c>
      <c r="W1612" t="s">
        <v>143</v>
      </c>
      <c r="X1612" t="s">
        <v>7373</v>
      </c>
      <c r="Y1612">
        <v>0</v>
      </c>
      <c r="Z1612">
        <v>1750</v>
      </c>
    </row>
    <row r="1613" spans="1:26">
      <c r="A1613" s="1">
        <v>1611</v>
      </c>
      <c r="B1613" t="str">
        <f>HYPERLINK("https://bugs.eclipse.org/bugs/show_bug.cgi?id=52144", "52144")</f>
        <v>52144</v>
      </c>
      <c r="C1613" t="s">
        <v>4692</v>
      </c>
      <c r="D1613" t="s">
        <v>4692</v>
      </c>
      <c r="F1613" t="s">
        <v>51</v>
      </c>
      <c r="T1613" t="s">
        <v>7374</v>
      </c>
      <c r="U1613" t="s">
        <v>7375</v>
      </c>
      <c r="V1613" t="s">
        <v>7376</v>
      </c>
      <c r="W1613" t="s">
        <v>49</v>
      </c>
      <c r="X1613" t="s">
        <v>7377</v>
      </c>
      <c r="Y1613">
        <v>0</v>
      </c>
    </row>
    <row r="1614" spans="1:26">
      <c r="A1614" s="1">
        <v>1612</v>
      </c>
      <c r="B1614" t="str">
        <f>HYPERLINK("https://bugs.eclipse.org/bugs/show_bug.cgi?id=52148", "52148")</f>
        <v>52148</v>
      </c>
      <c r="C1614" t="s">
        <v>56</v>
      </c>
      <c r="D1614" t="s">
        <v>10</v>
      </c>
      <c r="E1614" t="s">
        <v>14</v>
      </c>
      <c r="F1614" t="s">
        <v>26</v>
      </c>
      <c r="L1614" t="s">
        <v>7378</v>
      </c>
      <c r="P1614" t="s">
        <v>7379</v>
      </c>
      <c r="T1614" t="s">
        <v>7380</v>
      </c>
      <c r="U1614" t="s">
        <v>7381</v>
      </c>
      <c r="V1614" t="s">
        <v>7379</v>
      </c>
      <c r="W1614" t="s">
        <v>75</v>
      </c>
      <c r="X1614" t="s">
        <v>7382</v>
      </c>
      <c r="Y1614">
        <v>0</v>
      </c>
      <c r="Z1614">
        <v>2021.958333333333</v>
      </c>
    </row>
    <row r="1615" spans="1:26">
      <c r="A1615" s="1">
        <v>1613</v>
      </c>
      <c r="B1615" t="str">
        <f>HYPERLINK("https://bugs.eclipse.org/bugs/show_bug.cgi?id=52247", "52247")</f>
        <v>52247</v>
      </c>
      <c r="C1615" t="s">
        <v>35</v>
      </c>
      <c r="D1615" t="s">
        <v>11</v>
      </c>
      <c r="E1615" t="s">
        <v>12</v>
      </c>
      <c r="F1615" t="s">
        <v>26</v>
      </c>
      <c r="L1615" t="s">
        <v>7383</v>
      </c>
      <c r="M1615" t="s">
        <v>7384</v>
      </c>
      <c r="N1615" t="s">
        <v>7383</v>
      </c>
      <c r="T1615" t="s">
        <v>7385</v>
      </c>
      <c r="U1615" t="s">
        <v>7386</v>
      </c>
      <c r="V1615" t="s">
        <v>7384</v>
      </c>
      <c r="W1615" t="s">
        <v>6330</v>
      </c>
      <c r="X1615" t="s">
        <v>7387</v>
      </c>
      <c r="Y1615">
        <v>0</v>
      </c>
      <c r="Z1615">
        <v>36</v>
      </c>
    </row>
    <row r="1616" spans="1:26">
      <c r="A1616" s="1">
        <v>1614</v>
      </c>
      <c r="B1616" t="str">
        <f>HYPERLINK("https://bugs.eclipse.org/bugs/show_bug.cgi?id=52274", "52274")</f>
        <v>52274</v>
      </c>
      <c r="C1616" t="s">
        <v>35</v>
      </c>
      <c r="D1616" t="s">
        <v>11</v>
      </c>
      <c r="E1616" t="s">
        <v>12</v>
      </c>
      <c r="F1616" t="s">
        <v>150</v>
      </c>
      <c r="G1616" t="s">
        <v>7388</v>
      </c>
      <c r="L1616" t="s">
        <v>7389</v>
      </c>
      <c r="M1616" t="s">
        <v>7390</v>
      </c>
      <c r="N1616" t="s">
        <v>7389</v>
      </c>
      <c r="T1616" t="s">
        <v>7391</v>
      </c>
      <c r="U1616" t="s">
        <v>7392</v>
      </c>
      <c r="V1616" t="s">
        <v>7390</v>
      </c>
      <c r="W1616" t="s">
        <v>143</v>
      </c>
      <c r="X1616" t="s">
        <v>7393</v>
      </c>
      <c r="Y1616">
        <v>1</v>
      </c>
      <c r="Z1616">
        <v>36</v>
      </c>
    </row>
    <row r="1617" spans="1:26">
      <c r="A1617" s="1">
        <v>1615</v>
      </c>
      <c r="B1617" t="str">
        <f>HYPERLINK("https://bugs.eclipse.org/bugs/show_bug.cgi?id=52278", "52278")</f>
        <v>52278</v>
      </c>
      <c r="C1617" t="s">
        <v>140</v>
      </c>
      <c r="D1617" t="s">
        <v>10</v>
      </c>
      <c r="E1617" t="s">
        <v>16</v>
      </c>
      <c r="F1617" t="s">
        <v>26</v>
      </c>
      <c r="L1617" t="s">
        <v>7394</v>
      </c>
      <c r="R1617" t="s">
        <v>7394</v>
      </c>
      <c r="T1617" t="s">
        <v>7395</v>
      </c>
      <c r="U1617" t="s">
        <v>7396</v>
      </c>
      <c r="V1617" t="s">
        <v>7394</v>
      </c>
      <c r="W1617" t="s">
        <v>851</v>
      </c>
      <c r="X1617" t="s">
        <v>7397</v>
      </c>
      <c r="Y1617">
        <v>0</v>
      </c>
      <c r="Z1617">
        <v>3</v>
      </c>
    </row>
    <row r="1618" spans="1:26">
      <c r="A1618" s="1">
        <v>1616</v>
      </c>
      <c r="B1618" t="str">
        <f>HYPERLINK("https://bugs.eclipse.org/bugs/show_bug.cgi?id=52310", "52310")</f>
        <v>52310</v>
      </c>
      <c r="C1618" t="s">
        <v>149</v>
      </c>
      <c r="D1618" t="s">
        <v>10</v>
      </c>
      <c r="E1618" t="s">
        <v>12</v>
      </c>
      <c r="F1618" t="s">
        <v>26</v>
      </c>
      <c r="L1618" t="s">
        <v>7398</v>
      </c>
      <c r="N1618" t="s">
        <v>7398</v>
      </c>
      <c r="T1618" t="s">
        <v>7399</v>
      </c>
      <c r="U1618" t="s">
        <v>7400</v>
      </c>
      <c r="V1618" t="s">
        <v>7398</v>
      </c>
      <c r="W1618" t="s">
        <v>851</v>
      </c>
      <c r="X1618" t="s">
        <v>7401</v>
      </c>
      <c r="Y1618">
        <v>1</v>
      </c>
      <c r="Z1618">
        <v>3</v>
      </c>
    </row>
    <row r="1619" spans="1:26">
      <c r="A1619" s="1">
        <v>1617</v>
      </c>
      <c r="B1619" t="str">
        <f>HYPERLINK("https://bugs.eclipse.org/bugs/show_bug.cgi?id=52326", "52326")</f>
        <v>52326</v>
      </c>
      <c r="C1619" t="s">
        <v>140</v>
      </c>
      <c r="D1619" t="s">
        <v>10</v>
      </c>
      <c r="E1619" t="s">
        <v>16</v>
      </c>
      <c r="F1619" t="s">
        <v>26</v>
      </c>
      <c r="L1619" t="s">
        <v>7402</v>
      </c>
      <c r="R1619" t="s">
        <v>7402</v>
      </c>
      <c r="T1619" t="s">
        <v>7403</v>
      </c>
      <c r="U1619" t="s">
        <v>7404</v>
      </c>
      <c r="V1619" t="s">
        <v>7402</v>
      </c>
      <c r="W1619" t="s">
        <v>86</v>
      </c>
      <c r="X1619" t="s">
        <v>7405</v>
      </c>
      <c r="Y1619">
        <v>0</v>
      </c>
      <c r="Z1619">
        <v>1</v>
      </c>
    </row>
    <row r="1620" spans="1:26">
      <c r="A1620" s="1">
        <v>1618</v>
      </c>
      <c r="B1620" t="str">
        <f>HYPERLINK("https://bugs.eclipse.org/bugs/show_bug.cgi?id=52352", "52352")</f>
        <v>52352</v>
      </c>
      <c r="C1620" t="s">
        <v>149</v>
      </c>
      <c r="D1620" t="s">
        <v>10</v>
      </c>
      <c r="E1620" t="s">
        <v>12</v>
      </c>
      <c r="F1620" t="s">
        <v>26</v>
      </c>
      <c r="L1620" t="s">
        <v>7406</v>
      </c>
      <c r="N1620" t="s">
        <v>7406</v>
      </c>
      <c r="T1620" t="s">
        <v>7407</v>
      </c>
      <c r="U1620" t="s">
        <v>7408</v>
      </c>
      <c r="V1620" t="s">
        <v>7409</v>
      </c>
      <c r="W1620" t="s">
        <v>60</v>
      </c>
      <c r="X1620" t="s">
        <v>7410</v>
      </c>
      <c r="Y1620">
        <v>2</v>
      </c>
      <c r="Z1620">
        <v>10</v>
      </c>
    </row>
    <row r="1621" spans="1:26">
      <c r="A1621" s="1">
        <v>1619</v>
      </c>
      <c r="B1621" t="str">
        <f>HYPERLINK("https://bugs.eclipse.org/bugs/show_bug.cgi?id=52419", "52419")</f>
        <v>52419</v>
      </c>
      <c r="C1621" t="s">
        <v>6539</v>
      </c>
      <c r="D1621" t="s">
        <v>10</v>
      </c>
      <c r="E1621" t="s">
        <v>15</v>
      </c>
      <c r="F1621" t="s">
        <v>26</v>
      </c>
      <c r="L1621" t="s">
        <v>7411</v>
      </c>
      <c r="Q1621" t="s">
        <v>7411</v>
      </c>
      <c r="T1621" t="s">
        <v>7412</v>
      </c>
      <c r="U1621" t="s">
        <v>7411</v>
      </c>
      <c r="V1621" t="s">
        <v>7411</v>
      </c>
      <c r="W1621" t="s">
        <v>851</v>
      </c>
      <c r="X1621" t="s">
        <v>7413</v>
      </c>
      <c r="Y1621">
        <v>26</v>
      </c>
      <c r="Z1621">
        <v>26</v>
      </c>
    </row>
    <row r="1622" spans="1:26">
      <c r="A1622" s="1">
        <v>1620</v>
      </c>
      <c r="B1622" t="str">
        <f>HYPERLINK("https://bugs.eclipse.org/bugs/show_bug.cgi?id=52421", "52421")</f>
        <v>52421</v>
      </c>
      <c r="C1622" t="s">
        <v>5681</v>
      </c>
      <c r="D1622" t="s">
        <v>10</v>
      </c>
      <c r="E1622" t="s">
        <v>15</v>
      </c>
      <c r="F1622" t="s">
        <v>51</v>
      </c>
      <c r="L1622" t="s">
        <v>7414</v>
      </c>
      <c r="Q1622" t="s">
        <v>7414</v>
      </c>
      <c r="T1622" t="s">
        <v>7415</v>
      </c>
      <c r="U1622" t="s">
        <v>7416</v>
      </c>
      <c r="V1622" t="s">
        <v>7414</v>
      </c>
      <c r="W1622" t="s">
        <v>49</v>
      </c>
      <c r="X1622" t="s">
        <v>7417</v>
      </c>
      <c r="Y1622">
        <v>0</v>
      </c>
      <c r="Z1622">
        <v>834.95833333333337</v>
      </c>
    </row>
    <row r="1623" spans="1:26">
      <c r="A1623" s="1">
        <v>1621</v>
      </c>
      <c r="B1623" t="str">
        <f>HYPERLINK("https://bugs.eclipse.org/bugs/show_bug.cgi?id=52543", "52543")</f>
        <v>52543</v>
      </c>
      <c r="C1623" t="s">
        <v>56</v>
      </c>
      <c r="D1623" t="s">
        <v>10</v>
      </c>
      <c r="E1623" t="s">
        <v>14</v>
      </c>
      <c r="F1623" t="s">
        <v>51</v>
      </c>
      <c r="L1623" t="s">
        <v>7418</v>
      </c>
      <c r="P1623" t="s">
        <v>7419</v>
      </c>
      <c r="T1623" t="s">
        <v>7420</v>
      </c>
      <c r="U1623" t="s">
        <v>7421</v>
      </c>
      <c r="V1623" t="s">
        <v>7419</v>
      </c>
      <c r="W1623" t="s">
        <v>75</v>
      </c>
      <c r="X1623" t="s">
        <v>7422</v>
      </c>
      <c r="Y1623">
        <v>1</v>
      </c>
      <c r="Z1623">
        <v>2018.958333333333</v>
      </c>
    </row>
    <row r="1624" spans="1:26">
      <c r="A1624" s="1">
        <v>1622</v>
      </c>
      <c r="B1624" t="str">
        <f>HYPERLINK("https://bugs.eclipse.org/bugs/show_bug.cgi?id=52573", "52573")</f>
        <v>52573</v>
      </c>
      <c r="C1624" t="s">
        <v>149</v>
      </c>
      <c r="D1624" t="s">
        <v>10</v>
      </c>
      <c r="E1624" t="s">
        <v>12</v>
      </c>
      <c r="F1624" t="s">
        <v>26</v>
      </c>
      <c r="L1624" t="s">
        <v>7423</v>
      </c>
      <c r="N1624" t="s">
        <v>7423</v>
      </c>
      <c r="T1624" t="s">
        <v>7424</v>
      </c>
      <c r="U1624" t="s">
        <v>7425</v>
      </c>
      <c r="V1624" t="s">
        <v>7423</v>
      </c>
      <c r="W1624" t="s">
        <v>851</v>
      </c>
      <c r="X1624" t="s">
        <v>7426</v>
      </c>
      <c r="Y1624">
        <v>1</v>
      </c>
      <c r="Z1624">
        <v>84.958333333333329</v>
      </c>
    </row>
    <row r="1625" spans="1:26">
      <c r="A1625" s="1">
        <v>1623</v>
      </c>
      <c r="B1625" t="str">
        <f>HYPERLINK("https://bugs.eclipse.org/bugs/show_bug.cgi?id=52604", "52604")</f>
        <v>52604</v>
      </c>
      <c r="C1625" t="s">
        <v>140</v>
      </c>
      <c r="D1625" t="s">
        <v>10</v>
      </c>
      <c r="E1625" t="s">
        <v>16</v>
      </c>
      <c r="F1625" t="s">
        <v>26</v>
      </c>
      <c r="L1625" t="s">
        <v>7427</v>
      </c>
      <c r="R1625" t="s">
        <v>7427</v>
      </c>
      <c r="T1625" t="s">
        <v>7428</v>
      </c>
      <c r="U1625" t="s">
        <v>7429</v>
      </c>
      <c r="V1625" t="s">
        <v>7427</v>
      </c>
      <c r="W1625" t="s">
        <v>851</v>
      </c>
      <c r="X1625" t="s">
        <v>7430</v>
      </c>
      <c r="Y1625">
        <v>0</v>
      </c>
      <c r="Z1625">
        <v>27</v>
      </c>
    </row>
    <row r="1626" spans="1:26">
      <c r="A1626" s="1">
        <v>1624</v>
      </c>
      <c r="B1626" t="str">
        <f>HYPERLINK("https://bugs.eclipse.org/bugs/show_bug.cgi?id=52735", "52735")</f>
        <v>52735</v>
      </c>
      <c r="C1626" t="s">
        <v>140</v>
      </c>
      <c r="D1626" t="s">
        <v>10</v>
      </c>
      <c r="E1626" t="s">
        <v>16</v>
      </c>
      <c r="F1626" t="s">
        <v>26</v>
      </c>
      <c r="L1626" t="s">
        <v>7431</v>
      </c>
      <c r="R1626" t="s">
        <v>7431</v>
      </c>
      <c r="T1626" t="s">
        <v>7432</v>
      </c>
      <c r="U1626" t="s">
        <v>7433</v>
      </c>
      <c r="V1626" t="s">
        <v>7431</v>
      </c>
      <c r="W1626" t="s">
        <v>1161</v>
      </c>
      <c r="X1626" t="s">
        <v>7434</v>
      </c>
      <c r="Y1626">
        <v>2</v>
      </c>
      <c r="Z1626">
        <v>19</v>
      </c>
    </row>
    <row r="1627" spans="1:26">
      <c r="A1627" s="1">
        <v>1625</v>
      </c>
      <c r="B1627" t="str">
        <f>HYPERLINK("https://bugs.eclipse.org/bugs/show_bug.cgi?id=52773", "52773")</f>
        <v>52773</v>
      </c>
      <c r="C1627" t="s">
        <v>995</v>
      </c>
      <c r="D1627" t="s">
        <v>192</v>
      </c>
      <c r="E1627" t="s">
        <v>12</v>
      </c>
      <c r="F1627" t="s">
        <v>26</v>
      </c>
      <c r="G1627" t="s">
        <v>7435</v>
      </c>
      <c r="H1627" t="s">
        <v>7436</v>
      </c>
      <c r="L1627" t="s">
        <v>7437</v>
      </c>
      <c r="M1627" t="s">
        <v>7438</v>
      </c>
      <c r="N1627" t="s">
        <v>7437</v>
      </c>
      <c r="T1627" t="s">
        <v>7439</v>
      </c>
      <c r="U1627" t="s">
        <v>7440</v>
      </c>
      <c r="V1627" t="s">
        <v>7441</v>
      </c>
      <c r="W1627" t="s">
        <v>1000</v>
      </c>
      <c r="X1627" t="s">
        <v>7442</v>
      </c>
      <c r="Y1627">
        <v>0</v>
      </c>
      <c r="Z1627">
        <v>207.95833333333329</v>
      </c>
    </row>
    <row r="1628" spans="1:26">
      <c r="A1628" s="1">
        <v>1626</v>
      </c>
      <c r="B1628" t="str">
        <f>HYPERLINK("https://bugs.eclipse.org/bugs/show_bug.cgi?id=52774", "52774")</f>
        <v>52774</v>
      </c>
      <c r="C1628" t="s">
        <v>995</v>
      </c>
      <c r="D1628" t="s">
        <v>192</v>
      </c>
      <c r="E1628" t="s">
        <v>12</v>
      </c>
      <c r="F1628" t="s">
        <v>26</v>
      </c>
      <c r="L1628" t="s">
        <v>7443</v>
      </c>
      <c r="M1628" t="s">
        <v>7444</v>
      </c>
      <c r="N1628" t="s">
        <v>7443</v>
      </c>
      <c r="T1628" t="s">
        <v>7445</v>
      </c>
      <c r="U1628" t="s">
        <v>7446</v>
      </c>
      <c r="V1628" t="s">
        <v>7447</v>
      </c>
      <c r="W1628" t="s">
        <v>1000</v>
      </c>
      <c r="X1628" t="s">
        <v>7448</v>
      </c>
      <c r="Y1628">
        <v>0</v>
      </c>
      <c r="Z1628">
        <v>207.95833333333329</v>
      </c>
    </row>
    <row r="1629" spans="1:26">
      <c r="A1629" s="1">
        <v>1627</v>
      </c>
      <c r="B1629" t="str">
        <f>HYPERLINK("https://bugs.eclipse.org/bugs/show_bug.cgi?id=52777", "52777")</f>
        <v>52777</v>
      </c>
      <c r="C1629" t="s">
        <v>56</v>
      </c>
      <c r="D1629" t="s">
        <v>10</v>
      </c>
      <c r="E1629" t="s">
        <v>14</v>
      </c>
      <c r="F1629" t="s">
        <v>26</v>
      </c>
      <c r="L1629" t="s">
        <v>7449</v>
      </c>
      <c r="P1629" t="s">
        <v>7450</v>
      </c>
      <c r="T1629" t="s">
        <v>7451</v>
      </c>
      <c r="U1629" t="s">
        <v>7452</v>
      </c>
      <c r="V1629" t="s">
        <v>7450</v>
      </c>
      <c r="W1629" t="s">
        <v>75</v>
      </c>
      <c r="X1629" t="s">
        <v>7453</v>
      </c>
      <c r="Y1629">
        <v>11</v>
      </c>
      <c r="Z1629">
        <v>2015.958333333333</v>
      </c>
    </row>
    <row r="1630" spans="1:26">
      <c r="A1630" s="1">
        <v>1628</v>
      </c>
      <c r="B1630" t="str">
        <f>HYPERLINK("https://bugs.eclipse.org/bugs/show_bug.cgi?id=52791", "52791")</f>
        <v>52791</v>
      </c>
      <c r="C1630" t="s">
        <v>25</v>
      </c>
      <c r="D1630" t="s">
        <v>25</v>
      </c>
      <c r="F1630" t="s">
        <v>26</v>
      </c>
      <c r="G1630" t="s">
        <v>7454</v>
      </c>
      <c r="T1630" t="s">
        <v>7455</v>
      </c>
      <c r="U1630" t="s">
        <v>7456</v>
      </c>
      <c r="V1630" t="s">
        <v>7457</v>
      </c>
      <c r="W1630" t="s">
        <v>7458</v>
      </c>
      <c r="X1630" t="s">
        <v>7459</v>
      </c>
      <c r="Y1630">
        <v>0</v>
      </c>
    </row>
    <row r="1631" spans="1:26">
      <c r="A1631" s="1">
        <v>1629</v>
      </c>
      <c r="B1631" t="str">
        <f>HYPERLINK("https://bugs.eclipse.org/bugs/show_bug.cgi?id=52918", "52918")</f>
        <v>52918</v>
      </c>
      <c r="C1631" t="s">
        <v>149</v>
      </c>
      <c r="D1631" t="s">
        <v>10</v>
      </c>
      <c r="E1631" t="s">
        <v>12</v>
      </c>
      <c r="F1631" t="s">
        <v>150</v>
      </c>
      <c r="L1631" t="s">
        <v>7460</v>
      </c>
      <c r="N1631" t="s">
        <v>7460</v>
      </c>
      <c r="T1631" t="s">
        <v>7461</v>
      </c>
      <c r="U1631" t="s">
        <v>7462</v>
      </c>
      <c r="V1631" t="s">
        <v>7460</v>
      </c>
      <c r="W1631" t="s">
        <v>143</v>
      </c>
      <c r="X1631" t="s">
        <v>7463</v>
      </c>
      <c r="Y1631">
        <v>0</v>
      </c>
      <c r="Z1631">
        <v>1</v>
      </c>
    </row>
    <row r="1632" spans="1:26">
      <c r="A1632" s="1">
        <v>1630</v>
      </c>
      <c r="B1632" t="str">
        <f>HYPERLINK("https://bugs.eclipse.org/bugs/show_bug.cgi?id=52933", "52933")</f>
        <v>52933</v>
      </c>
      <c r="C1632" t="s">
        <v>7464</v>
      </c>
      <c r="D1632" t="s">
        <v>10</v>
      </c>
      <c r="E1632" t="s">
        <v>15</v>
      </c>
      <c r="F1632" t="s">
        <v>150</v>
      </c>
      <c r="G1632" t="s">
        <v>7465</v>
      </c>
      <c r="L1632" t="s">
        <v>7466</v>
      </c>
      <c r="Q1632" t="s">
        <v>7466</v>
      </c>
      <c r="T1632" t="s">
        <v>7467</v>
      </c>
      <c r="U1632" t="s">
        <v>7468</v>
      </c>
      <c r="V1632" t="s">
        <v>7466</v>
      </c>
      <c r="W1632" t="s">
        <v>6330</v>
      </c>
      <c r="X1632" t="s">
        <v>7469</v>
      </c>
      <c r="Y1632">
        <v>0</v>
      </c>
      <c r="Z1632">
        <v>8</v>
      </c>
    </row>
    <row r="1633" spans="1:26">
      <c r="A1633" s="1">
        <v>1631</v>
      </c>
      <c r="B1633" t="str">
        <f>HYPERLINK("https://bugs.eclipse.org/bugs/show_bug.cgi?id=52941", "52941")</f>
        <v>52941</v>
      </c>
      <c r="C1633" t="s">
        <v>149</v>
      </c>
      <c r="D1633" t="s">
        <v>10</v>
      </c>
      <c r="E1633" t="s">
        <v>12</v>
      </c>
      <c r="F1633" t="s">
        <v>150</v>
      </c>
      <c r="G1633" t="s">
        <v>7470</v>
      </c>
      <c r="L1633" t="s">
        <v>7471</v>
      </c>
      <c r="N1633" t="s">
        <v>7471</v>
      </c>
      <c r="T1633" t="s">
        <v>7472</v>
      </c>
      <c r="U1633" t="s">
        <v>7473</v>
      </c>
      <c r="V1633" t="s">
        <v>7471</v>
      </c>
      <c r="W1633" t="s">
        <v>6330</v>
      </c>
      <c r="X1633" t="s">
        <v>7474</v>
      </c>
      <c r="Y1633">
        <v>0</v>
      </c>
      <c r="Z1633">
        <v>72.958333333333329</v>
      </c>
    </row>
    <row r="1634" spans="1:26">
      <c r="A1634" s="1">
        <v>1632</v>
      </c>
      <c r="B1634" t="str">
        <f>HYPERLINK("https://bugs.eclipse.org/bugs/show_bug.cgi?id=53197", "53197")</f>
        <v>53197</v>
      </c>
      <c r="C1634" t="s">
        <v>56</v>
      </c>
      <c r="D1634" t="s">
        <v>10</v>
      </c>
      <c r="E1634" t="s">
        <v>14</v>
      </c>
      <c r="F1634" t="s">
        <v>26</v>
      </c>
      <c r="L1634" t="s">
        <v>7475</v>
      </c>
      <c r="P1634" t="s">
        <v>7476</v>
      </c>
      <c r="T1634" t="s">
        <v>7477</v>
      </c>
      <c r="U1634" t="s">
        <v>7478</v>
      </c>
      <c r="V1634" t="s">
        <v>7476</v>
      </c>
      <c r="W1634" t="s">
        <v>75</v>
      </c>
      <c r="X1634" t="s">
        <v>7479</v>
      </c>
      <c r="Y1634">
        <v>1</v>
      </c>
      <c r="Z1634">
        <v>2011.958333333333</v>
      </c>
    </row>
    <row r="1635" spans="1:26">
      <c r="A1635" s="1">
        <v>1633</v>
      </c>
      <c r="B1635" t="str">
        <f>HYPERLINK("https://bugs.eclipse.org/bugs/show_bug.cgi?id=53215", "53215")</f>
        <v>53215</v>
      </c>
      <c r="C1635" t="s">
        <v>149</v>
      </c>
      <c r="D1635" t="s">
        <v>10</v>
      </c>
      <c r="E1635" t="s">
        <v>12</v>
      </c>
      <c r="F1635" t="s">
        <v>26</v>
      </c>
      <c r="L1635" t="s">
        <v>7480</v>
      </c>
      <c r="N1635" t="s">
        <v>7480</v>
      </c>
      <c r="T1635" t="s">
        <v>7481</v>
      </c>
      <c r="U1635" t="s">
        <v>7480</v>
      </c>
      <c r="V1635" t="s">
        <v>7480</v>
      </c>
      <c r="W1635" t="s">
        <v>49</v>
      </c>
      <c r="X1635" t="s">
        <v>7482</v>
      </c>
      <c r="Y1635">
        <v>1</v>
      </c>
      <c r="Z1635">
        <v>1</v>
      </c>
    </row>
    <row r="1636" spans="1:26">
      <c r="A1636" s="1">
        <v>1634</v>
      </c>
      <c r="B1636" t="str">
        <f>HYPERLINK("https://bugs.eclipse.org/bugs/show_bug.cgi?id=53237", "53237")</f>
        <v>53237</v>
      </c>
      <c r="C1636" t="s">
        <v>140</v>
      </c>
      <c r="D1636" t="s">
        <v>10</v>
      </c>
      <c r="E1636" t="s">
        <v>16</v>
      </c>
      <c r="F1636" t="s">
        <v>26</v>
      </c>
      <c r="L1636" t="s">
        <v>7483</v>
      </c>
      <c r="R1636" t="s">
        <v>7483</v>
      </c>
      <c r="T1636" t="s">
        <v>7484</v>
      </c>
      <c r="U1636" t="s">
        <v>7485</v>
      </c>
      <c r="V1636" t="s">
        <v>7483</v>
      </c>
      <c r="W1636" t="s">
        <v>7486</v>
      </c>
      <c r="X1636" t="s">
        <v>7487</v>
      </c>
      <c r="Y1636">
        <v>1</v>
      </c>
      <c r="Z1636">
        <v>13</v>
      </c>
    </row>
    <row r="1637" spans="1:26">
      <c r="A1637" s="1">
        <v>1635</v>
      </c>
      <c r="B1637" t="str">
        <f>HYPERLINK("https://bugs.eclipse.org/bugs/show_bug.cgi?id=53239", "53239")</f>
        <v>53239</v>
      </c>
      <c r="C1637" t="s">
        <v>56</v>
      </c>
      <c r="D1637" t="s">
        <v>10</v>
      </c>
      <c r="E1637" t="s">
        <v>14</v>
      </c>
      <c r="F1637" t="s">
        <v>26</v>
      </c>
      <c r="L1637" t="s">
        <v>7488</v>
      </c>
      <c r="P1637" t="s">
        <v>7489</v>
      </c>
      <c r="Q1637" t="s">
        <v>7490</v>
      </c>
      <c r="S1637" t="s">
        <v>7491</v>
      </c>
      <c r="T1637" t="s">
        <v>7492</v>
      </c>
      <c r="U1637" t="s">
        <v>7493</v>
      </c>
      <c r="V1637" t="s">
        <v>7489</v>
      </c>
      <c r="W1637" t="s">
        <v>80</v>
      </c>
      <c r="X1637" t="s">
        <v>7494</v>
      </c>
      <c r="Y1637">
        <v>1</v>
      </c>
      <c r="Z1637">
        <v>2011.958333333333</v>
      </c>
    </row>
    <row r="1638" spans="1:26">
      <c r="A1638" s="1">
        <v>1636</v>
      </c>
      <c r="B1638" t="str">
        <f>HYPERLINK("https://bugs.eclipse.org/bugs/show_bug.cgi?id=53243", "53243")</f>
        <v>53243</v>
      </c>
      <c r="C1638" t="s">
        <v>149</v>
      </c>
      <c r="D1638" t="s">
        <v>10</v>
      </c>
      <c r="E1638" t="s">
        <v>12</v>
      </c>
      <c r="F1638" t="s">
        <v>26</v>
      </c>
      <c r="G1638" t="s">
        <v>6380</v>
      </c>
      <c r="L1638" t="s">
        <v>7495</v>
      </c>
      <c r="N1638" t="s">
        <v>7495</v>
      </c>
      <c r="Q1638" t="s">
        <v>7496</v>
      </c>
      <c r="S1638" t="s">
        <v>7497</v>
      </c>
      <c r="T1638" t="s">
        <v>7498</v>
      </c>
      <c r="U1638" t="s">
        <v>7499</v>
      </c>
      <c r="V1638" t="s">
        <v>7495</v>
      </c>
      <c r="W1638" t="s">
        <v>851</v>
      </c>
      <c r="X1638" t="s">
        <v>7500</v>
      </c>
      <c r="Y1638">
        <v>1</v>
      </c>
      <c r="Z1638">
        <v>732</v>
      </c>
    </row>
    <row r="1639" spans="1:26">
      <c r="A1639" s="1">
        <v>1637</v>
      </c>
      <c r="B1639" t="str">
        <f>HYPERLINK("https://bugs.eclipse.org/bugs/show_bug.cgi?id=53297", "53297")</f>
        <v>53297</v>
      </c>
      <c r="C1639" t="s">
        <v>25</v>
      </c>
      <c r="D1639" t="s">
        <v>25</v>
      </c>
      <c r="F1639" t="s">
        <v>51</v>
      </c>
      <c r="G1639" t="s">
        <v>7501</v>
      </c>
      <c r="T1639" t="s">
        <v>7502</v>
      </c>
      <c r="U1639" t="s">
        <v>7503</v>
      </c>
      <c r="V1639" t="s">
        <v>7504</v>
      </c>
      <c r="W1639" t="s">
        <v>851</v>
      </c>
      <c r="X1639" t="s">
        <v>7505</v>
      </c>
      <c r="Y1639">
        <v>6</v>
      </c>
    </row>
    <row r="1640" spans="1:26">
      <c r="A1640" s="1">
        <v>1638</v>
      </c>
      <c r="B1640" t="str">
        <f>HYPERLINK("https://bugs.eclipse.org/bugs/show_bug.cgi?id=53335", "53335")</f>
        <v>53335</v>
      </c>
      <c r="C1640" t="s">
        <v>140</v>
      </c>
      <c r="D1640" t="s">
        <v>10</v>
      </c>
      <c r="E1640" t="s">
        <v>16</v>
      </c>
      <c r="F1640" t="s">
        <v>26</v>
      </c>
      <c r="L1640" t="s">
        <v>7506</v>
      </c>
      <c r="R1640" t="s">
        <v>7506</v>
      </c>
      <c r="T1640" t="s">
        <v>7507</v>
      </c>
      <c r="U1640" t="s">
        <v>7508</v>
      </c>
      <c r="V1640" t="s">
        <v>7506</v>
      </c>
      <c r="W1640" t="s">
        <v>851</v>
      </c>
      <c r="X1640" t="s">
        <v>7509</v>
      </c>
      <c r="Y1640">
        <v>3</v>
      </c>
      <c r="Z1640">
        <v>18</v>
      </c>
    </row>
    <row r="1641" spans="1:26">
      <c r="A1641" s="1">
        <v>1639</v>
      </c>
      <c r="B1641" t="str">
        <f>HYPERLINK("https://bugs.eclipse.org/bugs/show_bug.cgi?id=53343", "53343")</f>
        <v>53343</v>
      </c>
      <c r="C1641" t="s">
        <v>191</v>
      </c>
      <c r="D1641" t="s">
        <v>192</v>
      </c>
      <c r="E1641" t="s">
        <v>14</v>
      </c>
      <c r="F1641" t="s">
        <v>26</v>
      </c>
      <c r="T1641" t="s">
        <v>7510</v>
      </c>
      <c r="U1641" t="s">
        <v>7511</v>
      </c>
      <c r="V1641" t="s">
        <v>7512</v>
      </c>
      <c r="W1641" t="s">
        <v>65</v>
      </c>
      <c r="X1641" t="s">
        <v>7513</v>
      </c>
      <c r="Y1641">
        <v>2</v>
      </c>
      <c r="Z1641">
        <v>5676.958333333333</v>
      </c>
    </row>
    <row r="1642" spans="1:26">
      <c r="A1642" s="1">
        <v>1640</v>
      </c>
      <c r="B1642" t="str">
        <f>HYPERLINK("https://bugs.eclipse.org/bugs/show_bug.cgi?id=53350", "53350")</f>
        <v>53350</v>
      </c>
      <c r="C1642" t="s">
        <v>149</v>
      </c>
      <c r="D1642" t="s">
        <v>10</v>
      </c>
      <c r="E1642" t="s">
        <v>12</v>
      </c>
      <c r="F1642" t="s">
        <v>26</v>
      </c>
      <c r="L1642" t="s">
        <v>7514</v>
      </c>
      <c r="N1642" t="s">
        <v>7514</v>
      </c>
      <c r="T1642" t="s">
        <v>7515</v>
      </c>
      <c r="U1642" t="s">
        <v>7516</v>
      </c>
      <c r="V1642" t="s">
        <v>7514</v>
      </c>
      <c r="W1642" t="s">
        <v>851</v>
      </c>
      <c r="X1642" t="s">
        <v>7517</v>
      </c>
      <c r="Y1642">
        <v>2</v>
      </c>
      <c r="Z1642">
        <v>9</v>
      </c>
    </row>
    <row r="1643" spans="1:26">
      <c r="A1643" s="1">
        <v>1641</v>
      </c>
      <c r="B1643" t="str">
        <f>HYPERLINK("https://bugs.eclipse.org/bugs/show_bug.cgi?id=53376", "53376")</f>
        <v>53376</v>
      </c>
      <c r="C1643" t="s">
        <v>35</v>
      </c>
      <c r="D1643" t="s">
        <v>11</v>
      </c>
      <c r="E1643" t="s">
        <v>12</v>
      </c>
      <c r="F1643" t="s">
        <v>26</v>
      </c>
      <c r="L1643" t="s">
        <v>7518</v>
      </c>
      <c r="M1643" t="s">
        <v>7519</v>
      </c>
      <c r="N1643" t="s">
        <v>7518</v>
      </c>
      <c r="T1643" t="s">
        <v>7520</v>
      </c>
      <c r="U1643" t="s">
        <v>7521</v>
      </c>
      <c r="V1643" t="s">
        <v>7519</v>
      </c>
      <c r="W1643" t="s">
        <v>86</v>
      </c>
      <c r="X1643" t="s">
        <v>7522</v>
      </c>
      <c r="Y1643">
        <v>0</v>
      </c>
      <c r="Z1643">
        <v>101.9583333333333</v>
      </c>
    </row>
    <row r="1644" spans="1:26">
      <c r="A1644" s="1">
        <v>1642</v>
      </c>
      <c r="B1644" t="str">
        <f>HYPERLINK("https://bugs.eclipse.org/bugs/show_bug.cgi?id=53481", "53481")</f>
        <v>53481</v>
      </c>
      <c r="C1644" t="s">
        <v>56</v>
      </c>
      <c r="D1644" t="s">
        <v>10</v>
      </c>
      <c r="E1644" t="s">
        <v>14</v>
      </c>
      <c r="F1644" t="s">
        <v>51</v>
      </c>
      <c r="L1644" t="s">
        <v>7523</v>
      </c>
      <c r="P1644" t="s">
        <v>7524</v>
      </c>
      <c r="R1644" t="s">
        <v>7525</v>
      </c>
      <c r="S1644" t="s">
        <v>7526</v>
      </c>
      <c r="T1644" t="s">
        <v>7527</v>
      </c>
      <c r="U1644" t="s">
        <v>7528</v>
      </c>
      <c r="V1644" t="s">
        <v>7524</v>
      </c>
      <c r="W1644" t="s">
        <v>80</v>
      </c>
      <c r="X1644" t="s">
        <v>7529</v>
      </c>
      <c r="Y1644">
        <v>2</v>
      </c>
      <c r="Z1644">
        <v>2006.958333333333</v>
      </c>
    </row>
    <row r="1645" spans="1:26">
      <c r="A1645" s="1">
        <v>1643</v>
      </c>
      <c r="B1645" t="str">
        <f>HYPERLINK("https://bugs.eclipse.org/bugs/show_bug.cgi?id=53507", "53507")</f>
        <v>53507</v>
      </c>
      <c r="C1645" t="s">
        <v>25</v>
      </c>
      <c r="D1645" t="s">
        <v>25</v>
      </c>
      <c r="F1645" t="s">
        <v>26</v>
      </c>
      <c r="G1645" t="s">
        <v>7530</v>
      </c>
      <c r="T1645" t="s">
        <v>7531</v>
      </c>
      <c r="U1645" t="s">
        <v>7532</v>
      </c>
      <c r="V1645" t="s">
        <v>7533</v>
      </c>
      <c r="W1645" t="s">
        <v>143</v>
      </c>
      <c r="X1645" t="s">
        <v>7534</v>
      </c>
      <c r="Y1645">
        <v>2</v>
      </c>
    </row>
    <row r="1646" spans="1:26">
      <c r="A1646" s="1">
        <v>1644</v>
      </c>
      <c r="B1646" t="str">
        <f>HYPERLINK("https://bugs.eclipse.org/bugs/show_bug.cgi?id=53619", "53619")</f>
        <v>53619</v>
      </c>
      <c r="C1646" t="s">
        <v>149</v>
      </c>
      <c r="D1646" t="s">
        <v>10</v>
      </c>
      <c r="E1646" t="s">
        <v>12</v>
      </c>
      <c r="F1646" t="s">
        <v>26</v>
      </c>
      <c r="L1646" t="s">
        <v>7535</v>
      </c>
      <c r="N1646" t="s">
        <v>7535</v>
      </c>
      <c r="T1646" t="s">
        <v>7536</v>
      </c>
      <c r="U1646" t="s">
        <v>7537</v>
      </c>
      <c r="V1646" t="s">
        <v>7535</v>
      </c>
      <c r="W1646" t="s">
        <v>851</v>
      </c>
      <c r="X1646" t="s">
        <v>7538</v>
      </c>
      <c r="Y1646">
        <v>0</v>
      </c>
      <c r="Z1646">
        <v>5</v>
      </c>
    </row>
    <row r="1647" spans="1:26">
      <c r="A1647" s="1">
        <v>1645</v>
      </c>
      <c r="B1647" t="str">
        <f>HYPERLINK("https://bugs.eclipse.org/bugs/show_bug.cgi?id=53732", "53732")</f>
        <v>53732</v>
      </c>
      <c r="C1647" t="s">
        <v>56</v>
      </c>
      <c r="D1647" t="s">
        <v>10</v>
      </c>
      <c r="E1647" t="s">
        <v>14</v>
      </c>
      <c r="F1647" t="s">
        <v>26</v>
      </c>
      <c r="L1647" t="s">
        <v>7539</v>
      </c>
      <c r="P1647" t="s">
        <v>7540</v>
      </c>
      <c r="T1647" t="s">
        <v>7541</v>
      </c>
      <c r="U1647" t="s">
        <v>7542</v>
      </c>
      <c r="V1647" t="s">
        <v>7540</v>
      </c>
      <c r="W1647" t="s">
        <v>80</v>
      </c>
      <c r="X1647" t="s">
        <v>7543</v>
      </c>
      <c r="Y1647">
        <v>1</v>
      </c>
      <c r="Z1647">
        <v>2004.958333333333</v>
      </c>
    </row>
    <row r="1648" spans="1:26">
      <c r="A1648" s="1">
        <v>1646</v>
      </c>
      <c r="B1648" t="str">
        <f>HYPERLINK("https://bugs.eclipse.org/bugs/show_bug.cgi?id=53795", "53795")</f>
        <v>53795</v>
      </c>
      <c r="C1648" t="s">
        <v>140</v>
      </c>
      <c r="D1648" t="s">
        <v>10</v>
      </c>
      <c r="E1648" t="s">
        <v>16</v>
      </c>
      <c r="F1648" t="s">
        <v>26</v>
      </c>
      <c r="L1648" t="s">
        <v>7544</v>
      </c>
      <c r="R1648" t="s">
        <v>7544</v>
      </c>
      <c r="T1648" t="s">
        <v>7545</v>
      </c>
      <c r="U1648" t="s">
        <v>7546</v>
      </c>
      <c r="V1648" t="s">
        <v>7544</v>
      </c>
      <c r="W1648" t="s">
        <v>851</v>
      </c>
      <c r="X1648" t="s">
        <v>7547</v>
      </c>
      <c r="Y1648">
        <v>1</v>
      </c>
      <c r="Z1648">
        <v>157.95833333333329</v>
      </c>
    </row>
    <row r="1649" spans="1:26">
      <c r="A1649" s="1">
        <v>1647</v>
      </c>
      <c r="B1649" t="str">
        <f>HYPERLINK("https://bugs.eclipse.org/bugs/show_bug.cgi?id=53851", "53851")</f>
        <v>53851</v>
      </c>
      <c r="C1649" t="s">
        <v>149</v>
      </c>
      <c r="D1649" t="s">
        <v>10</v>
      </c>
      <c r="E1649" t="s">
        <v>12</v>
      </c>
      <c r="F1649" t="s">
        <v>26</v>
      </c>
      <c r="L1649" t="s">
        <v>7548</v>
      </c>
      <c r="N1649" t="s">
        <v>7548</v>
      </c>
      <c r="S1649" t="s">
        <v>7549</v>
      </c>
      <c r="T1649" t="s">
        <v>7550</v>
      </c>
      <c r="U1649" t="s">
        <v>7551</v>
      </c>
      <c r="V1649" t="s">
        <v>7548</v>
      </c>
      <c r="W1649" t="s">
        <v>86</v>
      </c>
      <c r="X1649" t="s">
        <v>7552</v>
      </c>
      <c r="Y1649">
        <v>3</v>
      </c>
      <c r="Z1649">
        <v>332</v>
      </c>
    </row>
    <row r="1650" spans="1:26">
      <c r="A1650" s="1">
        <v>1648</v>
      </c>
      <c r="B1650" t="str">
        <f>HYPERLINK("https://bugs.eclipse.org/bugs/show_bug.cgi?id=53857", "53857")</f>
        <v>53857</v>
      </c>
      <c r="C1650" t="s">
        <v>149</v>
      </c>
      <c r="D1650" t="s">
        <v>10</v>
      </c>
      <c r="E1650" t="s">
        <v>12</v>
      </c>
      <c r="F1650" t="s">
        <v>26</v>
      </c>
      <c r="L1650" t="s">
        <v>7553</v>
      </c>
      <c r="N1650" t="s">
        <v>7553</v>
      </c>
      <c r="T1650" t="s">
        <v>7554</v>
      </c>
      <c r="U1650" t="s">
        <v>7555</v>
      </c>
      <c r="V1650" t="s">
        <v>7553</v>
      </c>
      <c r="W1650" t="s">
        <v>49</v>
      </c>
      <c r="X1650" t="s">
        <v>7556</v>
      </c>
      <c r="Y1650">
        <v>3</v>
      </c>
      <c r="Z1650">
        <v>880.95833333333337</v>
      </c>
    </row>
    <row r="1651" spans="1:26">
      <c r="A1651" s="1">
        <v>1649</v>
      </c>
      <c r="B1651" t="str">
        <f>HYPERLINK("https://bugs.eclipse.org/bugs/show_bug.cgi?id=53860", "53860")</f>
        <v>53860</v>
      </c>
      <c r="C1651" t="s">
        <v>35</v>
      </c>
      <c r="D1651" t="s">
        <v>11</v>
      </c>
      <c r="E1651" t="s">
        <v>12</v>
      </c>
      <c r="F1651" t="s">
        <v>51</v>
      </c>
      <c r="L1651" t="s">
        <v>7557</v>
      </c>
      <c r="M1651" t="s">
        <v>7558</v>
      </c>
      <c r="N1651" t="s">
        <v>7557</v>
      </c>
      <c r="T1651" t="s">
        <v>7559</v>
      </c>
      <c r="U1651" t="s">
        <v>7560</v>
      </c>
      <c r="V1651" t="s">
        <v>7558</v>
      </c>
      <c r="W1651" t="s">
        <v>86</v>
      </c>
      <c r="X1651" t="s">
        <v>7561</v>
      </c>
      <c r="Y1651">
        <v>3</v>
      </c>
      <c r="Z1651">
        <v>96.958333333333329</v>
      </c>
    </row>
    <row r="1652" spans="1:26">
      <c r="A1652" s="1">
        <v>1650</v>
      </c>
      <c r="B1652" t="str">
        <f>HYPERLINK("https://bugs.eclipse.org/bugs/show_bug.cgi?id=53883", "53883")</f>
        <v>53883</v>
      </c>
      <c r="C1652" t="s">
        <v>149</v>
      </c>
      <c r="D1652" t="s">
        <v>10</v>
      </c>
      <c r="E1652" t="s">
        <v>12</v>
      </c>
      <c r="F1652" t="s">
        <v>26</v>
      </c>
      <c r="L1652" t="s">
        <v>7562</v>
      </c>
      <c r="N1652" t="s">
        <v>7562</v>
      </c>
      <c r="S1652" t="s">
        <v>7563</v>
      </c>
      <c r="T1652" t="s">
        <v>7564</v>
      </c>
      <c r="U1652" t="s">
        <v>7565</v>
      </c>
      <c r="V1652" t="s">
        <v>7562</v>
      </c>
      <c r="W1652" t="s">
        <v>86</v>
      </c>
      <c r="X1652" t="s">
        <v>7566</v>
      </c>
      <c r="Y1652">
        <v>3</v>
      </c>
      <c r="Z1652">
        <v>332</v>
      </c>
    </row>
    <row r="1653" spans="1:26">
      <c r="A1653" s="1">
        <v>1651</v>
      </c>
      <c r="B1653" t="str">
        <f>HYPERLINK("https://bugs.eclipse.org/bugs/show_bug.cgi?id=53967", "53967")</f>
        <v>53967</v>
      </c>
      <c r="C1653" t="s">
        <v>7567</v>
      </c>
      <c r="D1653" t="s">
        <v>10</v>
      </c>
      <c r="E1653" t="s">
        <v>15</v>
      </c>
      <c r="F1653" t="s">
        <v>51</v>
      </c>
      <c r="L1653" t="s">
        <v>7568</v>
      </c>
      <c r="Q1653" t="s">
        <v>7568</v>
      </c>
      <c r="T1653" t="s">
        <v>7569</v>
      </c>
      <c r="U1653" t="s">
        <v>7570</v>
      </c>
      <c r="V1653" t="s">
        <v>7568</v>
      </c>
      <c r="W1653" t="s">
        <v>49</v>
      </c>
      <c r="X1653" t="s">
        <v>7571</v>
      </c>
      <c r="Y1653">
        <v>2</v>
      </c>
      <c r="Z1653">
        <v>879.95833333333337</v>
      </c>
    </row>
    <row r="1654" spans="1:26">
      <c r="A1654" s="1">
        <v>1652</v>
      </c>
      <c r="B1654" t="str">
        <f>HYPERLINK("https://bugs.eclipse.org/bugs/show_bug.cgi?id=53971", "53971")</f>
        <v>53971</v>
      </c>
      <c r="C1654" t="s">
        <v>35</v>
      </c>
      <c r="D1654" t="s">
        <v>11</v>
      </c>
      <c r="E1654" t="s">
        <v>12</v>
      </c>
      <c r="F1654" t="s">
        <v>145</v>
      </c>
      <c r="L1654" t="s">
        <v>7572</v>
      </c>
      <c r="M1654" t="s">
        <v>7573</v>
      </c>
      <c r="N1654" t="s">
        <v>7572</v>
      </c>
      <c r="T1654" t="s">
        <v>7574</v>
      </c>
      <c r="U1654" t="s">
        <v>7575</v>
      </c>
      <c r="V1654" t="s">
        <v>7573</v>
      </c>
      <c r="W1654" t="s">
        <v>86</v>
      </c>
      <c r="X1654" t="s">
        <v>7576</v>
      </c>
      <c r="Y1654">
        <v>0</v>
      </c>
      <c r="Z1654">
        <v>18</v>
      </c>
    </row>
    <row r="1655" spans="1:26">
      <c r="A1655" s="1">
        <v>1653</v>
      </c>
      <c r="B1655" t="str">
        <f>HYPERLINK("https://bugs.eclipse.org/bugs/show_bug.cgi?id=54002", "54002")</f>
        <v>54002</v>
      </c>
      <c r="C1655" t="s">
        <v>56</v>
      </c>
      <c r="D1655" t="s">
        <v>10</v>
      </c>
      <c r="E1655" t="s">
        <v>14</v>
      </c>
      <c r="F1655" t="s">
        <v>26</v>
      </c>
      <c r="L1655" t="s">
        <v>7577</v>
      </c>
      <c r="P1655" t="s">
        <v>7578</v>
      </c>
      <c r="T1655" t="s">
        <v>7579</v>
      </c>
      <c r="U1655" t="s">
        <v>7577</v>
      </c>
      <c r="V1655" t="s">
        <v>7578</v>
      </c>
      <c r="W1655" t="s">
        <v>80</v>
      </c>
      <c r="X1655" t="s">
        <v>7580</v>
      </c>
      <c r="Y1655">
        <v>0</v>
      </c>
      <c r="Z1655">
        <v>2000.958333333333</v>
      </c>
    </row>
    <row r="1656" spans="1:26">
      <c r="A1656" s="1">
        <v>1654</v>
      </c>
      <c r="B1656" t="str">
        <f>HYPERLINK("https://bugs.eclipse.org/bugs/show_bug.cgi?id=54153", "54153")</f>
        <v>54153</v>
      </c>
      <c r="C1656" t="s">
        <v>149</v>
      </c>
      <c r="D1656" t="s">
        <v>10</v>
      </c>
      <c r="E1656" t="s">
        <v>12</v>
      </c>
      <c r="F1656" t="s">
        <v>26</v>
      </c>
      <c r="L1656" t="s">
        <v>7581</v>
      </c>
      <c r="N1656" t="s">
        <v>7581</v>
      </c>
      <c r="T1656" t="s">
        <v>7582</v>
      </c>
      <c r="U1656" t="s">
        <v>7583</v>
      </c>
      <c r="V1656" t="s">
        <v>7581</v>
      </c>
      <c r="W1656" t="s">
        <v>86</v>
      </c>
      <c r="X1656" t="s">
        <v>7584</v>
      </c>
      <c r="Y1656">
        <v>2</v>
      </c>
      <c r="Z1656">
        <v>13</v>
      </c>
    </row>
    <row r="1657" spans="1:26">
      <c r="A1657" s="1">
        <v>1655</v>
      </c>
      <c r="B1657" t="str">
        <f>HYPERLINK("https://bugs.eclipse.org/bugs/show_bug.cgi?id=54164", "54164")</f>
        <v>54164</v>
      </c>
      <c r="C1657" t="s">
        <v>140</v>
      </c>
      <c r="D1657" t="s">
        <v>10</v>
      </c>
      <c r="E1657" t="s">
        <v>16</v>
      </c>
      <c r="F1657" t="s">
        <v>26</v>
      </c>
      <c r="L1657" t="s">
        <v>7585</v>
      </c>
      <c r="R1657" t="s">
        <v>7585</v>
      </c>
      <c r="T1657" t="s">
        <v>7586</v>
      </c>
      <c r="U1657" t="s">
        <v>7587</v>
      </c>
      <c r="V1657" t="s">
        <v>7585</v>
      </c>
      <c r="W1657" t="s">
        <v>86</v>
      </c>
      <c r="X1657" t="s">
        <v>7588</v>
      </c>
      <c r="Y1657">
        <v>2</v>
      </c>
      <c r="Z1657">
        <v>69.958333333333329</v>
      </c>
    </row>
    <row r="1658" spans="1:26">
      <c r="A1658" s="1">
        <v>1656</v>
      </c>
      <c r="B1658" t="str">
        <f>HYPERLINK("https://bugs.eclipse.org/bugs/show_bug.cgi?id=54170", "54170")</f>
        <v>54170</v>
      </c>
      <c r="C1658" t="s">
        <v>149</v>
      </c>
      <c r="D1658" t="s">
        <v>10</v>
      </c>
      <c r="E1658" t="s">
        <v>12</v>
      </c>
      <c r="F1658" t="s">
        <v>26</v>
      </c>
      <c r="L1658" t="s">
        <v>7589</v>
      </c>
      <c r="N1658" t="s">
        <v>7589</v>
      </c>
      <c r="T1658" t="s">
        <v>7590</v>
      </c>
      <c r="U1658" t="s">
        <v>7591</v>
      </c>
      <c r="V1658" t="s">
        <v>7589</v>
      </c>
      <c r="W1658" t="s">
        <v>851</v>
      </c>
      <c r="X1658" t="s">
        <v>7592</v>
      </c>
      <c r="Y1658">
        <v>0</v>
      </c>
      <c r="Z1658">
        <v>64.958333333333329</v>
      </c>
    </row>
    <row r="1659" spans="1:26">
      <c r="A1659" s="1">
        <v>1657</v>
      </c>
      <c r="B1659" t="str">
        <f>HYPERLINK("https://bugs.eclipse.org/bugs/show_bug.cgi?id=54247", "54247")</f>
        <v>54247</v>
      </c>
      <c r="C1659" t="s">
        <v>149</v>
      </c>
      <c r="D1659" t="s">
        <v>10</v>
      </c>
      <c r="E1659" t="s">
        <v>12</v>
      </c>
      <c r="F1659" t="s">
        <v>26</v>
      </c>
      <c r="L1659" t="s">
        <v>7593</v>
      </c>
      <c r="N1659" t="s">
        <v>7593</v>
      </c>
      <c r="T1659" t="s">
        <v>7594</v>
      </c>
      <c r="U1659" t="s">
        <v>7595</v>
      </c>
      <c r="V1659" t="s">
        <v>7593</v>
      </c>
      <c r="W1659" t="s">
        <v>86</v>
      </c>
      <c r="X1659" t="s">
        <v>7596</v>
      </c>
      <c r="Y1659">
        <v>1</v>
      </c>
      <c r="Z1659">
        <v>48.958333333333343</v>
      </c>
    </row>
    <row r="1660" spans="1:26">
      <c r="A1660" s="1">
        <v>1658</v>
      </c>
      <c r="B1660" t="str">
        <f>HYPERLINK("https://bugs.eclipse.org/bugs/show_bug.cgi?id=54249", "54249")</f>
        <v>54249</v>
      </c>
      <c r="C1660" t="s">
        <v>35</v>
      </c>
      <c r="D1660" t="s">
        <v>11</v>
      </c>
      <c r="E1660" t="s">
        <v>12</v>
      </c>
      <c r="F1660" t="s">
        <v>26</v>
      </c>
      <c r="L1660" t="s">
        <v>7597</v>
      </c>
      <c r="M1660" t="s">
        <v>7598</v>
      </c>
      <c r="N1660" t="s">
        <v>7597</v>
      </c>
      <c r="T1660" t="s">
        <v>7599</v>
      </c>
      <c r="U1660" t="s">
        <v>7597</v>
      </c>
      <c r="V1660" t="s">
        <v>7598</v>
      </c>
      <c r="W1660" t="s">
        <v>40</v>
      </c>
      <c r="X1660" t="s">
        <v>7600</v>
      </c>
      <c r="Y1660">
        <v>0</v>
      </c>
      <c r="Z1660">
        <v>16</v>
      </c>
    </row>
    <row r="1661" spans="1:26">
      <c r="A1661" s="1">
        <v>1659</v>
      </c>
      <c r="B1661" t="str">
        <f>HYPERLINK("https://bugs.eclipse.org/bugs/show_bug.cgi?id=54293", "54293")</f>
        <v>54293</v>
      </c>
      <c r="C1661" t="s">
        <v>2160</v>
      </c>
      <c r="D1661" t="s">
        <v>192</v>
      </c>
      <c r="E1661" t="s">
        <v>16</v>
      </c>
      <c r="F1661" t="s">
        <v>26</v>
      </c>
      <c r="L1661" t="s">
        <v>7601</v>
      </c>
      <c r="R1661" t="s">
        <v>7601</v>
      </c>
      <c r="T1661" t="s">
        <v>7602</v>
      </c>
      <c r="U1661" t="s">
        <v>7603</v>
      </c>
      <c r="V1661" t="s">
        <v>7604</v>
      </c>
      <c r="W1661" t="s">
        <v>7605</v>
      </c>
      <c r="X1661" t="s">
        <v>7606</v>
      </c>
      <c r="Y1661">
        <v>6</v>
      </c>
      <c r="Z1661">
        <v>7</v>
      </c>
    </row>
    <row r="1662" spans="1:26">
      <c r="A1662" s="1">
        <v>1660</v>
      </c>
      <c r="B1662" t="str">
        <f>HYPERLINK("https://bugs.eclipse.org/bugs/show_bug.cgi?id=54295", "54295")</f>
        <v>54295</v>
      </c>
      <c r="C1662" t="s">
        <v>56</v>
      </c>
      <c r="D1662" t="s">
        <v>10</v>
      </c>
      <c r="E1662" t="s">
        <v>14</v>
      </c>
      <c r="F1662" t="s">
        <v>26</v>
      </c>
      <c r="L1662" t="s">
        <v>7607</v>
      </c>
      <c r="P1662" t="s">
        <v>7608</v>
      </c>
      <c r="T1662" t="s">
        <v>7609</v>
      </c>
      <c r="U1662" t="s">
        <v>7610</v>
      </c>
      <c r="V1662" t="s">
        <v>7608</v>
      </c>
      <c r="W1662" t="s">
        <v>75</v>
      </c>
      <c r="X1662" t="s">
        <v>7611</v>
      </c>
      <c r="Y1662">
        <v>1</v>
      </c>
      <c r="Z1662">
        <v>1998.958333333333</v>
      </c>
    </row>
    <row r="1663" spans="1:26">
      <c r="A1663" s="1">
        <v>1661</v>
      </c>
      <c r="B1663" t="str">
        <f>HYPERLINK("https://bugs.eclipse.org/bugs/show_bug.cgi?id=54334", "54334")</f>
        <v>54334</v>
      </c>
      <c r="C1663" t="s">
        <v>149</v>
      </c>
      <c r="D1663" t="s">
        <v>10</v>
      </c>
      <c r="E1663" t="s">
        <v>12</v>
      </c>
      <c r="F1663" t="s">
        <v>26</v>
      </c>
      <c r="L1663" t="s">
        <v>7612</v>
      </c>
      <c r="N1663" t="s">
        <v>7612</v>
      </c>
      <c r="T1663" t="s">
        <v>7613</v>
      </c>
      <c r="U1663" t="s">
        <v>7612</v>
      </c>
      <c r="V1663" t="s">
        <v>7614</v>
      </c>
      <c r="W1663" t="s">
        <v>86</v>
      </c>
      <c r="X1663" t="s">
        <v>7615</v>
      </c>
      <c r="Y1663">
        <v>0</v>
      </c>
      <c r="Z1663">
        <v>0</v>
      </c>
    </row>
    <row r="1664" spans="1:26">
      <c r="A1664" s="1">
        <v>1662</v>
      </c>
      <c r="B1664" t="str">
        <f>HYPERLINK("https://bugs.eclipse.org/bugs/show_bug.cgi?id=54362", "54362")</f>
        <v>54362</v>
      </c>
      <c r="C1664" t="s">
        <v>149</v>
      </c>
      <c r="D1664" t="s">
        <v>10</v>
      </c>
      <c r="E1664" t="s">
        <v>12</v>
      </c>
      <c r="F1664" t="s">
        <v>26</v>
      </c>
      <c r="G1664" t="s">
        <v>7616</v>
      </c>
      <c r="L1664" t="s">
        <v>7617</v>
      </c>
      <c r="N1664" t="s">
        <v>7617</v>
      </c>
      <c r="T1664" t="s">
        <v>7618</v>
      </c>
      <c r="U1664" t="s">
        <v>7619</v>
      </c>
      <c r="V1664" t="s">
        <v>7617</v>
      </c>
      <c r="W1664" t="s">
        <v>851</v>
      </c>
      <c r="X1664" t="s">
        <v>7620</v>
      </c>
      <c r="Y1664">
        <v>0</v>
      </c>
      <c r="Z1664">
        <v>60.958333333333343</v>
      </c>
    </row>
    <row r="1665" spans="1:26">
      <c r="A1665" s="1">
        <v>1663</v>
      </c>
      <c r="B1665" t="str">
        <f>HYPERLINK("https://bugs.eclipse.org/bugs/show_bug.cgi?id=54365", "54365")</f>
        <v>54365</v>
      </c>
      <c r="C1665" t="s">
        <v>7621</v>
      </c>
      <c r="D1665" t="s">
        <v>10</v>
      </c>
      <c r="E1665" t="s">
        <v>15</v>
      </c>
      <c r="F1665" t="s">
        <v>26</v>
      </c>
      <c r="L1665" t="s">
        <v>7622</v>
      </c>
      <c r="Q1665" t="s">
        <v>7622</v>
      </c>
      <c r="T1665" t="s">
        <v>7623</v>
      </c>
      <c r="U1665" t="s">
        <v>7624</v>
      </c>
      <c r="V1665" t="s">
        <v>7622</v>
      </c>
      <c r="W1665" t="s">
        <v>851</v>
      </c>
      <c r="X1665" t="s">
        <v>7625</v>
      </c>
      <c r="Y1665">
        <v>0</v>
      </c>
      <c r="Z1665">
        <v>62.958333333333343</v>
      </c>
    </row>
    <row r="1666" spans="1:26">
      <c r="A1666" s="1">
        <v>1664</v>
      </c>
      <c r="B1666" t="str">
        <f>HYPERLINK("https://bugs.eclipse.org/bugs/show_bug.cgi?id=54418", "54418")</f>
        <v>54418</v>
      </c>
      <c r="C1666" t="s">
        <v>56</v>
      </c>
      <c r="D1666" t="s">
        <v>10</v>
      </c>
      <c r="E1666" t="s">
        <v>14</v>
      </c>
      <c r="F1666" t="s">
        <v>51</v>
      </c>
      <c r="L1666" t="s">
        <v>7626</v>
      </c>
      <c r="P1666" t="s">
        <v>7627</v>
      </c>
      <c r="T1666" t="s">
        <v>7628</v>
      </c>
      <c r="U1666" t="s">
        <v>7629</v>
      </c>
      <c r="V1666" t="s">
        <v>7627</v>
      </c>
      <c r="W1666" t="s">
        <v>80</v>
      </c>
      <c r="X1666" t="s">
        <v>7630</v>
      </c>
      <c r="Y1666">
        <v>0</v>
      </c>
      <c r="Z1666">
        <v>1997.958333333333</v>
      </c>
    </row>
    <row r="1667" spans="1:26">
      <c r="A1667" s="1">
        <v>1665</v>
      </c>
      <c r="B1667" t="str">
        <f>HYPERLINK("https://bugs.eclipse.org/bugs/show_bug.cgi?id=54439", "54439")</f>
        <v>54439</v>
      </c>
      <c r="C1667" t="s">
        <v>7631</v>
      </c>
      <c r="D1667" t="s">
        <v>10</v>
      </c>
      <c r="E1667" t="s">
        <v>15</v>
      </c>
      <c r="F1667" t="s">
        <v>26</v>
      </c>
      <c r="L1667" t="s">
        <v>7632</v>
      </c>
      <c r="Q1667" t="s">
        <v>7632</v>
      </c>
      <c r="T1667" t="s">
        <v>7633</v>
      </c>
      <c r="U1667" t="s">
        <v>7634</v>
      </c>
      <c r="V1667" t="s">
        <v>7632</v>
      </c>
      <c r="W1667" t="s">
        <v>7635</v>
      </c>
      <c r="X1667" t="s">
        <v>7636</v>
      </c>
      <c r="Y1667">
        <v>13</v>
      </c>
      <c r="Z1667">
        <v>38.958333333333343</v>
      </c>
    </row>
    <row r="1668" spans="1:26">
      <c r="A1668" s="1">
        <v>1666</v>
      </c>
      <c r="B1668" t="str">
        <f>HYPERLINK("https://bugs.eclipse.org/bugs/show_bug.cgi?id=54444", "54444")</f>
        <v>54444</v>
      </c>
      <c r="C1668" t="s">
        <v>149</v>
      </c>
      <c r="D1668" t="s">
        <v>10</v>
      </c>
      <c r="E1668" t="s">
        <v>12</v>
      </c>
      <c r="F1668" t="s">
        <v>26</v>
      </c>
      <c r="G1668" t="s">
        <v>7637</v>
      </c>
      <c r="L1668" t="s">
        <v>7638</v>
      </c>
      <c r="N1668" t="s">
        <v>7638</v>
      </c>
      <c r="T1668" t="s">
        <v>7639</v>
      </c>
      <c r="U1668" t="s">
        <v>7640</v>
      </c>
      <c r="V1668" t="s">
        <v>7641</v>
      </c>
      <c r="W1668" t="s">
        <v>851</v>
      </c>
      <c r="X1668" t="s">
        <v>7642</v>
      </c>
      <c r="Y1668">
        <v>4</v>
      </c>
      <c r="Z1668">
        <v>67.958333333333329</v>
      </c>
    </row>
    <row r="1669" spans="1:26">
      <c r="A1669" s="1">
        <v>1667</v>
      </c>
      <c r="B1669" t="str">
        <f>HYPERLINK("https://bugs.eclipse.org/bugs/show_bug.cgi?id=54457", "54457")</f>
        <v>54457</v>
      </c>
      <c r="C1669" t="s">
        <v>149</v>
      </c>
      <c r="D1669" t="s">
        <v>10</v>
      </c>
      <c r="E1669" t="s">
        <v>12</v>
      </c>
      <c r="F1669" t="s">
        <v>26</v>
      </c>
      <c r="G1669" t="s">
        <v>7643</v>
      </c>
      <c r="L1669" t="s">
        <v>7644</v>
      </c>
      <c r="N1669" t="s">
        <v>7644</v>
      </c>
      <c r="T1669" t="s">
        <v>7645</v>
      </c>
      <c r="U1669" t="s">
        <v>7646</v>
      </c>
      <c r="V1669" t="s">
        <v>7644</v>
      </c>
      <c r="W1669" t="s">
        <v>851</v>
      </c>
      <c r="X1669" t="s">
        <v>7647</v>
      </c>
      <c r="Y1669">
        <v>7</v>
      </c>
      <c r="Z1669">
        <v>52.958333333333343</v>
      </c>
    </row>
    <row r="1670" spans="1:26">
      <c r="A1670" s="1">
        <v>1668</v>
      </c>
      <c r="B1670" t="str">
        <f>HYPERLINK("https://bugs.eclipse.org/bugs/show_bug.cgi?id=54470", "54470")</f>
        <v>54470</v>
      </c>
      <c r="C1670" t="s">
        <v>149</v>
      </c>
      <c r="D1670" t="s">
        <v>10</v>
      </c>
      <c r="E1670" t="s">
        <v>12</v>
      </c>
      <c r="F1670" t="s">
        <v>26</v>
      </c>
      <c r="G1670" t="s">
        <v>7648</v>
      </c>
      <c r="L1670" t="s">
        <v>7649</v>
      </c>
      <c r="N1670" t="s">
        <v>7649</v>
      </c>
      <c r="T1670" t="s">
        <v>7650</v>
      </c>
      <c r="U1670" t="s">
        <v>7651</v>
      </c>
      <c r="V1670" t="s">
        <v>7649</v>
      </c>
      <c r="W1670" t="s">
        <v>49</v>
      </c>
      <c r="X1670" t="s">
        <v>7652</v>
      </c>
      <c r="Y1670">
        <v>4</v>
      </c>
      <c r="Z1670">
        <v>4</v>
      </c>
    </row>
    <row r="1671" spans="1:26">
      <c r="A1671" s="1">
        <v>1669</v>
      </c>
      <c r="B1671" t="str">
        <f>HYPERLINK("https://bugs.eclipse.org/bugs/show_bug.cgi?id=54620", "54620")</f>
        <v>54620</v>
      </c>
      <c r="C1671" t="s">
        <v>7653</v>
      </c>
      <c r="D1671" t="s">
        <v>10</v>
      </c>
      <c r="E1671" t="s">
        <v>15</v>
      </c>
      <c r="F1671" t="s">
        <v>26</v>
      </c>
      <c r="L1671" t="s">
        <v>7185</v>
      </c>
      <c r="Q1671" t="s">
        <v>7185</v>
      </c>
      <c r="T1671" t="s">
        <v>7654</v>
      </c>
      <c r="U1671" t="s">
        <v>7655</v>
      </c>
      <c r="V1671" t="s">
        <v>7185</v>
      </c>
      <c r="W1671" t="s">
        <v>851</v>
      </c>
      <c r="X1671" t="s">
        <v>7656</v>
      </c>
      <c r="Y1671">
        <v>3</v>
      </c>
      <c r="Z1671">
        <v>3</v>
      </c>
    </row>
    <row r="1672" spans="1:26">
      <c r="A1672" s="1">
        <v>1670</v>
      </c>
      <c r="B1672" t="str">
        <f>HYPERLINK("https://bugs.eclipse.org/bugs/show_bug.cgi?id=54655", "54655")</f>
        <v>54655</v>
      </c>
      <c r="C1672" t="s">
        <v>56</v>
      </c>
      <c r="D1672" t="s">
        <v>10</v>
      </c>
      <c r="E1672" t="s">
        <v>14</v>
      </c>
      <c r="F1672" t="s">
        <v>26</v>
      </c>
      <c r="L1672" t="s">
        <v>7657</v>
      </c>
      <c r="P1672" t="s">
        <v>7657</v>
      </c>
      <c r="T1672" t="s">
        <v>7658</v>
      </c>
      <c r="U1672" t="s">
        <v>7659</v>
      </c>
      <c r="V1672" t="s">
        <v>7657</v>
      </c>
      <c r="W1672" t="s">
        <v>49</v>
      </c>
      <c r="X1672" t="s">
        <v>7660</v>
      </c>
      <c r="Y1672">
        <v>3</v>
      </c>
      <c r="Z1672">
        <v>821.95833333333337</v>
      </c>
    </row>
    <row r="1673" spans="1:26">
      <c r="A1673" s="1">
        <v>1671</v>
      </c>
      <c r="B1673" t="str">
        <f>HYPERLINK("https://bugs.eclipse.org/bugs/show_bug.cgi?id=54744", "54744")</f>
        <v>54744</v>
      </c>
      <c r="C1673" t="s">
        <v>56</v>
      </c>
      <c r="D1673" t="s">
        <v>10</v>
      </c>
      <c r="E1673" t="s">
        <v>14</v>
      </c>
      <c r="F1673" t="s">
        <v>51</v>
      </c>
      <c r="L1673" t="s">
        <v>7661</v>
      </c>
      <c r="P1673" t="s">
        <v>7662</v>
      </c>
      <c r="T1673" t="s">
        <v>7663</v>
      </c>
      <c r="U1673" t="s">
        <v>7664</v>
      </c>
      <c r="V1673" t="s">
        <v>7662</v>
      </c>
      <c r="W1673" t="s">
        <v>80</v>
      </c>
      <c r="X1673" t="s">
        <v>7665</v>
      </c>
      <c r="Y1673">
        <v>1</v>
      </c>
      <c r="Z1673">
        <v>1995.958333333333</v>
      </c>
    </row>
    <row r="1674" spans="1:26">
      <c r="A1674" s="1">
        <v>1672</v>
      </c>
      <c r="B1674" t="str">
        <f>HYPERLINK("https://bugs.eclipse.org/bugs/show_bug.cgi?id=54793", "54793")</f>
        <v>54793</v>
      </c>
      <c r="C1674" t="s">
        <v>149</v>
      </c>
      <c r="D1674" t="s">
        <v>10</v>
      </c>
      <c r="E1674" t="s">
        <v>12</v>
      </c>
      <c r="F1674" t="s">
        <v>26</v>
      </c>
      <c r="L1674" t="s">
        <v>7666</v>
      </c>
      <c r="N1674" t="s">
        <v>7666</v>
      </c>
      <c r="T1674" t="s">
        <v>7667</v>
      </c>
      <c r="U1674" t="s">
        <v>7668</v>
      </c>
      <c r="V1674" t="s">
        <v>7666</v>
      </c>
      <c r="W1674" t="s">
        <v>86</v>
      </c>
      <c r="X1674" t="s">
        <v>7669</v>
      </c>
      <c r="Y1674">
        <v>1</v>
      </c>
      <c r="Z1674">
        <v>49.958333333333343</v>
      </c>
    </row>
    <row r="1675" spans="1:26">
      <c r="A1675" s="1">
        <v>1673</v>
      </c>
      <c r="B1675" t="str">
        <f>HYPERLINK("https://bugs.eclipse.org/bugs/show_bug.cgi?id=54797", "54797")</f>
        <v>54797</v>
      </c>
      <c r="C1675" t="s">
        <v>149</v>
      </c>
      <c r="D1675" t="s">
        <v>10</v>
      </c>
      <c r="E1675" t="s">
        <v>12</v>
      </c>
      <c r="F1675" t="s">
        <v>26</v>
      </c>
      <c r="L1675" t="s">
        <v>7670</v>
      </c>
      <c r="N1675" t="s">
        <v>7670</v>
      </c>
      <c r="T1675" t="s">
        <v>7671</v>
      </c>
      <c r="U1675" t="s">
        <v>7672</v>
      </c>
      <c r="V1675" t="s">
        <v>7670</v>
      </c>
      <c r="W1675" t="s">
        <v>851</v>
      </c>
      <c r="X1675" t="s">
        <v>7673</v>
      </c>
      <c r="Y1675">
        <v>0</v>
      </c>
      <c r="Z1675">
        <v>0</v>
      </c>
    </row>
    <row r="1676" spans="1:26">
      <c r="A1676" s="1">
        <v>1674</v>
      </c>
      <c r="B1676" t="str">
        <f>HYPERLINK("https://bugs.eclipse.org/bugs/show_bug.cgi?id=54806", "54806")</f>
        <v>54806</v>
      </c>
      <c r="C1676" t="s">
        <v>149</v>
      </c>
      <c r="D1676" t="s">
        <v>10</v>
      </c>
      <c r="E1676" t="s">
        <v>12</v>
      </c>
      <c r="F1676" t="s">
        <v>26</v>
      </c>
      <c r="L1676" t="s">
        <v>7674</v>
      </c>
      <c r="N1676" t="s">
        <v>7674</v>
      </c>
      <c r="T1676" t="s">
        <v>7675</v>
      </c>
      <c r="U1676" t="s">
        <v>7676</v>
      </c>
      <c r="V1676" t="s">
        <v>7674</v>
      </c>
      <c r="W1676" t="s">
        <v>851</v>
      </c>
      <c r="X1676" t="s">
        <v>7677</v>
      </c>
      <c r="Y1676">
        <v>0</v>
      </c>
      <c r="Z1676">
        <v>0</v>
      </c>
    </row>
    <row r="1677" spans="1:26">
      <c r="A1677" s="1">
        <v>1675</v>
      </c>
      <c r="B1677" t="str">
        <f>HYPERLINK("https://bugs.eclipse.org/bugs/show_bug.cgi?id=54831", "54831")</f>
        <v>54831</v>
      </c>
      <c r="C1677" t="s">
        <v>149</v>
      </c>
      <c r="D1677" t="s">
        <v>10</v>
      </c>
      <c r="E1677" t="s">
        <v>12</v>
      </c>
      <c r="F1677" t="s">
        <v>26</v>
      </c>
      <c r="L1677" t="s">
        <v>7678</v>
      </c>
      <c r="N1677" t="s">
        <v>7678</v>
      </c>
      <c r="T1677" t="s">
        <v>7679</v>
      </c>
      <c r="U1677" t="s">
        <v>7680</v>
      </c>
      <c r="V1677" t="s">
        <v>7678</v>
      </c>
      <c r="W1677" t="s">
        <v>86</v>
      </c>
      <c r="X1677" t="s">
        <v>7681</v>
      </c>
      <c r="Y1677">
        <v>1</v>
      </c>
      <c r="Z1677">
        <v>435.95833333333331</v>
      </c>
    </row>
    <row r="1678" spans="1:26">
      <c r="A1678" s="1">
        <v>1676</v>
      </c>
      <c r="B1678" t="str">
        <f>HYPERLINK("https://bugs.eclipse.org/bugs/show_bug.cgi?id=54832", "54832")</f>
        <v>54832</v>
      </c>
      <c r="C1678" t="s">
        <v>149</v>
      </c>
      <c r="D1678" t="s">
        <v>10</v>
      </c>
      <c r="E1678" t="s">
        <v>12</v>
      </c>
      <c r="F1678" t="s">
        <v>26</v>
      </c>
      <c r="L1678" t="s">
        <v>7682</v>
      </c>
      <c r="N1678" t="s">
        <v>7682</v>
      </c>
      <c r="T1678" t="s">
        <v>7683</v>
      </c>
      <c r="U1678" t="s">
        <v>7684</v>
      </c>
      <c r="V1678" t="s">
        <v>7682</v>
      </c>
      <c r="W1678" t="s">
        <v>86</v>
      </c>
      <c r="X1678" t="s">
        <v>7685</v>
      </c>
      <c r="Y1678">
        <v>1</v>
      </c>
      <c r="Z1678">
        <v>52.958333333333343</v>
      </c>
    </row>
    <row r="1679" spans="1:26">
      <c r="A1679" s="1">
        <v>1677</v>
      </c>
      <c r="B1679" t="str">
        <f>HYPERLINK("https://bugs.eclipse.org/bugs/show_bug.cgi?id=54947", "54947")</f>
        <v>54947</v>
      </c>
      <c r="C1679" t="s">
        <v>7686</v>
      </c>
      <c r="D1679" t="s">
        <v>10</v>
      </c>
      <c r="E1679" t="s">
        <v>15</v>
      </c>
      <c r="F1679" t="s">
        <v>26</v>
      </c>
      <c r="L1679" t="s">
        <v>7687</v>
      </c>
      <c r="Q1679" t="s">
        <v>7687</v>
      </c>
      <c r="T1679" t="s">
        <v>7688</v>
      </c>
      <c r="U1679" t="s">
        <v>7689</v>
      </c>
      <c r="V1679" t="s">
        <v>7687</v>
      </c>
      <c r="W1679" t="s">
        <v>86</v>
      </c>
      <c r="X1679" t="s">
        <v>7690</v>
      </c>
      <c r="Y1679">
        <v>0</v>
      </c>
      <c r="Z1679">
        <v>0</v>
      </c>
    </row>
    <row r="1680" spans="1:26">
      <c r="A1680" s="1">
        <v>1678</v>
      </c>
      <c r="B1680" t="str">
        <f>HYPERLINK("https://bugs.eclipse.org/bugs/show_bug.cgi?id=54958", "54958")</f>
        <v>54958</v>
      </c>
      <c r="C1680" t="s">
        <v>7691</v>
      </c>
      <c r="D1680" t="s">
        <v>10</v>
      </c>
      <c r="E1680" t="s">
        <v>15</v>
      </c>
      <c r="F1680" t="s">
        <v>51</v>
      </c>
      <c r="L1680" t="s">
        <v>7692</v>
      </c>
      <c r="Q1680" t="s">
        <v>7692</v>
      </c>
      <c r="T1680" t="s">
        <v>7693</v>
      </c>
      <c r="U1680" t="s">
        <v>7694</v>
      </c>
      <c r="V1680" t="s">
        <v>7692</v>
      </c>
      <c r="W1680" t="s">
        <v>49</v>
      </c>
      <c r="X1680" t="s">
        <v>7695</v>
      </c>
      <c r="Y1680">
        <v>0</v>
      </c>
      <c r="Z1680">
        <v>1531.958333333333</v>
      </c>
    </row>
    <row r="1681" spans="1:26">
      <c r="A1681" s="1">
        <v>1679</v>
      </c>
      <c r="B1681" t="str">
        <f>HYPERLINK("https://bugs.eclipse.org/bugs/show_bug.cgi?id=54969", "54969")</f>
        <v>54969</v>
      </c>
      <c r="C1681" t="s">
        <v>140</v>
      </c>
      <c r="D1681" t="s">
        <v>10</v>
      </c>
      <c r="E1681" t="s">
        <v>16</v>
      </c>
      <c r="F1681" t="s">
        <v>26</v>
      </c>
      <c r="L1681" t="s">
        <v>7696</v>
      </c>
      <c r="R1681" t="s">
        <v>7696</v>
      </c>
      <c r="T1681" t="s">
        <v>7697</v>
      </c>
      <c r="U1681" t="s">
        <v>7696</v>
      </c>
      <c r="V1681" t="s">
        <v>7696</v>
      </c>
      <c r="W1681" t="s">
        <v>851</v>
      </c>
      <c r="X1681" t="s">
        <v>7698</v>
      </c>
      <c r="Y1681">
        <v>0</v>
      </c>
      <c r="Z1681">
        <v>0</v>
      </c>
    </row>
    <row r="1682" spans="1:26">
      <c r="A1682" s="1">
        <v>1680</v>
      </c>
      <c r="B1682" t="str">
        <f>HYPERLINK("https://bugs.eclipse.org/bugs/show_bug.cgi?id=55203", "55203")</f>
        <v>55203</v>
      </c>
      <c r="C1682" t="s">
        <v>6539</v>
      </c>
      <c r="D1682" t="s">
        <v>10</v>
      </c>
      <c r="E1682" t="s">
        <v>15</v>
      </c>
      <c r="F1682" t="s">
        <v>26</v>
      </c>
      <c r="L1682" t="s">
        <v>7699</v>
      </c>
      <c r="Q1682" t="s">
        <v>7699</v>
      </c>
      <c r="T1682" t="s">
        <v>7700</v>
      </c>
      <c r="U1682" t="s">
        <v>7699</v>
      </c>
      <c r="V1682" t="s">
        <v>7699</v>
      </c>
      <c r="W1682" t="s">
        <v>49</v>
      </c>
      <c r="X1682" t="s">
        <v>7701</v>
      </c>
      <c r="Y1682">
        <v>1</v>
      </c>
      <c r="Z1682">
        <v>1</v>
      </c>
    </row>
    <row r="1683" spans="1:26">
      <c r="A1683" s="1">
        <v>1681</v>
      </c>
      <c r="B1683" t="str">
        <f>HYPERLINK("https://bugs.eclipse.org/bugs/show_bug.cgi?id=55216", "55216")</f>
        <v>55216</v>
      </c>
      <c r="C1683" t="s">
        <v>4692</v>
      </c>
      <c r="D1683" t="s">
        <v>4692</v>
      </c>
      <c r="F1683" t="s">
        <v>26</v>
      </c>
      <c r="T1683" t="s">
        <v>7702</v>
      </c>
      <c r="U1683" t="s">
        <v>7703</v>
      </c>
      <c r="V1683" t="s">
        <v>7704</v>
      </c>
      <c r="W1683" t="s">
        <v>2293</v>
      </c>
      <c r="X1683" t="s">
        <v>7705</v>
      </c>
      <c r="Y1683">
        <v>1</v>
      </c>
    </row>
    <row r="1684" spans="1:26">
      <c r="A1684" s="1">
        <v>1682</v>
      </c>
      <c r="B1684" t="str">
        <f>HYPERLINK("https://bugs.eclipse.org/bugs/show_bug.cgi?id=55219", "55219")</f>
        <v>55219</v>
      </c>
      <c r="C1684" t="s">
        <v>149</v>
      </c>
      <c r="D1684" t="s">
        <v>10</v>
      </c>
      <c r="E1684" t="s">
        <v>12</v>
      </c>
      <c r="F1684" t="s">
        <v>26</v>
      </c>
      <c r="L1684" t="s">
        <v>7706</v>
      </c>
      <c r="N1684" t="s">
        <v>7706</v>
      </c>
      <c r="T1684" t="s">
        <v>7707</v>
      </c>
      <c r="U1684" t="s">
        <v>7708</v>
      </c>
      <c r="V1684" t="s">
        <v>7706</v>
      </c>
      <c r="W1684" t="s">
        <v>851</v>
      </c>
      <c r="X1684" t="s">
        <v>7709</v>
      </c>
      <c r="Y1684">
        <v>6</v>
      </c>
      <c r="Z1684">
        <v>20.958333333333329</v>
      </c>
    </row>
    <row r="1685" spans="1:26">
      <c r="A1685" s="1">
        <v>1683</v>
      </c>
      <c r="B1685" t="str">
        <f>HYPERLINK("https://bugs.eclipse.org/bugs/show_bug.cgi?id=55480", "55480")</f>
        <v>55480</v>
      </c>
      <c r="C1685" t="s">
        <v>7631</v>
      </c>
      <c r="D1685" t="s">
        <v>10</v>
      </c>
      <c r="E1685" t="s">
        <v>15</v>
      </c>
      <c r="F1685" t="s">
        <v>26</v>
      </c>
      <c r="L1685" t="s">
        <v>7710</v>
      </c>
      <c r="Q1685" t="s">
        <v>7710</v>
      </c>
      <c r="T1685" t="s">
        <v>7711</v>
      </c>
      <c r="U1685" t="s">
        <v>7712</v>
      </c>
      <c r="V1685" t="s">
        <v>7710</v>
      </c>
      <c r="W1685" t="s">
        <v>134</v>
      </c>
      <c r="X1685" t="s">
        <v>7713</v>
      </c>
      <c r="Y1685">
        <v>0</v>
      </c>
      <c r="Z1685">
        <v>25.958333333333329</v>
      </c>
    </row>
    <row r="1686" spans="1:26">
      <c r="A1686" s="1">
        <v>1684</v>
      </c>
      <c r="B1686" t="str">
        <f>HYPERLINK("https://bugs.eclipse.org/bugs/show_bug.cgi?id=55496", "55496")</f>
        <v>55496</v>
      </c>
      <c r="C1686" t="s">
        <v>140</v>
      </c>
      <c r="D1686" t="s">
        <v>10</v>
      </c>
      <c r="E1686" t="s">
        <v>16</v>
      </c>
      <c r="F1686" t="s">
        <v>26</v>
      </c>
      <c r="L1686" t="s">
        <v>7714</v>
      </c>
      <c r="R1686" t="s">
        <v>7714</v>
      </c>
      <c r="T1686" t="s">
        <v>7715</v>
      </c>
      <c r="U1686" t="s">
        <v>7714</v>
      </c>
      <c r="V1686" t="s">
        <v>7714</v>
      </c>
      <c r="W1686" t="s">
        <v>86</v>
      </c>
      <c r="X1686" t="s">
        <v>7716</v>
      </c>
      <c r="Y1686">
        <v>1</v>
      </c>
      <c r="Z1686">
        <v>1</v>
      </c>
    </row>
    <row r="1687" spans="1:26">
      <c r="A1687" s="1">
        <v>1685</v>
      </c>
      <c r="B1687" t="str">
        <f>HYPERLINK("https://bugs.eclipse.org/bugs/show_bug.cgi?id=55502", "55502")</f>
        <v>55502</v>
      </c>
      <c r="C1687" t="s">
        <v>149</v>
      </c>
      <c r="D1687" t="s">
        <v>10</v>
      </c>
      <c r="E1687" t="s">
        <v>12</v>
      </c>
      <c r="F1687" t="s">
        <v>26</v>
      </c>
      <c r="L1687" t="s">
        <v>7717</v>
      </c>
      <c r="N1687" t="s">
        <v>7717</v>
      </c>
      <c r="T1687" t="s">
        <v>7718</v>
      </c>
      <c r="U1687" t="s">
        <v>7719</v>
      </c>
      <c r="V1687" t="s">
        <v>7717</v>
      </c>
      <c r="W1687" t="s">
        <v>851</v>
      </c>
      <c r="X1687" t="s">
        <v>7720</v>
      </c>
      <c r="Y1687">
        <v>0</v>
      </c>
      <c r="Z1687">
        <v>52.958333333333343</v>
      </c>
    </row>
    <row r="1688" spans="1:26">
      <c r="A1688" s="1">
        <v>1686</v>
      </c>
      <c r="B1688" t="str">
        <f>HYPERLINK("https://bugs.eclipse.org/bugs/show_bug.cgi?id=55503", "55503")</f>
        <v>55503</v>
      </c>
      <c r="C1688" t="s">
        <v>149</v>
      </c>
      <c r="D1688" t="s">
        <v>10</v>
      </c>
      <c r="E1688" t="s">
        <v>12</v>
      </c>
      <c r="F1688" t="s">
        <v>26</v>
      </c>
      <c r="L1688" t="s">
        <v>7721</v>
      </c>
      <c r="N1688" t="s">
        <v>7721</v>
      </c>
      <c r="T1688" t="s">
        <v>7722</v>
      </c>
      <c r="U1688" t="s">
        <v>7723</v>
      </c>
      <c r="V1688" t="s">
        <v>7721</v>
      </c>
      <c r="W1688" t="s">
        <v>49</v>
      </c>
      <c r="X1688" t="s">
        <v>7724</v>
      </c>
      <c r="Y1688">
        <v>1</v>
      </c>
      <c r="Z1688">
        <v>38.958333333333343</v>
      </c>
    </row>
    <row r="1689" spans="1:26">
      <c r="A1689" s="1">
        <v>1687</v>
      </c>
      <c r="B1689" t="str">
        <f>HYPERLINK("https://bugs.eclipse.org/bugs/show_bug.cgi?id=55527", "55527")</f>
        <v>55527</v>
      </c>
      <c r="C1689" t="s">
        <v>149</v>
      </c>
      <c r="D1689" t="s">
        <v>10</v>
      </c>
      <c r="E1689" t="s">
        <v>12</v>
      </c>
      <c r="F1689" t="s">
        <v>26</v>
      </c>
      <c r="L1689" t="s">
        <v>7725</v>
      </c>
      <c r="N1689" t="s">
        <v>7725</v>
      </c>
      <c r="T1689" t="s">
        <v>7726</v>
      </c>
      <c r="U1689" t="s">
        <v>7727</v>
      </c>
      <c r="V1689" t="s">
        <v>7725</v>
      </c>
      <c r="W1689" t="s">
        <v>86</v>
      </c>
      <c r="X1689" t="s">
        <v>7728</v>
      </c>
      <c r="Y1689">
        <v>0</v>
      </c>
      <c r="Z1689">
        <v>27.958333333333329</v>
      </c>
    </row>
    <row r="1690" spans="1:26">
      <c r="A1690" s="1">
        <v>1688</v>
      </c>
      <c r="B1690" t="str">
        <f>HYPERLINK("https://bugs.eclipse.org/bugs/show_bug.cgi?id=55528", "55528")</f>
        <v>55528</v>
      </c>
      <c r="C1690" t="s">
        <v>149</v>
      </c>
      <c r="D1690" t="s">
        <v>10</v>
      </c>
      <c r="E1690" t="s">
        <v>12</v>
      </c>
      <c r="F1690" t="s">
        <v>26</v>
      </c>
      <c r="L1690" t="s">
        <v>7729</v>
      </c>
      <c r="N1690" t="s">
        <v>7729</v>
      </c>
      <c r="T1690" t="s">
        <v>7730</v>
      </c>
      <c r="U1690" t="s">
        <v>7731</v>
      </c>
      <c r="V1690" t="s">
        <v>7729</v>
      </c>
      <c r="W1690" t="s">
        <v>86</v>
      </c>
      <c r="X1690" t="s">
        <v>7732</v>
      </c>
      <c r="Y1690">
        <v>0</v>
      </c>
      <c r="Z1690">
        <v>36.958333333333343</v>
      </c>
    </row>
    <row r="1691" spans="1:26">
      <c r="A1691" s="1">
        <v>1689</v>
      </c>
      <c r="B1691" t="str">
        <f>HYPERLINK("https://bugs.eclipse.org/bugs/show_bug.cgi?id=55845", "55845")</f>
        <v>55845</v>
      </c>
      <c r="C1691" t="s">
        <v>35</v>
      </c>
      <c r="D1691" t="s">
        <v>11</v>
      </c>
      <c r="E1691" t="s">
        <v>12</v>
      </c>
      <c r="F1691" t="s">
        <v>150</v>
      </c>
      <c r="G1691" t="s">
        <v>7733</v>
      </c>
      <c r="L1691" t="s">
        <v>7734</v>
      </c>
      <c r="M1691" t="s">
        <v>7735</v>
      </c>
      <c r="N1691" t="s">
        <v>7734</v>
      </c>
      <c r="T1691" t="s">
        <v>7736</v>
      </c>
      <c r="U1691" t="s">
        <v>7737</v>
      </c>
      <c r="V1691" t="s">
        <v>7735</v>
      </c>
      <c r="W1691" t="s">
        <v>1161</v>
      </c>
      <c r="X1691" t="s">
        <v>7738</v>
      </c>
      <c r="Y1691">
        <v>0</v>
      </c>
      <c r="Z1691">
        <v>55.958333333333343</v>
      </c>
    </row>
    <row r="1692" spans="1:26">
      <c r="A1692" s="1">
        <v>1690</v>
      </c>
      <c r="B1692" t="str">
        <f>HYPERLINK("https://bugs.eclipse.org/bugs/show_bug.cgi?id=55852", "55852")</f>
        <v>55852</v>
      </c>
      <c r="C1692" t="s">
        <v>149</v>
      </c>
      <c r="D1692" t="s">
        <v>10</v>
      </c>
      <c r="E1692" t="s">
        <v>12</v>
      </c>
      <c r="F1692" t="s">
        <v>26</v>
      </c>
      <c r="L1692" t="s">
        <v>7739</v>
      </c>
      <c r="N1692" t="s">
        <v>7739</v>
      </c>
      <c r="T1692" t="s">
        <v>7740</v>
      </c>
      <c r="U1692" t="s">
        <v>7741</v>
      </c>
      <c r="V1692" t="s">
        <v>7739</v>
      </c>
      <c r="W1692" t="s">
        <v>86</v>
      </c>
      <c r="X1692" t="s">
        <v>7742</v>
      </c>
      <c r="Y1692">
        <v>0</v>
      </c>
      <c r="Z1692">
        <v>57.958333333333343</v>
      </c>
    </row>
    <row r="1693" spans="1:26">
      <c r="A1693" s="1">
        <v>1691</v>
      </c>
      <c r="B1693" t="str">
        <f>HYPERLINK("https://bugs.eclipse.org/bugs/show_bug.cgi?id=55856", "55856")</f>
        <v>55856</v>
      </c>
      <c r="C1693" t="s">
        <v>149</v>
      </c>
      <c r="D1693" t="s">
        <v>10</v>
      </c>
      <c r="E1693" t="s">
        <v>12</v>
      </c>
      <c r="F1693" t="s">
        <v>26</v>
      </c>
      <c r="L1693" t="s">
        <v>7743</v>
      </c>
      <c r="N1693" t="s">
        <v>7743</v>
      </c>
      <c r="T1693" t="s">
        <v>7744</v>
      </c>
      <c r="U1693" t="s">
        <v>7745</v>
      </c>
      <c r="V1693" t="s">
        <v>7743</v>
      </c>
      <c r="W1693" t="s">
        <v>86</v>
      </c>
      <c r="X1693" t="s">
        <v>7746</v>
      </c>
      <c r="Y1693">
        <v>0</v>
      </c>
      <c r="Z1693">
        <v>33.958333333333343</v>
      </c>
    </row>
    <row r="1694" spans="1:26">
      <c r="A1694" s="1">
        <v>1692</v>
      </c>
      <c r="B1694" t="str">
        <f>HYPERLINK("https://bugs.eclipse.org/bugs/show_bug.cgi?id=55858", "55858")</f>
        <v>55858</v>
      </c>
      <c r="C1694" t="s">
        <v>149</v>
      </c>
      <c r="D1694" t="s">
        <v>10</v>
      </c>
      <c r="E1694" t="s">
        <v>12</v>
      </c>
      <c r="F1694" t="s">
        <v>26</v>
      </c>
      <c r="L1694" t="s">
        <v>7747</v>
      </c>
      <c r="N1694" t="s">
        <v>7747</v>
      </c>
      <c r="T1694" t="s">
        <v>7748</v>
      </c>
      <c r="U1694" t="s">
        <v>7749</v>
      </c>
      <c r="V1694" t="s">
        <v>7747</v>
      </c>
      <c r="W1694" t="s">
        <v>851</v>
      </c>
      <c r="X1694" t="s">
        <v>7750</v>
      </c>
      <c r="Y1694">
        <v>0</v>
      </c>
      <c r="Z1694">
        <v>49.958333333333343</v>
      </c>
    </row>
    <row r="1695" spans="1:26">
      <c r="A1695" s="1">
        <v>1693</v>
      </c>
      <c r="B1695" t="str">
        <f>HYPERLINK("https://bugs.eclipse.org/bugs/show_bug.cgi?id=55863", "55863")</f>
        <v>55863</v>
      </c>
      <c r="C1695" t="s">
        <v>35</v>
      </c>
      <c r="D1695" t="s">
        <v>11</v>
      </c>
      <c r="E1695" t="s">
        <v>12</v>
      </c>
      <c r="F1695" t="s">
        <v>26</v>
      </c>
      <c r="G1695" t="s">
        <v>7751</v>
      </c>
      <c r="L1695" t="s">
        <v>7752</v>
      </c>
      <c r="M1695" t="s">
        <v>7753</v>
      </c>
      <c r="N1695" t="s">
        <v>7752</v>
      </c>
      <c r="T1695" t="s">
        <v>7754</v>
      </c>
      <c r="U1695" t="s">
        <v>7755</v>
      </c>
      <c r="V1695" t="s">
        <v>7753</v>
      </c>
      <c r="W1695" t="s">
        <v>851</v>
      </c>
      <c r="X1695" t="s">
        <v>7756</v>
      </c>
      <c r="Y1695">
        <v>0</v>
      </c>
      <c r="Z1695">
        <v>1</v>
      </c>
    </row>
    <row r="1696" spans="1:26">
      <c r="A1696" s="1">
        <v>1694</v>
      </c>
      <c r="B1696" t="str">
        <f>HYPERLINK("https://bugs.eclipse.org/bugs/show_bug.cgi?id=55888", "55888")</f>
        <v>55888</v>
      </c>
      <c r="C1696" t="s">
        <v>140</v>
      </c>
      <c r="D1696" t="s">
        <v>10</v>
      </c>
      <c r="E1696" t="s">
        <v>16</v>
      </c>
      <c r="F1696" t="s">
        <v>26</v>
      </c>
      <c r="L1696" t="s">
        <v>7757</v>
      </c>
      <c r="R1696" t="s">
        <v>7757</v>
      </c>
      <c r="T1696" t="s">
        <v>7758</v>
      </c>
      <c r="U1696" t="s">
        <v>7759</v>
      </c>
      <c r="V1696" t="s">
        <v>7757</v>
      </c>
      <c r="W1696" t="s">
        <v>49</v>
      </c>
      <c r="X1696" t="s">
        <v>7760</v>
      </c>
      <c r="Y1696">
        <v>0</v>
      </c>
      <c r="Z1696">
        <v>809.95833333333337</v>
      </c>
    </row>
    <row r="1697" spans="1:26">
      <c r="A1697" s="1">
        <v>1695</v>
      </c>
      <c r="B1697" t="str">
        <f>HYPERLINK("https://bugs.eclipse.org/bugs/show_bug.cgi?id=56122", "56122")</f>
        <v>56122</v>
      </c>
      <c r="C1697" t="s">
        <v>56</v>
      </c>
      <c r="D1697" t="s">
        <v>10</v>
      </c>
      <c r="E1697" t="s">
        <v>14</v>
      </c>
      <c r="F1697" t="s">
        <v>51</v>
      </c>
      <c r="L1697" t="s">
        <v>7761</v>
      </c>
      <c r="P1697" t="s">
        <v>7762</v>
      </c>
      <c r="T1697" t="s">
        <v>7763</v>
      </c>
      <c r="U1697" t="s">
        <v>7764</v>
      </c>
      <c r="V1697" t="s">
        <v>7762</v>
      </c>
      <c r="W1697" t="s">
        <v>75</v>
      </c>
      <c r="X1697" t="s">
        <v>7765</v>
      </c>
      <c r="Y1697">
        <v>0</v>
      </c>
      <c r="Z1697">
        <v>1983.958333333333</v>
      </c>
    </row>
    <row r="1698" spans="1:26">
      <c r="A1698" s="1">
        <v>1696</v>
      </c>
      <c r="B1698" t="str">
        <f>HYPERLINK("https://bugs.eclipse.org/bugs/show_bug.cgi?id=56132", "56132")</f>
        <v>56132</v>
      </c>
      <c r="C1698" t="s">
        <v>149</v>
      </c>
      <c r="D1698" t="s">
        <v>10</v>
      </c>
      <c r="E1698" t="s">
        <v>12</v>
      </c>
      <c r="F1698" t="s">
        <v>26</v>
      </c>
      <c r="L1698" t="s">
        <v>7766</v>
      </c>
      <c r="N1698" t="s">
        <v>7766</v>
      </c>
      <c r="T1698" t="s">
        <v>7767</v>
      </c>
      <c r="U1698" t="s">
        <v>7768</v>
      </c>
      <c r="V1698" t="s">
        <v>7766</v>
      </c>
      <c r="W1698" t="s">
        <v>851</v>
      </c>
      <c r="X1698" t="s">
        <v>7769</v>
      </c>
      <c r="Y1698">
        <v>0</v>
      </c>
      <c r="Z1698">
        <v>47.958333333333343</v>
      </c>
    </row>
    <row r="1699" spans="1:26">
      <c r="A1699" s="1">
        <v>1697</v>
      </c>
      <c r="B1699" t="str">
        <f>HYPERLINK("https://bugs.eclipse.org/bugs/show_bug.cgi?id=56163", "56163")</f>
        <v>56163</v>
      </c>
      <c r="C1699" t="s">
        <v>56</v>
      </c>
      <c r="D1699" t="s">
        <v>10</v>
      </c>
      <c r="E1699" t="s">
        <v>14</v>
      </c>
      <c r="F1699" t="s">
        <v>26</v>
      </c>
      <c r="G1699" t="s">
        <v>7770</v>
      </c>
      <c r="L1699" t="s">
        <v>7771</v>
      </c>
      <c r="P1699" t="s">
        <v>7772</v>
      </c>
      <c r="T1699" t="s">
        <v>7773</v>
      </c>
      <c r="U1699" t="s">
        <v>7774</v>
      </c>
      <c r="V1699" t="s">
        <v>7772</v>
      </c>
      <c r="W1699" t="s">
        <v>75</v>
      </c>
      <c r="X1699" t="s">
        <v>7775</v>
      </c>
      <c r="Y1699">
        <v>0</v>
      </c>
      <c r="Z1699">
        <v>1983.958333333333</v>
      </c>
    </row>
    <row r="1700" spans="1:26">
      <c r="A1700" s="1">
        <v>1698</v>
      </c>
      <c r="B1700" t="str">
        <f>HYPERLINK("https://bugs.eclipse.org/bugs/show_bug.cgi?id=56300", "56300")</f>
        <v>56300</v>
      </c>
      <c r="C1700" t="s">
        <v>7776</v>
      </c>
      <c r="D1700" t="s">
        <v>10</v>
      </c>
      <c r="E1700" t="s">
        <v>15</v>
      </c>
      <c r="F1700" t="s">
        <v>26</v>
      </c>
      <c r="L1700" t="s">
        <v>7777</v>
      </c>
      <c r="Q1700" t="s">
        <v>7777</v>
      </c>
      <c r="T1700" t="s">
        <v>7778</v>
      </c>
      <c r="U1700" t="s">
        <v>7779</v>
      </c>
      <c r="V1700" t="s">
        <v>7777</v>
      </c>
      <c r="W1700" t="s">
        <v>86</v>
      </c>
      <c r="X1700" t="s">
        <v>7780</v>
      </c>
      <c r="Y1700">
        <v>0</v>
      </c>
      <c r="Z1700">
        <v>38.958333333333343</v>
      </c>
    </row>
    <row r="1701" spans="1:26">
      <c r="A1701" s="1">
        <v>1699</v>
      </c>
      <c r="B1701" t="str">
        <f>HYPERLINK("https://bugs.eclipse.org/bugs/show_bug.cgi?id=56331", "56331")</f>
        <v>56331</v>
      </c>
      <c r="C1701" t="s">
        <v>6352</v>
      </c>
      <c r="D1701" t="s">
        <v>10</v>
      </c>
      <c r="E1701" t="s">
        <v>15</v>
      </c>
      <c r="F1701" t="s">
        <v>26</v>
      </c>
      <c r="L1701" t="s">
        <v>7781</v>
      </c>
      <c r="Q1701" t="s">
        <v>7781</v>
      </c>
      <c r="T1701" t="s">
        <v>7782</v>
      </c>
      <c r="U1701" t="s">
        <v>7783</v>
      </c>
      <c r="V1701" t="s">
        <v>7781</v>
      </c>
      <c r="W1701" t="s">
        <v>86</v>
      </c>
      <c r="X1701" t="s">
        <v>7784</v>
      </c>
      <c r="Y1701">
        <v>0</v>
      </c>
      <c r="Z1701">
        <v>0</v>
      </c>
    </row>
    <row r="1702" spans="1:26">
      <c r="A1702" s="1">
        <v>1700</v>
      </c>
      <c r="B1702" t="str">
        <f>HYPERLINK("https://bugs.eclipse.org/bugs/show_bug.cgi?id=56820", "56820")</f>
        <v>56820</v>
      </c>
      <c r="C1702" t="s">
        <v>7785</v>
      </c>
      <c r="D1702" t="s">
        <v>11</v>
      </c>
      <c r="E1702" t="s">
        <v>14</v>
      </c>
      <c r="F1702" t="s">
        <v>26</v>
      </c>
      <c r="L1702" t="s">
        <v>7786</v>
      </c>
      <c r="M1702" t="s">
        <v>7787</v>
      </c>
      <c r="P1702" t="s">
        <v>7786</v>
      </c>
      <c r="T1702" t="s">
        <v>7788</v>
      </c>
      <c r="U1702" t="s">
        <v>7789</v>
      </c>
      <c r="V1702" t="s">
        <v>7787</v>
      </c>
      <c r="W1702" t="s">
        <v>3492</v>
      </c>
      <c r="X1702" t="s">
        <v>7790</v>
      </c>
      <c r="Y1702">
        <v>1</v>
      </c>
      <c r="Z1702">
        <v>89.958333333333329</v>
      </c>
    </row>
    <row r="1703" spans="1:26">
      <c r="A1703" s="1">
        <v>1701</v>
      </c>
      <c r="B1703" t="str">
        <f>HYPERLINK("https://bugs.eclipse.org/bugs/show_bug.cgi?id=56849", "56849")</f>
        <v>56849</v>
      </c>
      <c r="C1703" t="s">
        <v>56</v>
      </c>
      <c r="D1703" t="s">
        <v>10</v>
      </c>
      <c r="E1703" t="s">
        <v>14</v>
      </c>
      <c r="F1703" t="s">
        <v>51</v>
      </c>
      <c r="L1703" t="s">
        <v>7791</v>
      </c>
      <c r="P1703" t="s">
        <v>7792</v>
      </c>
      <c r="T1703" t="s">
        <v>7793</v>
      </c>
      <c r="U1703" t="s">
        <v>7791</v>
      </c>
      <c r="V1703" t="s">
        <v>7792</v>
      </c>
      <c r="W1703" t="s">
        <v>80</v>
      </c>
      <c r="X1703" t="s">
        <v>7794</v>
      </c>
      <c r="Y1703">
        <v>1</v>
      </c>
      <c r="Z1703">
        <v>1978.958333333333</v>
      </c>
    </row>
    <row r="1704" spans="1:26">
      <c r="A1704" s="1">
        <v>1702</v>
      </c>
      <c r="B1704" t="str">
        <f>HYPERLINK("https://bugs.eclipse.org/bugs/show_bug.cgi?id=56946", "56946")</f>
        <v>56946</v>
      </c>
      <c r="C1704" t="s">
        <v>149</v>
      </c>
      <c r="D1704" t="s">
        <v>10</v>
      </c>
      <c r="E1704" t="s">
        <v>12</v>
      </c>
      <c r="F1704" t="s">
        <v>26</v>
      </c>
      <c r="G1704" t="s">
        <v>7795</v>
      </c>
      <c r="L1704" t="s">
        <v>7796</v>
      </c>
      <c r="N1704" t="s">
        <v>7796</v>
      </c>
      <c r="T1704" t="s">
        <v>7797</v>
      </c>
      <c r="U1704" t="s">
        <v>7798</v>
      </c>
      <c r="V1704" t="s">
        <v>7796</v>
      </c>
      <c r="W1704" t="s">
        <v>1954</v>
      </c>
      <c r="X1704" t="s">
        <v>7799</v>
      </c>
      <c r="Y1704">
        <v>1</v>
      </c>
      <c r="Z1704">
        <v>1251.958333333333</v>
      </c>
    </row>
    <row r="1705" spans="1:26">
      <c r="A1705" s="1">
        <v>1703</v>
      </c>
      <c r="B1705" t="str">
        <f>HYPERLINK("https://bugs.eclipse.org/bugs/show_bug.cgi?id=56948", "56948")</f>
        <v>56948</v>
      </c>
      <c r="C1705" t="s">
        <v>4640</v>
      </c>
      <c r="D1705" t="s">
        <v>10</v>
      </c>
      <c r="E1705" t="s">
        <v>15</v>
      </c>
      <c r="F1705" t="s">
        <v>51</v>
      </c>
      <c r="L1705" t="s">
        <v>7800</v>
      </c>
      <c r="Q1705" t="s">
        <v>7800</v>
      </c>
      <c r="T1705" t="s">
        <v>7801</v>
      </c>
      <c r="U1705" t="s">
        <v>7802</v>
      </c>
      <c r="V1705" t="s">
        <v>7800</v>
      </c>
      <c r="W1705" t="s">
        <v>851</v>
      </c>
      <c r="X1705" t="s">
        <v>7803</v>
      </c>
      <c r="Y1705">
        <v>1</v>
      </c>
      <c r="Z1705">
        <v>721</v>
      </c>
    </row>
    <row r="1706" spans="1:26">
      <c r="A1706" s="1">
        <v>1704</v>
      </c>
      <c r="B1706" t="str">
        <f>HYPERLINK("https://bugs.eclipse.org/bugs/show_bug.cgi?id=57021", "57021")</f>
        <v>57021</v>
      </c>
      <c r="C1706" t="s">
        <v>7631</v>
      </c>
      <c r="D1706" t="s">
        <v>10</v>
      </c>
      <c r="E1706" t="s">
        <v>15</v>
      </c>
      <c r="F1706" t="s">
        <v>26</v>
      </c>
      <c r="L1706" t="s">
        <v>7804</v>
      </c>
      <c r="Q1706" t="s">
        <v>7804</v>
      </c>
      <c r="T1706" t="s">
        <v>7805</v>
      </c>
      <c r="U1706" t="s">
        <v>7806</v>
      </c>
      <c r="V1706" t="s">
        <v>7804</v>
      </c>
      <c r="W1706" t="s">
        <v>86</v>
      </c>
      <c r="X1706" t="s">
        <v>7807</v>
      </c>
      <c r="Y1706">
        <v>0</v>
      </c>
      <c r="Z1706">
        <v>18.958333333333329</v>
      </c>
    </row>
    <row r="1707" spans="1:26">
      <c r="A1707" s="1">
        <v>1705</v>
      </c>
      <c r="B1707" t="str">
        <f>HYPERLINK("https://bugs.eclipse.org/bugs/show_bug.cgi?id=57066", "57066")</f>
        <v>57066</v>
      </c>
      <c r="C1707" t="s">
        <v>149</v>
      </c>
      <c r="D1707" t="s">
        <v>10</v>
      </c>
      <c r="E1707" t="s">
        <v>12</v>
      </c>
      <c r="F1707" t="s">
        <v>150</v>
      </c>
      <c r="L1707" t="s">
        <v>7808</v>
      </c>
      <c r="N1707" t="s">
        <v>7808</v>
      </c>
      <c r="T1707" t="s">
        <v>7809</v>
      </c>
      <c r="U1707" t="s">
        <v>7810</v>
      </c>
      <c r="V1707" t="s">
        <v>7808</v>
      </c>
      <c r="W1707" t="s">
        <v>134</v>
      </c>
      <c r="X1707" t="s">
        <v>7811</v>
      </c>
      <c r="Y1707">
        <v>0</v>
      </c>
      <c r="Z1707">
        <v>1</v>
      </c>
    </row>
    <row r="1708" spans="1:26">
      <c r="A1708" s="1">
        <v>1706</v>
      </c>
      <c r="B1708" t="str">
        <f>HYPERLINK("https://bugs.eclipse.org/bugs/show_bug.cgi?id=57072", "57072")</f>
        <v>57072</v>
      </c>
      <c r="C1708" t="s">
        <v>140</v>
      </c>
      <c r="D1708" t="s">
        <v>10</v>
      </c>
      <c r="E1708" t="s">
        <v>16</v>
      </c>
      <c r="F1708" t="s">
        <v>26</v>
      </c>
      <c r="L1708" t="s">
        <v>7812</v>
      </c>
      <c r="R1708" t="s">
        <v>7812</v>
      </c>
      <c r="S1708" t="s">
        <v>7813</v>
      </c>
      <c r="T1708" t="s">
        <v>7814</v>
      </c>
      <c r="U1708" t="s">
        <v>7815</v>
      </c>
      <c r="V1708" t="s">
        <v>7812</v>
      </c>
      <c r="W1708" t="s">
        <v>86</v>
      </c>
      <c r="X1708" t="s">
        <v>7816</v>
      </c>
      <c r="Y1708">
        <v>0</v>
      </c>
      <c r="Z1708">
        <v>733.95833333333337</v>
      </c>
    </row>
    <row r="1709" spans="1:26">
      <c r="A1709" s="1">
        <v>1707</v>
      </c>
      <c r="B1709" t="str">
        <f>HYPERLINK("https://bugs.eclipse.org/bugs/show_bug.cgi?id=57118", "57118")</f>
        <v>57118</v>
      </c>
      <c r="C1709" t="s">
        <v>56</v>
      </c>
      <c r="D1709" t="s">
        <v>10</v>
      </c>
      <c r="E1709" t="s">
        <v>14</v>
      </c>
      <c r="F1709" t="s">
        <v>51</v>
      </c>
      <c r="L1709" t="s">
        <v>7817</v>
      </c>
      <c r="P1709" t="s">
        <v>7818</v>
      </c>
      <c r="T1709" t="s">
        <v>7819</v>
      </c>
      <c r="U1709" t="s">
        <v>7820</v>
      </c>
      <c r="V1709" t="s">
        <v>7818</v>
      </c>
      <c r="W1709" t="s">
        <v>75</v>
      </c>
      <c r="X1709" t="s">
        <v>7821</v>
      </c>
      <c r="Y1709">
        <v>0</v>
      </c>
      <c r="Z1709">
        <v>1976.958333333333</v>
      </c>
    </row>
    <row r="1710" spans="1:26">
      <c r="A1710" s="1">
        <v>1708</v>
      </c>
      <c r="B1710" t="str">
        <f>HYPERLINK("https://bugs.eclipse.org/bugs/show_bug.cgi?id=57215", "57215")</f>
        <v>57215</v>
      </c>
      <c r="C1710" t="s">
        <v>56</v>
      </c>
      <c r="D1710" t="s">
        <v>10</v>
      </c>
      <c r="E1710" t="s">
        <v>14</v>
      </c>
      <c r="F1710" t="s">
        <v>26</v>
      </c>
      <c r="L1710" t="s">
        <v>7822</v>
      </c>
      <c r="P1710" t="s">
        <v>7823</v>
      </c>
      <c r="T1710" t="s">
        <v>7824</v>
      </c>
      <c r="U1710" t="s">
        <v>7825</v>
      </c>
      <c r="V1710" t="s">
        <v>7823</v>
      </c>
      <c r="W1710" t="s">
        <v>75</v>
      </c>
      <c r="X1710" t="s">
        <v>7826</v>
      </c>
      <c r="Y1710">
        <v>0</v>
      </c>
      <c r="Z1710">
        <v>1975.958333333333</v>
      </c>
    </row>
    <row r="1711" spans="1:26">
      <c r="A1711" s="1">
        <v>1709</v>
      </c>
      <c r="B1711" t="str">
        <f>HYPERLINK("https://bugs.eclipse.org/bugs/show_bug.cgi?id=57340", "57340")</f>
        <v>57340</v>
      </c>
      <c r="C1711" t="s">
        <v>149</v>
      </c>
      <c r="D1711" t="s">
        <v>10</v>
      </c>
      <c r="E1711" t="s">
        <v>12</v>
      </c>
      <c r="F1711" t="s">
        <v>150</v>
      </c>
      <c r="L1711" t="s">
        <v>7827</v>
      </c>
      <c r="N1711" t="s">
        <v>7827</v>
      </c>
      <c r="T1711" t="s">
        <v>7828</v>
      </c>
      <c r="U1711" t="s">
        <v>7829</v>
      </c>
      <c r="V1711" t="s">
        <v>7827</v>
      </c>
      <c r="W1711" t="s">
        <v>86</v>
      </c>
      <c r="X1711" t="s">
        <v>7830</v>
      </c>
      <c r="Y1711">
        <v>2</v>
      </c>
      <c r="Z1711">
        <v>2.958333333333333</v>
      </c>
    </row>
    <row r="1712" spans="1:26">
      <c r="A1712" s="1">
        <v>1710</v>
      </c>
      <c r="B1712" t="str">
        <f>HYPERLINK("https://bugs.eclipse.org/bugs/show_bug.cgi?id=57433", "57433")</f>
        <v>57433</v>
      </c>
      <c r="C1712" t="s">
        <v>56</v>
      </c>
      <c r="D1712" t="s">
        <v>10</v>
      </c>
      <c r="E1712" t="s">
        <v>14</v>
      </c>
      <c r="F1712" t="s">
        <v>26</v>
      </c>
      <c r="L1712" t="s">
        <v>7831</v>
      </c>
      <c r="P1712" t="s">
        <v>7832</v>
      </c>
      <c r="T1712" t="s">
        <v>7833</v>
      </c>
      <c r="U1712" t="s">
        <v>7831</v>
      </c>
      <c r="V1712" t="s">
        <v>7832</v>
      </c>
      <c r="W1712" t="s">
        <v>75</v>
      </c>
      <c r="X1712" t="s">
        <v>7834</v>
      </c>
      <c r="Y1712">
        <v>0</v>
      </c>
      <c r="Z1712">
        <v>1973</v>
      </c>
    </row>
    <row r="1713" spans="1:26">
      <c r="A1713" s="1">
        <v>1711</v>
      </c>
      <c r="B1713" t="str">
        <f>HYPERLINK("https://bugs.eclipse.org/bugs/show_bug.cgi?id=57438", "57438")</f>
        <v>57438</v>
      </c>
      <c r="C1713" t="s">
        <v>56</v>
      </c>
      <c r="D1713" t="s">
        <v>10</v>
      </c>
      <c r="E1713" t="s">
        <v>14</v>
      </c>
      <c r="F1713" t="s">
        <v>460</v>
      </c>
      <c r="L1713" t="s">
        <v>7835</v>
      </c>
      <c r="P1713" t="s">
        <v>7836</v>
      </c>
      <c r="R1713" t="s">
        <v>7837</v>
      </c>
      <c r="S1713" t="s">
        <v>7838</v>
      </c>
      <c r="T1713" t="s">
        <v>7839</v>
      </c>
      <c r="U1713" t="s">
        <v>7840</v>
      </c>
      <c r="V1713" t="s">
        <v>7836</v>
      </c>
      <c r="W1713" t="s">
        <v>75</v>
      </c>
      <c r="X1713" t="s">
        <v>7841</v>
      </c>
      <c r="Y1713">
        <v>0</v>
      </c>
      <c r="Z1713">
        <v>1973</v>
      </c>
    </row>
    <row r="1714" spans="1:26">
      <c r="A1714" s="1">
        <v>1712</v>
      </c>
      <c r="B1714" t="str">
        <f>HYPERLINK("https://bugs.eclipse.org/bugs/show_bug.cgi?id=57464", "57464")</f>
        <v>57464</v>
      </c>
      <c r="C1714" t="s">
        <v>149</v>
      </c>
      <c r="D1714" t="s">
        <v>10</v>
      </c>
      <c r="E1714" t="s">
        <v>12</v>
      </c>
      <c r="F1714" t="s">
        <v>26</v>
      </c>
      <c r="G1714" t="s">
        <v>7842</v>
      </c>
      <c r="L1714" t="s">
        <v>7843</v>
      </c>
      <c r="N1714" t="s">
        <v>7843</v>
      </c>
      <c r="S1714" t="s">
        <v>7844</v>
      </c>
      <c r="T1714" t="s">
        <v>7845</v>
      </c>
      <c r="U1714" t="s">
        <v>7846</v>
      </c>
      <c r="V1714" t="s">
        <v>7843</v>
      </c>
      <c r="W1714" t="s">
        <v>851</v>
      </c>
      <c r="X1714" t="s">
        <v>7847</v>
      </c>
      <c r="Y1714">
        <v>0</v>
      </c>
      <c r="Z1714">
        <v>172</v>
      </c>
    </row>
    <row r="1715" spans="1:26">
      <c r="A1715" s="1">
        <v>1713</v>
      </c>
      <c r="B1715" t="str">
        <f>HYPERLINK("https://bugs.eclipse.org/bugs/show_bug.cgi?id=57622", "57622")</f>
        <v>57622</v>
      </c>
      <c r="C1715" t="s">
        <v>35</v>
      </c>
      <c r="D1715" t="s">
        <v>11</v>
      </c>
      <c r="E1715" t="s">
        <v>12</v>
      </c>
      <c r="F1715" t="s">
        <v>26</v>
      </c>
      <c r="L1715" t="s">
        <v>7848</v>
      </c>
      <c r="M1715" t="s">
        <v>7849</v>
      </c>
      <c r="N1715" t="s">
        <v>7848</v>
      </c>
      <c r="T1715" t="s">
        <v>7850</v>
      </c>
      <c r="U1715" t="s">
        <v>7848</v>
      </c>
      <c r="V1715" t="s">
        <v>7849</v>
      </c>
      <c r="W1715" t="s">
        <v>851</v>
      </c>
      <c r="X1715" t="s">
        <v>7851</v>
      </c>
      <c r="Y1715">
        <v>1</v>
      </c>
      <c r="Z1715">
        <v>43</v>
      </c>
    </row>
    <row r="1716" spans="1:26">
      <c r="A1716" s="1">
        <v>1714</v>
      </c>
      <c r="B1716" t="str">
        <f>HYPERLINK("https://bugs.eclipse.org/bugs/show_bug.cgi?id=57661", "57661")</f>
        <v>57661</v>
      </c>
      <c r="C1716" t="s">
        <v>149</v>
      </c>
      <c r="D1716" t="s">
        <v>10</v>
      </c>
      <c r="E1716" t="s">
        <v>12</v>
      </c>
      <c r="F1716" t="s">
        <v>26</v>
      </c>
      <c r="L1716" t="s">
        <v>7852</v>
      </c>
      <c r="N1716" t="s">
        <v>7852</v>
      </c>
      <c r="T1716" t="s">
        <v>7853</v>
      </c>
      <c r="U1716" t="s">
        <v>7854</v>
      </c>
      <c r="V1716" t="s">
        <v>7852</v>
      </c>
      <c r="W1716" t="s">
        <v>40</v>
      </c>
      <c r="X1716" t="s">
        <v>7855</v>
      </c>
      <c r="Y1716">
        <v>0</v>
      </c>
      <c r="Z1716">
        <v>0</v>
      </c>
    </row>
    <row r="1717" spans="1:26">
      <c r="A1717" s="1">
        <v>1715</v>
      </c>
      <c r="B1717" t="str">
        <f>HYPERLINK("https://bugs.eclipse.org/bugs/show_bug.cgi?id=57697", "57697")</f>
        <v>57697</v>
      </c>
      <c r="C1717" t="s">
        <v>995</v>
      </c>
      <c r="D1717" t="s">
        <v>192</v>
      </c>
      <c r="E1717" t="s">
        <v>12</v>
      </c>
      <c r="F1717" t="s">
        <v>26</v>
      </c>
      <c r="L1717" t="s">
        <v>7856</v>
      </c>
      <c r="N1717" t="s">
        <v>7856</v>
      </c>
      <c r="S1717" t="s">
        <v>7857</v>
      </c>
      <c r="T1717" t="s">
        <v>7858</v>
      </c>
      <c r="U1717" t="s">
        <v>7859</v>
      </c>
      <c r="V1717" t="s">
        <v>7860</v>
      </c>
      <c r="W1717" t="s">
        <v>7861</v>
      </c>
      <c r="X1717" t="s">
        <v>7862</v>
      </c>
      <c r="Y1717">
        <v>0</v>
      </c>
      <c r="Z1717">
        <v>32</v>
      </c>
    </row>
    <row r="1718" spans="1:26">
      <c r="A1718" s="1">
        <v>1716</v>
      </c>
      <c r="B1718" t="str">
        <f>HYPERLINK("https://bugs.eclipse.org/bugs/show_bug.cgi?id=57755", "57755")</f>
        <v>57755</v>
      </c>
      <c r="C1718" t="s">
        <v>149</v>
      </c>
      <c r="D1718" t="s">
        <v>10</v>
      </c>
      <c r="E1718" t="s">
        <v>12</v>
      </c>
      <c r="F1718" t="s">
        <v>26</v>
      </c>
      <c r="L1718" t="s">
        <v>7863</v>
      </c>
      <c r="N1718" t="s">
        <v>7863</v>
      </c>
      <c r="T1718" t="s">
        <v>7864</v>
      </c>
      <c r="U1718" t="s">
        <v>7865</v>
      </c>
      <c r="V1718" t="s">
        <v>7863</v>
      </c>
      <c r="W1718" t="s">
        <v>86</v>
      </c>
      <c r="X1718" t="s">
        <v>7866</v>
      </c>
      <c r="Y1718">
        <v>0</v>
      </c>
      <c r="Z1718">
        <v>29</v>
      </c>
    </row>
    <row r="1719" spans="1:26">
      <c r="A1719" s="1">
        <v>1717</v>
      </c>
      <c r="B1719" t="str">
        <f>HYPERLINK("https://bugs.eclipse.org/bugs/show_bug.cgi?id=57899", "57899")</f>
        <v>57899</v>
      </c>
      <c r="C1719" t="s">
        <v>149</v>
      </c>
      <c r="D1719" t="s">
        <v>10</v>
      </c>
      <c r="E1719" t="s">
        <v>12</v>
      </c>
      <c r="F1719" t="s">
        <v>26</v>
      </c>
      <c r="L1719" t="s">
        <v>7867</v>
      </c>
      <c r="N1719" t="s">
        <v>7867</v>
      </c>
      <c r="T1719" t="s">
        <v>7868</v>
      </c>
      <c r="U1719" t="s">
        <v>7869</v>
      </c>
      <c r="V1719" t="s">
        <v>7867</v>
      </c>
      <c r="W1719" t="s">
        <v>851</v>
      </c>
      <c r="X1719" t="s">
        <v>7870</v>
      </c>
      <c r="Y1719">
        <v>5</v>
      </c>
      <c r="Z1719">
        <v>5</v>
      </c>
    </row>
    <row r="1720" spans="1:26">
      <c r="A1720" s="1">
        <v>1718</v>
      </c>
      <c r="B1720" t="str">
        <f>HYPERLINK("https://bugs.eclipse.org/bugs/show_bug.cgi?id=57900", "57900")</f>
        <v>57900</v>
      </c>
      <c r="C1720" t="s">
        <v>149</v>
      </c>
      <c r="D1720" t="s">
        <v>10</v>
      </c>
      <c r="E1720" t="s">
        <v>12</v>
      </c>
      <c r="F1720" t="s">
        <v>26</v>
      </c>
      <c r="L1720" t="s">
        <v>7871</v>
      </c>
      <c r="N1720" t="s">
        <v>7871</v>
      </c>
      <c r="T1720" t="s">
        <v>7872</v>
      </c>
      <c r="U1720" t="s">
        <v>7873</v>
      </c>
      <c r="V1720" t="s">
        <v>7871</v>
      </c>
      <c r="W1720" t="s">
        <v>86</v>
      </c>
      <c r="X1720" t="s">
        <v>7874</v>
      </c>
      <c r="Y1720">
        <v>5</v>
      </c>
      <c r="Z1720">
        <v>5</v>
      </c>
    </row>
    <row r="1721" spans="1:26">
      <c r="A1721" s="1">
        <v>1719</v>
      </c>
      <c r="B1721" t="str">
        <f>HYPERLINK("https://bugs.eclipse.org/bugs/show_bug.cgi?id=57923", "57923")</f>
        <v>57923</v>
      </c>
      <c r="C1721" t="s">
        <v>56</v>
      </c>
      <c r="D1721" t="s">
        <v>10</v>
      </c>
      <c r="E1721" t="s">
        <v>14</v>
      </c>
      <c r="F1721" t="s">
        <v>26</v>
      </c>
      <c r="L1721" t="s">
        <v>7875</v>
      </c>
      <c r="P1721" t="s">
        <v>7876</v>
      </c>
      <c r="S1721" t="s">
        <v>7877</v>
      </c>
      <c r="T1721" t="s">
        <v>7878</v>
      </c>
      <c r="U1721" t="s">
        <v>7879</v>
      </c>
      <c r="V1721" t="s">
        <v>7876</v>
      </c>
      <c r="W1721" t="s">
        <v>80</v>
      </c>
      <c r="X1721" t="s">
        <v>7880</v>
      </c>
      <c r="Y1721">
        <v>5</v>
      </c>
      <c r="Z1721">
        <v>1970</v>
      </c>
    </row>
    <row r="1722" spans="1:26">
      <c r="A1722" s="1">
        <v>1720</v>
      </c>
      <c r="B1722" t="str">
        <f>HYPERLINK("https://bugs.eclipse.org/bugs/show_bug.cgi?id=57934", "57934")</f>
        <v>57934</v>
      </c>
      <c r="C1722" t="s">
        <v>88</v>
      </c>
      <c r="D1722" t="s">
        <v>10</v>
      </c>
      <c r="E1722" t="s">
        <v>13</v>
      </c>
      <c r="F1722" t="s">
        <v>26</v>
      </c>
      <c r="L1722" t="s">
        <v>7881</v>
      </c>
      <c r="O1722" t="s">
        <v>7881</v>
      </c>
      <c r="T1722" t="s">
        <v>7882</v>
      </c>
      <c r="U1722" t="s">
        <v>7883</v>
      </c>
      <c r="V1722" t="s">
        <v>7881</v>
      </c>
      <c r="W1722" t="s">
        <v>143</v>
      </c>
      <c r="X1722" t="s">
        <v>7884</v>
      </c>
      <c r="Y1722">
        <v>5</v>
      </c>
      <c r="Z1722">
        <v>718.04166666666663</v>
      </c>
    </row>
    <row r="1723" spans="1:26">
      <c r="A1723" s="1">
        <v>1721</v>
      </c>
      <c r="B1723" t="str">
        <f>HYPERLINK("https://bugs.eclipse.org/bugs/show_bug.cgi?id=57951", "57951")</f>
        <v>57951</v>
      </c>
      <c r="C1723" t="s">
        <v>56</v>
      </c>
      <c r="D1723" t="s">
        <v>10</v>
      </c>
      <c r="E1723" t="s">
        <v>14</v>
      </c>
      <c r="F1723" t="s">
        <v>26</v>
      </c>
      <c r="L1723" t="s">
        <v>7885</v>
      </c>
      <c r="P1723" t="s">
        <v>7885</v>
      </c>
      <c r="T1723" t="s">
        <v>7886</v>
      </c>
      <c r="U1723" t="s">
        <v>7887</v>
      </c>
      <c r="V1723" t="s">
        <v>7885</v>
      </c>
      <c r="W1723" t="s">
        <v>49</v>
      </c>
      <c r="X1723" t="s">
        <v>7888</v>
      </c>
      <c r="Y1723">
        <v>40</v>
      </c>
      <c r="Z1723">
        <v>785</v>
      </c>
    </row>
    <row r="1724" spans="1:26">
      <c r="A1724" s="1">
        <v>1722</v>
      </c>
      <c r="B1724" t="str">
        <f>HYPERLINK("https://bugs.eclipse.org/bugs/show_bug.cgi?id=57973", "57973")</f>
        <v>57973</v>
      </c>
      <c r="C1724" t="s">
        <v>56</v>
      </c>
      <c r="D1724" t="s">
        <v>10</v>
      </c>
      <c r="E1724" t="s">
        <v>14</v>
      </c>
      <c r="F1724" t="s">
        <v>26</v>
      </c>
      <c r="L1724" t="s">
        <v>7889</v>
      </c>
      <c r="P1724" t="s">
        <v>7889</v>
      </c>
      <c r="T1724" t="s">
        <v>7890</v>
      </c>
      <c r="U1724" t="s">
        <v>7889</v>
      </c>
      <c r="V1724" t="s">
        <v>7889</v>
      </c>
      <c r="W1724" t="s">
        <v>86</v>
      </c>
      <c r="X1724" t="s">
        <v>7891</v>
      </c>
      <c r="Y1724">
        <v>5</v>
      </c>
      <c r="Z1724">
        <v>5</v>
      </c>
    </row>
    <row r="1725" spans="1:26">
      <c r="A1725" s="1">
        <v>1723</v>
      </c>
      <c r="B1725" t="str">
        <f>HYPERLINK("https://bugs.eclipse.org/bugs/show_bug.cgi?id=58107", "58107")</f>
        <v>58107</v>
      </c>
      <c r="C1725" t="s">
        <v>56</v>
      </c>
      <c r="D1725" t="s">
        <v>10</v>
      </c>
      <c r="E1725" t="s">
        <v>14</v>
      </c>
      <c r="F1725" t="s">
        <v>26</v>
      </c>
      <c r="L1725" t="s">
        <v>7892</v>
      </c>
      <c r="P1725" t="s">
        <v>7893</v>
      </c>
      <c r="T1725" t="s">
        <v>7894</v>
      </c>
      <c r="U1725" t="s">
        <v>7892</v>
      </c>
      <c r="V1725" t="s">
        <v>7893</v>
      </c>
      <c r="W1725" t="s">
        <v>80</v>
      </c>
      <c r="X1725" t="s">
        <v>7895</v>
      </c>
      <c r="Y1725">
        <v>2</v>
      </c>
      <c r="Z1725">
        <v>1967</v>
      </c>
    </row>
    <row r="1726" spans="1:26">
      <c r="A1726" s="1">
        <v>1724</v>
      </c>
      <c r="B1726" t="str">
        <f>HYPERLINK("https://bugs.eclipse.org/bugs/show_bug.cgi?id=58262", "58262")</f>
        <v>58262</v>
      </c>
      <c r="C1726" t="s">
        <v>149</v>
      </c>
      <c r="D1726" t="s">
        <v>10</v>
      </c>
      <c r="E1726" t="s">
        <v>12</v>
      </c>
      <c r="F1726" t="s">
        <v>26</v>
      </c>
      <c r="L1726" t="s">
        <v>7896</v>
      </c>
      <c r="N1726" t="s">
        <v>7896</v>
      </c>
      <c r="T1726" t="s">
        <v>7897</v>
      </c>
      <c r="U1726" t="s">
        <v>7896</v>
      </c>
      <c r="V1726" t="s">
        <v>7896</v>
      </c>
      <c r="W1726" t="s">
        <v>86</v>
      </c>
      <c r="X1726" t="s">
        <v>7898</v>
      </c>
      <c r="Y1726">
        <v>0</v>
      </c>
      <c r="Z1726">
        <v>0</v>
      </c>
    </row>
    <row r="1727" spans="1:26">
      <c r="A1727" s="1">
        <v>1725</v>
      </c>
      <c r="B1727" t="str">
        <f>HYPERLINK("https://bugs.eclipse.org/bugs/show_bug.cgi?id=58293", "58293")</f>
        <v>58293</v>
      </c>
      <c r="C1727" t="s">
        <v>149</v>
      </c>
      <c r="D1727" t="s">
        <v>10</v>
      </c>
      <c r="E1727" t="s">
        <v>12</v>
      </c>
      <c r="F1727" t="s">
        <v>26</v>
      </c>
      <c r="L1727" t="s">
        <v>7899</v>
      </c>
      <c r="N1727" t="s">
        <v>7899</v>
      </c>
      <c r="T1727" t="s">
        <v>7900</v>
      </c>
      <c r="U1727" t="s">
        <v>7901</v>
      </c>
      <c r="V1727" t="s">
        <v>7899</v>
      </c>
      <c r="W1727" t="s">
        <v>86</v>
      </c>
      <c r="X1727" t="s">
        <v>7902</v>
      </c>
      <c r="Y1727">
        <v>0</v>
      </c>
      <c r="Z1727">
        <v>6</v>
      </c>
    </row>
    <row r="1728" spans="1:26">
      <c r="A1728" s="1">
        <v>1726</v>
      </c>
      <c r="B1728" t="str">
        <f>HYPERLINK("https://bugs.eclipse.org/bugs/show_bug.cgi?id=58540", "58540")</f>
        <v>58540</v>
      </c>
      <c r="C1728" t="s">
        <v>35</v>
      </c>
      <c r="D1728" t="s">
        <v>11</v>
      </c>
      <c r="E1728" t="s">
        <v>12</v>
      </c>
      <c r="F1728" t="s">
        <v>26</v>
      </c>
      <c r="L1728" t="s">
        <v>7903</v>
      </c>
      <c r="M1728" t="s">
        <v>7904</v>
      </c>
      <c r="N1728" t="s">
        <v>7903</v>
      </c>
      <c r="T1728" t="s">
        <v>7905</v>
      </c>
      <c r="U1728" t="s">
        <v>7906</v>
      </c>
      <c r="V1728" t="s">
        <v>7904</v>
      </c>
      <c r="W1728" t="s">
        <v>49</v>
      </c>
      <c r="X1728" t="s">
        <v>7907</v>
      </c>
      <c r="Y1728">
        <v>1</v>
      </c>
      <c r="Z1728">
        <v>44</v>
      </c>
    </row>
    <row r="1729" spans="1:26">
      <c r="A1729" s="1">
        <v>1727</v>
      </c>
      <c r="B1729" t="str">
        <f>HYPERLINK("https://bugs.eclipse.org/bugs/show_bug.cgi?id=58637", "58637")</f>
        <v>58637</v>
      </c>
      <c r="C1729" t="s">
        <v>149</v>
      </c>
      <c r="D1729" t="s">
        <v>10</v>
      </c>
      <c r="E1729" t="s">
        <v>12</v>
      </c>
      <c r="F1729" t="s">
        <v>26</v>
      </c>
      <c r="L1729" t="s">
        <v>7908</v>
      </c>
      <c r="N1729" t="s">
        <v>7908</v>
      </c>
      <c r="T1729" t="s">
        <v>7909</v>
      </c>
      <c r="U1729" t="s">
        <v>7910</v>
      </c>
      <c r="V1729" t="s">
        <v>7908</v>
      </c>
      <c r="W1729" t="s">
        <v>86</v>
      </c>
      <c r="X1729" t="s">
        <v>7911</v>
      </c>
      <c r="Y1729">
        <v>0</v>
      </c>
      <c r="Z1729">
        <v>28</v>
      </c>
    </row>
    <row r="1730" spans="1:26">
      <c r="A1730" s="1">
        <v>1728</v>
      </c>
      <c r="B1730" t="str">
        <f>HYPERLINK("https://bugs.eclipse.org/bugs/show_bug.cgi?id=58648", "58648")</f>
        <v>58648</v>
      </c>
      <c r="C1730" t="s">
        <v>25</v>
      </c>
      <c r="D1730" t="s">
        <v>25</v>
      </c>
      <c r="F1730" t="s">
        <v>26</v>
      </c>
      <c r="L1730" t="s">
        <v>7912</v>
      </c>
      <c r="S1730" t="s">
        <v>7913</v>
      </c>
      <c r="T1730" t="s">
        <v>7914</v>
      </c>
      <c r="U1730" t="s">
        <v>7915</v>
      </c>
      <c r="V1730" t="s">
        <v>7916</v>
      </c>
      <c r="W1730" t="s">
        <v>851</v>
      </c>
      <c r="X1730" t="s">
        <v>7917</v>
      </c>
      <c r="Y1730">
        <v>0</v>
      </c>
    </row>
    <row r="1731" spans="1:26">
      <c r="A1731" s="1">
        <v>1729</v>
      </c>
      <c r="B1731" t="str">
        <f>HYPERLINK("https://bugs.eclipse.org/bugs/show_bug.cgi?id=58707", "58707")</f>
        <v>58707</v>
      </c>
      <c r="C1731" t="s">
        <v>149</v>
      </c>
      <c r="D1731" t="s">
        <v>10</v>
      </c>
      <c r="E1731" t="s">
        <v>12</v>
      </c>
      <c r="F1731" t="s">
        <v>26</v>
      </c>
      <c r="L1731" t="s">
        <v>7918</v>
      </c>
      <c r="N1731" t="s">
        <v>7918</v>
      </c>
      <c r="T1731" t="s">
        <v>7919</v>
      </c>
      <c r="U1731" t="s">
        <v>7920</v>
      </c>
      <c r="V1731" t="s">
        <v>7918</v>
      </c>
      <c r="W1731" t="s">
        <v>86</v>
      </c>
      <c r="X1731" t="s">
        <v>7921</v>
      </c>
      <c r="Y1731">
        <v>1</v>
      </c>
      <c r="Z1731">
        <v>8</v>
      </c>
    </row>
    <row r="1732" spans="1:26">
      <c r="A1732" s="1">
        <v>1730</v>
      </c>
      <c r="B1732" t="str">
        <f>HYPERLINK("https://bugs.eclipse.org/bugs/show_bug.cgi?id=58793", "58793")</f>
        <v>58793</v>
      </c>
      <c r="C1732" t="s">
        <v>7922</v>
      </c>
      <c r="D1732" t="s">
        <v>10</v>
      </c>
      <c r="E1732" t="s">
        <v>15</v>
      </c>
      <c r="F1732" t="s">
        <v>26</v>
      </c>
      <c r="L1732" t="s">
        <v>7923</v>
      </c>
      <c r="Q1732" t="s">
        <v>7923</v>
      </c>
      <c r="S1732" t="s">
        <v>7924</v>
      </c>
      <c r="T1732" t="s">
        <v>7925</v>
      </c>
      <c r="U1732" t="s">
        <v>7926</v>
      </c>
      <c r="V1732" t="s">
        <v>7923</v>
      </c>
      <c r="W1732" t="s">
        <v>86</v>
      </c>
      <c r="X1732" t="s">
        <v>7927</v>
      </c>
      <c r="Y1732">
        <v>0</v>
      </c>
      <c r="Z1732">
        <v>152</v>
      </c>
    </row>
    <row r="1733" spans="1:26">
      <c r="A1733" s="1">
        <v>1731</v>
      </c>
      <c r="B1733" t="str">
        <f>HYPERLINK("https://bugs.eclipse.org/bugs/show_bug.cgi?id=58796", "58796")</f>
        <v>58796</v>
      </c>
      <c r="C1733" t="s">
        <v>149</v>
      </c>
      <c r="D1733" t="s">
        <v>10</v>
      </c>
      <c r="E1733" t="s">
        <v>12</v>
      </c>
      <c r="F1733" t="s">
        <v>150</v>
      </c>
      <c r="L1733" t="s">
        <v>7928</v>
      </c>
      <c r="N1733" t="s">
        <v>7928</v>
      </c>
      <c r="T1733" t="s">
        <v>7929</v>
      </c>
      <c r="U1733" t="s">
        <v>7930</v>
      </c>
      <c r="V1733" t="s">
        <v>7928</v>
      </c>
      <c r="W1733" t="s">
        <v>851</v>
      </c>
      <c r="X1733" t="s">
        <v>7931</v>
      </c>
      <c r="Y1733">
        <v>0</v>
      </c>
      <c r="Z1733">
        <v>26</v>
      </c>
    </row>
    <row r="1734" spans="1:26">
      <c r="A1734" s="1">
        <v>1732</v>
      </c>
      <c r="B1734" t="str">
        <f>HYPERLINK("https://bugs.eclipse.org/bugs/show_bug.cgi?id=58808", "58808")</f>
        <v>58808</v>
      </c>
      <c r="C1734" t="s">
        <v>35</v>
      </c>
      <c r="D1734" t="s">
        <v>11</v>
      </c>
      <c r="E1734" t="s">
        <v>12</v>
      </c>
      <c r="F1734" t="s">
        <v>26</v>
      </c>
      <c r="L1734" t="s">
        <v>7932</v>
      </c>
      <c r="M1734" t="s">
        <v>7933</v>
      </c>
      <c r="N1734" t="s">
        <v>7932</v>
      </c>
      <c r="T1734" t="s">
        <v>7934</v>
      </c>
      <c r="U1734" t="s">
        <v>7935</v>
      </c>
      <c r="V1734" t="s">
        <v>7933</v>
      </c>
      <c r="W1734" t="s">
        <v>1161</v>
      </c>
      <c r="X1734" t="s">
        <v>7936</v>
      </c>
      <c r="Y1734">
        <v>0</v>
      </c>
      <c r="Z1734">
        <v>42</v>
      </c>
    </row>
    <row r="1735" spans="1:26">
      <c r="A1735" s="1">
        <v>1733</v>
      </c>
      <c r="B1735" t="str">
        <f>HYPERLINK("https://bugs.eclipse.org/bugs/show_bug.cgi?id=58862", "58862")</f>
        <v>58862</v>
      </c>
      <c r="C1735" t="s">
        <v>56</v>
      </c>
      <c r="D1735" t="s">
        <v>10</v>
      </c>
      <c r="E1735" t="s">
        <v>14</v>
      </c>
      <c r="F1735" t="s">
        <v>26</v>
      </c>
      <c r="L1735" t="s">
        <v>7937</v>
      </c>
      <c r="P1735" t="s">
        <v>7938</v>
      </c>
      <c r="T1735" t="s">
        <v>7939</v>
      </c>
      <c r="U1735" t="s">
        <v>7940</v>
      </c>
      <c r="V1735" t="s">
        <v>7938</v>
      </c>
      <c r="W1735" t="s">
        <v>75</v>
      </c>
      <c r="X1735" t="s">
        <v>7941</v>
      </c>
      <c r="Y1735">
        <v>0</v>
      </c>
      <c r="Z1735">
        <v>1962</v>
      </c>
    </row>
    <row r="1736" spans="1:26">
      <c r="A1736" s="1">
        <v>1734</v>
      </c>
      <c r="B1736" t="str">
        <f>HYPERLINK("https://bugs.eclipse.org/bugs/show_bug.cgi?id=58936", "58936")</f>
        <v>58936</v>
      </c>
      <c r="C1736" t="s">
        <v>191</v>
      </c>
      <c r="D1736" t="s">
        <v>192</v>
      </c>
      <c r="E1736" t="s">
        <v>14</v>
      </c>
      <c r="F1736" t="s">
        <v>26</v>
      </c>
      <c r="G1736" t="s">
        <v>7942</v>
      </c>
      <c r="P1736" t="s">
        <v>7943</v>
      </c>
      <c r="T1736" t="s">
        <v>7944</v>
      </c>
      <c r="U1736" t="s">
        <v>7945</v>
      </c>
      <c r="V1736" t="s">
        <v>7943</v>
      </c>
      <c r="W1736" t="s">
        <v>65</v>
      </c>
      <c r="X1736" t="s">
        <v>7946</v>
      </c>
      <c r="Y1736">
        <v>313.04166666666669</v>
      </c>
      <c r="Z1736">
        <v>5790.041666666667</v>
      </c>
    </row>
    <row r="1737" spans="1:26">
      <c r="A1737" s="1">
        <v>1735</v>
      </c>
      <c r="B1737" t="str">
        <f>HYPERLINK("https://bugs.eclipse.org/bugs/show_bug.cgi?id=58960", "58960")</f>
        <v>58960</v>
      </c>
      <c r="C1737" t="s">
        <v>6539</v>
      </c>
      <c r="D1737" t="s">
        <v>10</v>
      </c>
      <c r="E1737" t="s">
        <v>15</v>
      </c>
      <c r="F1737" t="s">
        <v>26</v>
      </c>
      <c r="L1737" t="s">
        <v>7947</v>
      </c>
      <c r="Q1737" t="s">
        <v>7947</v>
      </c>
      <c r="T1737" t="s">
        <v>7948</v>
      </c>
      <c r="U1737" t="s">
        <v>7949</v>
      </c>
      <c r="V1737" t="s">
        <v>7947</v>
      </c>
      <c r="W1737" t="s">
        <v>851</v>
      </c>
      <c r="X1737" t="s">
        <v>7950</v>
      </c>
      <c r="Y1737">
        <v>3</v>
      </c>
      <c r="Z1737">
        <v>5</v>
      </c>
    </row>
    <row r="1738" spans="1:26">
      <c r="A1738" s="1">
        <v>1736</v>
      </c>
      <c r="B1738" t="str">
        <f>HYPERLINK("https://bugs.eclipse.org/bugs/show_bug.cgi?id=59012", "59012")</f>
        <v>59012</v>
      </c>
      <c r="C1738" t="s">
        <v>149</v>
      </c>
      <c r="D1738" t="s">
        <v>10</v>
      </c>
      <c r="E1738" t="s">
        <v>12</v>
      </c>
      <c r="F1738" t="s">
        <v>26</v>
      </c>
      <c r="L1738" t="s">
        <v>7951</v>
      </c>
      <c r="N1738" t="s">
        <v>7951</v>
      </c>
      <c r="S1738" t="s">
        <v>7952</v>
      </c>
      <c r="T1738" t="s">
        <v>7953</v>
      </c>
      <c r="U1738" t="s">
        <v>7954</v>
      </c>
      <c r="V1738" t="s">
        <v>7951</v>
      </c>
      <c r="W1738" t="s">
        <v>86</v>
      </c>
      <c r="X1738" t="s">
        <v>7955</v>
      </c>
      <c r="Y1738">
        <v>1</v>
      </c>
      <c r="Z1738">
        <v>152</v>
      </c>
    </row>
    <row r="1739" spans="1:26">
      <c r="A1739" s="1">
        <v>1737</v>
      </c>
      <c r="B1739" t="str">
        <f>HYPERLINK("https://bugs.eclipse.org/bugs/show_bug.cgi?id=59068", "59068")</f>
        <v>59068</v>
      </c>
      <c r="C1739" t="s">
        <v>56</v>
      </c>
      <c r="D1739" t="s">
        <v>10</v>
      </c>
      <c r="E1739" t="s">
        <v>14</v>
      </c>
      <c r="F1739" t="s">
        <v>51</v>
      </c>
      <c r="L1739" t="s">
        <v>7956</v>
      </c>
      <c r="P1739" t="s">
        <v>7957</v>
      </c>
      <c r="T1739" t="s">
        <v>7958</v>
      </c>
      <c r="U1739" t="s">
        <v>7959</v>
      </c>
      <c r="V1739" t="s">
        <v>7957</v>
      </c>
      <c r="W1739" t="s">
        <v>80</v>
      </c>
      <c r="X1739" t="s">
        <v>7960</v>
      </c>
      <c r="Y1739">
        <v>1</v>
      </c>
      <c r="Z1739">
        <v>1959</v>
      </c>
    </row>
    <row r="1740" spans="1:26">
      <c r="A1740" s="1">
        <v>1738</v>
      </c>
      <c r="B1740" t="str">
        <f>HYPERLINK("https://bugs.eclipse.org/bugs/show_bug.cgi?id=59074", "59074")</f>
        <v>59074</v>
      </c>
      <c r="C1740" t="s">
        <v>149</v>
      </c>
      <c r="D1740" t="s">
        <v>10</v>
      </c>
      <c r="E1740" t="s">
        <v>12</v>
      </c>
      <c r="F1740" t="s">
        <v>26</v>
      </c>
      <c r="L1740" t="s">
        <v>7961</v>
      </c>
      <c r="N1740" t="s">
        <v>7961</v>
      </c>
      <c r="T1740" t="s">
        <v>7962</v>
      </c>
      <c r="U1740" t="s">
        <v>7963</v>
      </c>
      <c r="V1740" t="s">
        <v>7961</v>
      </c>
      <c r="W1740" t="s">
        <v>86</v>
      </c>
      <c r="X1740" t="s">
        <v>7964</v>
      </c>
      <c r="Y1740">
        <v>0</v>
      </c>
      <c r="Z1740">
        <v>4</v>
      </c>
    </row>
    <row r="1741" spans="1:26">
      <c r="A1741" s="1">
        <v>1739</v>
      </c>
      <c r="B1741" t="str">
        <f>HYPERLINK("https://bugs.eclipse.org/bugs/show_bug.cgi?id=59156", "59156")</f>
        <v>59156</v>
      </c>
      <c r="C1741" t="s">
        <v>149</v>
      </c>
      <c r="D1741" t="s">
        <v>10</v>
      </c>
      <c r="E1741" t="s">
        <v>12</v>
      </c>
      <c r="F1741" t="s">
        <v>26</v>
      </c>
      <c r="L1741" t="s">
        <v>7965</v>
      </c>
      <c r="N1741" t="s">
        <v>7965</v>
      </c>
      <c r="S1741" t="s">
        <v>7966</v>
      </c>
      <c r="T1741" t="s">
        <v>7967</v>
      </c>
      <c r="U1741" t="s">
        <v>7968</v>
      </c>
      <c r="V1741" t="s">
        <v>7965</v>
      </c>
      <c r="W1741" t="s">
        <v>86</v>
      </c>
      <c r="X1741" t="s">
        <v>7969</v>
      </c>
      <c r="Y1741">
        <v>1</v>
      </c>
      <c r="Z1741">
        <v>27</v>
      </c>
    </row>
    <row r="1742" spans="1:26">
      <c r="A1742" s="1">
        <v>1740</v>
      </c>
      <c r="B1742" t="str">
        <f>HYPERLINK("https://bugs.eclipse.org/bugs/show_bug.cgi?id=59157", "59157")</f>
        <v>59157</v>
      </c>
      <c r="C1742" t="s">
        <v>149</v>
      </c>
      <c r="D1742" t="s">
        <v>10</v>
      </c>
      <c r="E1742" t="s">
        <v>12</v>
      </c>
      <c r="F1742" t="s">
        <v>26</v>
      </c>
      <c r="G1742" t="s">
        <v>7970</v>
      </c>
      <c r="L1742" t="s">
        <v>7971</v>
      </c>
      <c r="N1742" t="s">
        <v>7971</v>
      </c>
      <c r="S1742" t="s">
        <v>7972</v>
      </c>
      <c r="T1742" t="s">
        <v>7973</v>
      </c>
      <c r="U1742" t="s">
        <v>7974</v>
      </c>
      <c r="V1742" t="s">
        <v>7971</v>
      </c>
      <c r="W1742" t="s">
        <v>86</v>
      </c>
      <c r="X1742" t="s">
        <v>7975</v>
      </c>
      <c r="Y1742">
        <v>1</v>
      </c>
      <c r="Z1742">
        <v>122</v>
      </c>
    </row>
    <row r="1743" spans="1:26">
      <c r="A1743" s="1">
        <v>1741</v>
      </c>
      <c r="B1743" t="str">
        <f>HYPERLINK("https://bugs.eclipse.org/bugs/show_bug.cgi?id=59214", "59214")</f>
        <v>59214</v>
      </c>
      <c r="C1743" t="s">
        <v>149</v>
      </c>
      <c r="D1743" t="s">
        <v>10</v>
      </c>
      <c r="E1743" t="s">
        <v>12</v>
      </c>
      <c r="F1743" t="s">
        <v>26</v>
      </c>
      <c r="G1743" t="s">
        <v>7976</v>
      </c>
      <c r="L1743" t="s">
        <v>7977</v>
      </c>
      <c r="N1743" t="s">
        <v>7977</v>
      </c>
      <c r="T1743" t="s">
        <v>7978</v>
      </c>
      <c r="U1743" t="s">
        <v>7979</v>
      </c>
      <c r="V1743" t="s">
        <v>7980</v>
      </c>
      <c r="W1743" t="s">
        <v>86</v>
      </c>
      <c r="X1743" t="s">
        <v>7981</v>
      </c>
      <c r="Y1743">
        <v>0</v>
      </c>
      <c r="Z1743">
        <v>7</v>
      </c>
    </row>
    <row r="1744" spans="1:26">
      <c r="A1744" s="1">
        <v>1742</v>
      </c>
      <c r="B1744" t="str">
        <f>HYPERLINK("https://bugs.eclipse.org/bugs/show_bug.cgi?id=59259", "59259")</f>
        <v>59259</v>
      </c>
      <c r="C1744" t="s">
        <v>149</v>
      </c>
      <c r="D1744" t="s">
        <v>10</v>
      </c>
      <c r="E1744" t="s">
        <v>12</v>
      </c>
      <c r="F1744" t="s">
        <v>26</v>
      </c>
      <c r="L1744" t="s">
        <v>7982</v>
      </c>
      <c r="N1744" t="s">
        <v>7982</v>
      </c>
      <c r="T1744" t="s">
        <v>7983</v>
      </c>
      <c r="U1744" t="s">
        <v>7984</v>
      </c>
      <c r="V1744" t="s">
        <v>7982</v>
      </c>
      <c r="W1744" t="s">
        <v>49</v>
      </c>
      <c r="X1744" t="s">
        <v>7985</v>
      </c>
      <c r="Y1744">
        <v>0</v>
      </c>
      <c r="Z1744">
        <v>20</v>
      </c>
    </row>
    <row r="1745" spans="1:26">
      <c r="A1745" s="1">
        <v>1743</v>
      </c>
      <c r="B1745" t="str">
        <f>HYPERLINK("https://bugs.eclipse.org/bugs/show_bug.cgi?id=59280", "59280")</f>
        <v>59280</v>
      </c>
      <c r="C1745" t="s">
        <v>149</v>
      </c>
      <c r="D1745" t="s">
        <v>10</v>
      </c>
      <c r="E1745" t="s">
        <v>12</v>
      </c>
      <c r="F1745" t="s">
        <v>26</v>
      </c>
      <c r="L1745" t="s">
        <v>7986</v>
      </c>
      <c r="N1745" t="s">
        <v>7986</v>
      </c>
      <c r="T1745" t="s">
        <v>7987</v>
      </c>
      <c r="U1745" t="s">
        <v>7988</v>
      </c>
      <c r="V1745" t="s">
        <v>7986</v>
      </c>
      <c r="W1745" t="s">
        <v>86</v>
      </c>
      <c r="X1745" t="s">
        <v>7989</v>
      </c>
      <c r="Y1745">
        <v>0</v>
      </c>
      <c r="Z1745">
        <v>23</v>
      </c>
    </row>
    <row r="1746" spans="1:26">
      <c r="A1746" s="1">
        <v>1744</v>
      </c>
      <c r="B1746" t="str">
        <f>HYPERLINK("https://bugs.eclipse.org/bugs/show_bug.cgi?id=59283", "59283")</f>
        <v>59283</v>
      </c>
      <c r="C1746" t="s">
        <v>149</v>
      </c>
      <c r="D1746" t="s">
        <v>10</v>
      </c>
      <c r="E1746" t="s">
        <v>12</v>
      </c>
      <c r="F1746" t="s">
        <v>150</v>
      </c>
      <c r="L1746" t="s">
        <v>7990</v>
      </c>
      <c r="N1746" t="s">
        <v>7990</v>
      </c>
      <c r="T1746" t="s">
        <v>7991</v>
      </c>
      <c r="U1746" t="s">
        <v>7992</v>
      </c>
      <c r="V1746" t="s">
        <v>7993</v>
      </c>
      <c r="W1746" t="s">
        <v>86</v>
      </c>
      <c r="X1746" t="s">
        <v>7994</v>
      </c>
      <c r="Y1746">
        <v>0</v>
      </c>
      <c r="Z1746">
        <v>23</v>
      </c>
    </row>
    <row r="1747" spans="1:26">
      <c r="A1747" s="1">
        <v>1745</v>
      </c>
      <c r="B1747" t="str">
        <f>HYPERLINK("https://bugs.eclipse.org/bugs/show_bug.cgi?id=59284", "59284")</f>
        <v>59284</v>
      </c>
      <c r="C1747" t="s">
        <v>149</v>
      </c>
      <c r="D1747" t="s">
        <v>10</v>
      </c>
      <c r="E1747" t="s">
        <v>12</v>
      </c>
      <c r="F1747" t="s">
        <v>26</v>
      </c>
      <c r="L1747" t="s">
        <v>7995</v>
      </c>
      <c r="N1747" t="s">
        <v>7995</v>
      </c>
      <c r="T1747" t="s">
        <v>7996</v>
      </c>
      <c r="U1747" t="s">
        <v>7997</v>
      </c>
      <c r="V1747" t="s">
        <v>7995</v>
      </c>
      <c r="W1747" t="s">
        <v>86</v>
      </c>
      <c r="X1747" t="s">
        <v>7998</v>
      </c>
      <c r="Y1747">
        <v>0</v>
      </c>
      <c r="Z1747">
        <v>23</v>
      </c>
    </row>
    <row r="1748" spans="1:26">
      <c r="A1748" s="1">
        <v>1746</v>
      </c>
      <c r="B1748" t="str">
        <f>HYPERLINK("https://bugs.eclipse.org/bugs/show_bug.cgi?id=59304", "59304")</f>
        <v>59304</v>
      </c>
      <c r="C1748" t="s">
        <v>7999</v>
      </c>
      <c r="D1748" t="s">
        <v>10</v>
      </c>
      <c r="E1748" t="s">
        <v>15</v>
      </c>
      <c r="F1748" t="s">
        <v>26</v>
      </c>
      <c r="L1748" t="s">
        <v>8000</v>
      </c>
      <c r="Q1748" t="s">
        <v>8000</v>
      </c>
      <c r="T1748" t="s">
        <v>8001</v>
      </c>
      <c r="U1748" t="s">
        <v>8002</v>
      </c>
      <c r="V1748" t="s">
        <v>8000</v>
      </c>
      <c r="W1748" t="s">
        <v>851</v>
      </c>
      <c r="X1748" t="s">
        <v>8003</v>
      </c>
      <c r="Y1748">
        <v>1</v>
      </c>
      <c r="Z1748">
        <v>36</v>
      </c>
    </row>
    <row r="1749" spans="1:26">
      <c r="A1749" s="1">
        <v>1747</v>
      </c>
      <c r="B1749" t="str">
        <f>HYPERLINK("https://bugs.eclipse.org/bugs/show_bug.cgi?id=59423", "59423")</f>
        <v>59423</v>
      </c>
      <c r="C1749" t="s">
        <v>56</v>
      </c>
      <c r="D1749" t="s">
        <v>10</v>
      </c>
      <c r="E1749" t="s">
        <v>14</v>
      </c>
      <c r="F1749" t="s">
        <v>150</v>
      </c>
      <c r="L1749" t="s">
        <v>8004</v>
      </c>
      <c r="P1749" t="s">
        <v>8005</v>
      </c>
      <c r="S1749" t="s">
        <v>8006</v>
      </c>
      <c r="T1749" t="s">
        <v>8007</v>
      </c>
      <c r="U1749" t="s">
        <v>8008</v>
      </c>
      <c r="V1749" t="s">
        <v>8005</v>
      </c>
      <c r="W1749" t="s">
        <v>75</v>
      </c>
      <c r="X1749" t="s">
        <v>8009</v>
      </c>
      <c r="Y1749">
        <v>1</v>
      </c>
      <c r="Z1749">
        <v>1957</v>
      </c>
    </row>
    <row r="1750" spans="1:26">
      <c r="A1750" s="1">
        <v>1748</v>
      </c>
      <c r="B1750" t="str">
        <f>HYPERLINK("https://bugs.eclipse.org/bugs/show_bug.cgi?id=59452", "59452")</f>
        <v>59452</v>
      </c>
      <c r="C1750" t="s">
        <v>56</v>
      </c>
      <c r="D1750" t="s">
        <v>10</v>
      </c>
      <c r="E1750" t="s">
        <v>14</v>
      </c>
      <c r="F1750" t="s">
        <v>26</v>
      </c>
      <c r="L1750" t="s">
        <v>8010</v>
      </c>
      <c r="P1750" t="s">
        <v>8011</v>
      </c>
      <c r="T1750" t="s">
        <v>8012</v>
      </c>
      <c r="U1750" t="s">
        <v>8013</v>
      </c>
      <c r="V1750" t="s">
        <v>8011</v>
      </c>
      <c r="W1750" t="s">
        <v>80</v>
      </c>
      <c r="X1750" t="s">
        <v>8014</v>
      </c>
      <c r="Y1750">
        <v>2</v>
      </c>
      <c r="Z1750">
        <v>1957</v>
      </c>
    </row>
    <row r="1751" spans="1:26">
      <c r="A1751" s="1">
        <v>1749</v>
      </c>
      <c r="B1751" t="str">
        <f>HYPERLINK("https://bugs.eclipse.org/bugs/show_bug.cgi?id=59504", "59504")</f>
        <v>59504</v>
      </c>
      <c r="C1751" t="s">
        <v>8015</v>
      </c>
      <c r="D1751" t="s">
        <v>10</v>
      </c>
      <c r="E1751" t="s">
        <v>15</v>
      </c>
      <c r="F1751" t="s">
        <v>26</v>
      </c>
      <c r="L1751" t="s">
        <v>8016</v>
      </c>
      <c r="Q1751" t="s">
        <v>8016</v>
      </c>
      <c r="T1751" t="s">
        <v>8017</v>
      </c>
      <c r="U1751" t="s">
        <v>8016</v>
      </c>
      <c r="V1751" t="s">
        <v>8016</v>
      </c>
      <c r="W1751" t="s">
        <v>86</v>
      </c>
      <c r="X1751" t="s">
        <v>8018</v>
      </c>
      <c r="Y1751">
        <v>1</v>
      </c>
      <c r="Z1751">
        <v>1</v>
      </c>
    </row>
    <row r="1752" spans="1:26">
      <c r="A1752" s="1">
        <v>1750</v>
      </c>
      <c r="B1752" t="str">
        <f>HYPERLINK("https://bugs.eclipse.org/bugs/show_bug.cgi?id=59505", "59505")</f>
        <v>59505</v>
      </c>
      <c r="C1752" t="s">
        <v>8019</v>
      </c>
      <c r="D1752" t="s">
        <v>10</v>
      </c>
      <c r="E1752" t="s">
        <v>15</v>
      </c>
      <c r="F1752" t="s">
        <v>26</v>
      </c>
      <c r="L1752" t="s">
        <v>8020</v>
      </c>
      <c r="Q1752" t="s">
        <v>8020</v>
      </c>
      <c r="T1752" t="s">
        <v>8021</v>
      </c>
      <c r="U1752" t="s">
        <v>8020</v>
      </c>
      <c r="V1752" t="s">
        <v>8020</v>
      </c>
      <c r="W1752" t="s">
        <v>86</v>
      </c>
      <c r="X1752" t="s">
        <v>8022</v>
      </c>
      <c r="Y1752">
        <v>1</v>
      </c>
      <c r="Z1752">
        <v>1</v>
      </c>
    </row>
    <row r="1753" spans="1:26">
      <c r="A1753" s="1">
        <v>1751</v>
      </c>
      <c r="B1753" t="str">
        <f>HYPERLINK("https://bugs.eclipse.org/bugs/show_bug.cgi?id=59597", "59597")</f>
        <v>59597</v>
      </c>
      <c r="C1753" t="s">
        <v>56</v>
      </c>
      <c r="D1753" t="s">
        <v>10</v>
      </c>
      <c r="E1753" t="s">
        <v>14</v>
      </c>
      <c r="F1753" t="s">
        <v>26</v>
      </c>
      <c r="L1753" t="s">
        <v>8023</v>
      </c>
      <c r="P1753" t="s">
        <v>5350</v>
      </c>
      <c r="T1753" t="s">
        <v>8024</v>
      </c>
      <c r="U1753" t="s">
        <v>8023</v>
      </c>
      <c r="V1753" t="s">
        <v>5350</v>
      </c>
      <c r="W1753" t="s">
        <v>75</v>
      </c>
      <c r="X1753" t="s">
        <v>8025</v>
      </c>
      <c r="Y1753">
        <v>0</v>
      </c>
      <c r="Z1753">
        <v>1956</v>
      </c>
    </row>
    <row r="1754" spans="1:26">
      <c r="A1754" s="1">
        <v>1752</v>
      </c>
      <c r="B1754" t="str">
        <f>HYPERLINK("https://bugs.eclipse.org/bugs/show_bug.cgi?id=59602", "59602")</f>
        <v>59602</v>
      </c>
      <c r="C1754" t="s">
        <v>35</v>
      </c>
      <c r="D1754" t="s">
        <v>11</v>
      </c>
      <c r="E1754" t="s">
        <v>12</v>
      </c>
      <c r="F1754" t="s">
        <v>26</v>
      </c>
      <c r="L1754" t="s">
        <v>8026</v>
      </c>
      <c r="M1754" t="s">
        <v>8027</v>
      </c>
      <c r="N1754" t="s">
        <v>8026</v>
      </c>
      <c r="T1754" t="s">
        <v>8028</v>
      </c>
      <c r="U1754" t="s">
        <v>8026</v>
      </c>
      <c r="V1754" t="s">
        <v>8027</v>
      </c>
      <c r="W1754" t="s">
        <v>49</v>
      </c>
      <c r="X1754" t="s">
        <v>8029</v>
      </c>
      <c r="Y1754">
        <v>506</v>
      </c>
      <c r="Z1754">
        <v>516</v>
      </c>
    </row>
    <row r="1755" spans="1:26">
      <c r="A1755" s="1">
        <v>1753</v>
      </c>
      <c r="B1755" t="str">
        <f>HYPERLINK("https://bugs.eclipse.org/bugs/show_bug.cgi?id=59662", "59662")</f>
        <v>59662</v>
      </c>
      <c r="C1755" t="s">
        <v>149</v>
      </c>
      <c r="D1755" t="s">
        <v>10</v>
      </c>
      <c r="E1755" t="s">
        <v>12</v>
      </c>
      <c r="F1755" t="s">
        <v>26</v>
      </c>
      <c r="L1755" t="s">
        <v>8030</v>
      </c>
      <c r="N1755" t="s">
        <v>8030</v>
      </c>
      <c r="T1755" t="s">
        <v>8031</v>
      </c>
      <c r="U1755" t="s">
        <v>8032</v>
      </c>
      <c r="V1755" t="s">
        <v>8030</v>
      </c>
      <c r="W1755" t="s">
        <v>86</v>
      </c>
      <c r="X1755" t="s">
        <v>8033</v>
      </c>
      <c r="Y1755">
        <v>0</v>
      </c>
      <c r="Z1755">
        <v>1</v>
      </c>
    </row>
    <row r="1756" spans="1:26">
      <c r="A1756" s="1">
        <v>1754</v>
      </c>
      <c r="B1756" t="str">
        <f>HYPERLINK("https://bugs.eclipse.org/bugs/show_bug.cgi?id=59683", "59683")</f>
        <v>59683</v>
      </c>
      <c r="C1756" t="s">
        <v>140</v>
      </c>
      <c r="D1756" t="s">
        <v>10</v>
      </c>
      <c r="E1756" t="s">
        <v>16</v>
      </c>
      <c r="F1756" t="s">
        <v>150</v>
      </c>
      <c r="L1756" t="s">
        <v>8034</v>
      </c>
      <c r="R1756" t="s">
        <v>8034</v>
      </c>
      <c r="T1756" t="s">
        <v>8035</v>
      </c>
      <c r="U1756" t="s">
        <v>8036</v>
      </c>
      <c r="V1756" t="s">
        <v>8034</v>
      </c>
      <c r="W1756" t="s">
        <v>1161</v>
      </c>
      <c r="X1756" t="s">
        <v>8037</v>
      </c>
      <c r="Y1756">
        <v>1</v>
      </c>
      <c r="Z1756">
        <v>1</v>
      </c>
    </row>
    <row r="1757" spans="1:26">
      <c r="A1757" s="1">
        <v>1755</v>
      </c>
      <c r="B1757" t="str">
        <f>HYPERLINK("https://bugs.eclipse.org/bugs/show_bug.cgi?id=59704", "59704")</f>
        <v>59704</v>
      </c>
      <c r="C1757" t="s">
        <v>149</v>
      </c>
      <c r="D1757" t="s">
        <v>10</v>
      </c>
      <c r="E1757" t="s">
        <v>12</v>
      </c>
      <c r="F1757" t="s">
        <v>26</v>
      </c>
      <c r="L1757" t="s">
        <v>8038</v>
      </c>
      <c r="N1757" t="s">
        <v>8038</v>
      </c>
      <c r="T1757" t="s">
        <v>8039</v>
      </c>
      <c r="U1757" t="s">
        <v>8040</v>
      </c>
      <c r="V1757" t="s">
        <v>8038</v>
      </c>
      <c r="W1757" t="s">
        <v>851</v>
      </c>
      <c r="X1757" t="s">
        <v>8041</v>
      </c>
      <c r="Y1757">
        <v>1</v>
      </c>
      <c r="Z1757">
        <v>20</v>
      </c>
    </row>
    <row r="1758" spans="1:26">
      <c r="A1758" s="1">
        <v>1756</v>
      </c>
      <c r="B1758" t="str">
        <f>HYPERLINK("https://bugs.eclipse.org/bugs/show_bug.cgi?id=59759", "59759")</f>
        <v>59759</v>
      </c>
      <c r="C1758" t="s">
        <v>149</v>
      </c>
      <c r="D1758" t="s">
        <v>10</v>
      </c>
      <c r="E1758" t="s">
        <v>12</v>
      </c>
      <c r="F1758" t="s">
        <v>26</v>
      </c>
      <c r="L1758" t="s">
        <v>8042</v>
      </c>
      <c r="N1758" t="s">
        <v>8042</v>
      </c>
      <c r="T1758" t="s">
        <v>8043</v>
      </c>
      <c r="U1758" t="s">
        <v>8044</v>
      </c>
      <c r="V1758" t="s">
        <v>8042</v>
      </c>
      <c r="W1758" t="s">
        <v>86</v>
      </c>
      <c r="X1758" t="s">
        <v>8045</v>
      </c>
      <c r="Y1758">
        <v>0</v>
      </c>
      <c r="Z1758">
        <v>11</v>
      </c>
    </row>
    <row r="1759" spans="1:26">
      <c r="A1759" s="1">
        <v>1757</v>
      </c>
      <c r="B1759" t="str">
        <f>HYPERLINK("https://bugs.eclipse.org/bugs/show_bug.cgi?id=59761", "59761")</f>
        <v>59761</v>
      </c>
      <c r="C1759" t="s">
        <v>56</v>
      </c>
      <c r="D1759" t="s">
        <v>10</v>
      </c>
      <c r="E1759" t="s">
        <v>14</v>
      </c>
      <c r="F1759" t="s">
        <v>26</v>
      </c>
      <c r="L1759" t="s">
        <v>8046</v>
      </c>
      <c r="P1759" t="s">
        <v>8047</v>
      </c>
      <c r="T1759" t="s">
        <v>8048</v>
      </c>
      <c r="U1759" t="s">
        <v>8049</v>
      </c>
      <c r="V1759" t="s">
        <v>8047</v>
      </c>
      <c r="W1759" t="s">
        <v>80</v>
      </c>
      <c r="X1759" t="s">
        <v>8050</v>
      </c>
      <c r="Y1759">
        <v>0</v>
      </c>
      <c r="Z1759">
        <v>1955</v>
      </c>
    </row>
    <row r="1760" spans="1:26">
      <c r="A1760" s="1">
        <v>1758</v>
      </c>
      <c r="B1760" t="str">
        <f>HYPERLINK("https://bugs.eclipse.org/bugs/show_bug.cgi?id=59771", "59771")</f>
        <v>59771</v>
      </c>
      <c r="C1760" t="s">
        <v>56</v>
      </c>
      <c r="D1760" t="s">
        <v>10</v>
      </c>
      <c r="E1760" t="s">
        <v>14</v>
      </c>
      <c r="F1760" t="s">
        <v>26</v>
      </c>
      <c r="L1760" t="s">
        <v>8051</v>
      </c>
      <c r="P1760" t="s">
        <v>8052</v>
      </c>
      <c r="T1760" t="s">
        <v>8053</v>
      </c>
      <c r="U1760" t="s">
        <v>8054</v>
      </c>
      <c r="V1760" t="s">
        <v>8052</v>
      </c>
      <c r="W1760" t="s">
        <v>80</v>
      </c>
      <c r="X1760" t="s">
        <v>8055</v>
      </c>
      <c r="Y1760">
        <v>0</v>
      </c>
      <c r="Z1760">
        <v>1955</v>
      </c>
    </row>
    <row r="1761" spans="1:26">
      <c r="A1761" s="1">
        <v>1759</v>
      </c>
      <c r="B1761" t="str">
        <f>HYPERLINK("https://bugs.eclipse.org/bugs/show_bug.cgi?id=59772", "59772")</f>
        <v>59772</v>
      </c>
      <c r="C1761" t="s">
        <v>35</v>
      </c>
      <c r="D1761" t="s">
        <v>11</v>
      </c>
      <c r="E1761" t="s">
        <v>12</v>
      </c>
      <c r="F1761" t="s">
        <v>51</v>
      </c>
      <c r="L1761" t="s">
        <v>8056</v>
      </c>
      <c r="M1761" t="s">
        <v>8057</v>
      </c>
      <c r="N1761" t="s">
        <v>8056</v>
      </c>
      <c r="T1761" t="s">
        <v>8058</v>
      </c>
      <c r="U1761" t="s">
        <v>8059</v>
      </c>
      <c r="V1761" t="s">
        <v>8057</v>
      </c>
      <c r="W1761" t="s">
        <v>6330</v>
      </c>
      <c r="X1761" t="s">
        <v>8060</v>
      </c>
      <c r="Y1761">
        <v>0</v>
      </c>
      <c r="Z1761">
        <v>49</v>
      </c>
    </row>
    <row r="1762" spans="1:26">
      <c r="A1762" s="1">
        <v>1760</v>
      </c>
      <c r="B1762" t="str">
        <f>HYPERLINK("https://bugs.eclipse.org/bugs/show_bug.cgi?id=59789", "59789")</f>
        <v>59789</v>
      </c>
      <c r="C1762" t="s">
        <v>8019</v>
      </c>
      <c r="D1762" t="s">
        <v>10</v>
      </c>
      <c r="E1762" t="s">
        <v>15</v>
      </c>
      <c r="F1762" t="s">
        <v>26</v>
      </c>
      <c r="L1762" t="s">
        <v>8061</v>
      </c>
      <c r="Q1762" t="s">
        <v>8061</v>
      </c>
      <c r="T1762" t="s">
        <v>8062</v>
      </c>
      <c r="U1762" t="s">
        <v>8061</v>
      </c>
      <c r="V1762" t="s">
        <v>8061</v>
      </c>
      <c r="W1762" t="s">
        <v>86</v>
      </c>
      <c r="X1762" t="s">
        <v>8063</v>
      </c>
      <c r="Y1762">
        <v>0</v>
      </c>
      <c r="Z1762">
        <v>0</v>
      </c>
    </row>
    <row r="1763" spans="1:26">
      <c r="A1763" s="1">
        <v>1761</v>
      </c>
      <c r="B1763" t="str">
        <f>HYPERLINK("https://bugs.eclipse.org/bugs/show_bug.cgi?id=59793", "59793")</f>
        <v>59793</v>
      </c>
      <c r="C1763" t="s">
        <v>56</v>
      </c>
      <c r="D1763" t="s">
        <v>10</v>
      </c>
      <c r="E1763" t="s">
        <v>14</v>
      </c>
      <c r="F1763" t="s">
        <v>26</v>
      </c>
      <c r="L1763" t="s">
        <v>8064</v>
      </c>
      <c r="P1763" t="s">
        <v>5023</v>
      </c>
      <c r="T1763" t="s">
        <v>8065</v>
      </c>
      <c r="U1763" t="s">
        <v>8066</v>
      </c>
      <c r="V1763" t="s">
        <v>5023</v>
      </c>
      <c r="W1763" t="s">
        <v>75</v>
      </c>
      <c r="X1763" t="s">
        <v>8067</v>
      </c>
      <c r="Y1763">
        <v>0</v>
      </c>
      <c r="Z1763">
        <v>1955</v>
      </c>
    </row>
    <row r="1764" spans="1:26">
      <c r="A1764" s="1">
        <v>1762</v>
      </c>
      <c r="B1764" t="str">
        <f>HYPERLINK("https://bugs.eclipse.org/bugs/show_bug.cgi?id=59794", "59794")</f>
        <v>59794</v>
      </c>
      <c r="C1764" t="s">
        <v>8019</v>
      </c>
      <c r="D1764" t="s">
        <v>10</v>
      </c>
      <c r="E1764" t="s">
        <v>15</v>
      </c>
      <c r="F1764" t="s">
        <v>26</v>
      </c>
      <c r="L1764" t="s">
        <v>8068</v>
      </c>
      <c r="Q1764" t="s">
        <v>8068</v>
      </c>
      <c r="T1764" t="s">
        <v>8069</v>
      </c>
      <c r="U1764" t="s">
        <v>8068</v>
      </c>
      <c r="V1764" t="s">
        <v>8068</v>
      </c>
      <c r="W1764" t="s">
        <v>86</v>
      </c>
      <c r="X1764" t="s">
        <v>8070</v>
      </c>
      <c r="Y1764">
        <v>0</v>
      </c>
      <c r="Z1764">
        <v>0</v>
      </c>
    </row>
    <row r="1765" spans="1:26">
      <c r="A1765" s="1">
        <v>1763</v>
      </c>
      <c r="B1765" t="str">
        <f>HYPERLINK("https://bugs.eclipse.org/bugs/show_bug.cgi?id=59903", "59903")</f>
        <v>59903</v>
      </c>
      <c r="C1765" t="s">
        <v>8071</v>
      </c>
      <c r="D1765" t="s">
        <v>10</v>
      </c>
      <c r="E1765" t="s">
        <v>15</v>
      </c>
      <c r="F1765" t="s">
        <v>26</v>
      </c>
      <c r="L1765" t="s">
        <v>8072</v>
      </c>
      <c r="Q1765" t="s">
        <v>8072</v>
      </c>
      <c r="S1765" t="s">
        <v>8073</v>
      </c>
      <c r="T1765" t="s">
        <v>8074</v>
      </c>
      <c r="U1765" t="s">
        <v>8075</v>
      </c>
      <c r="V1765" t="s">
        <v>8072</v>
      </c>
      <c r="W1765" t="s">
        <v>86</v>
      </c>
      <c r="X1765" t="s">
        <v>8076</v>
      </c>
      <c r="Y1765">
        <v>0</v>
      </c>
      <c r="Z1765">
        <v>317.04166666666669</v>
      </c>
    </row>
    <row r="1766" spans="1:26">
      <c r="A1766" s="1">
        <v>1764</v>
      </c>
      <c r="B1766" t="str">
        <f>HYPERLINK("https://bugs.eclipse.org/bugs/show_bug.cgi?id=59973", "59973")</f>
        <v>59973</v>
      </c>
      <c r="C1766" t="s">
        <v>8019</v>
      </c>
      <c r="D1766" t="s">
        <v>10</v>
      </c>
      <c r="E1766" t="s">
        <v>15</v>
      </c>
      <c r="F1766" t="s">
        <v>26</v>
      </c>
      <c r="L1766" t="s">
        <v>8077</v>
      </c>
      <c r="Q1766" t="s">
        <v>8077</v>
      </c>
      <c r="T1766" t="s">
        <v>8078</v>
      </c>
      <c r="U1766" t="s">
        <v>8077</v>
      </c>
      <c r="V1766" t="s">
        <v>8077</v>
      </c>
      <c r="W1766" t="s">
        <v>86</v>
      </c>
      <c r="X1766" t="s">
        <v>8079</v>
      </c>
      <c r="Y1766">
        <v>0</v>
      </c>
      <c r="Z1766">
        <v>0</v>
      </c>
    </row>
    <row r="1767" spans="1:26">
      <c r="A1767" s="1">
        <v>1765</v>
      </c>
      <c r="B1767" t="str">
        <f>HYPERLINK("https://bugs.eclipse.org/bugs/show_bug.cgi?id=60027", "60027")</f>
        <v>60027</v>
      </c>
      <c r="C1767" t="s">
        <v>56</v>
      </c>
      <c r="D1767" t="s">
        <v>10</v>
      </c>
      <c r="E1767" t="s">
        <v>14</v>
      </c>
      <c r="F1767" t="s">
        <v>26</v>
      </c>
      <c r="L1767" t="s">
        <v>8080</v>
      </c>
      <c r="P1767" t="s">
        <v>8081</v>
      </c>
      <c r="T1767" t="s">
        <v>8082</v>
      </c>
      <c r="U1767" t="s">
        <v>8080</v>
      </c>
      <c r="V1767" t="s">
        <v>8081</v>
      </c>
      <c r="W1767" t="s">
        <v>75</v>
      </c>
      <c r="X1767" t="s">
        <v>8083</v>
      </c>
      <c r="Y1767">
        <v>1</v>
      </c>
      <c r="Z1767">
        <v>1952</v>
      </c>
    </row>
    <row r="1768" spans="1:26">
      <c r="A1768" s="1">
        <v>1766</v>
      </c>
      <c r="B1768" t="str">
        <f>HYPERLINK("https://bugs.eclipse.org/bugs/show_bug.cgi?id=60034", "60034")</f>
        <v>60034</v>
      </c>
      <c r="C1768" t="s">
        <v>8019</v>
      </c>
      <c r="D1768" t="s">
        <v>10</v>
      </c>
      <c r="E1768" t="s">
        <v>15</v>
      </c>
      <c r="F1768" t="s">
        <v>26</v>
      </c>
      <c r="L1768" t="s">
        <v>7980</v>
      </c>
      <c r="Q1768" t="s">
        <v>7980</v>
      </c>
      <c r="T1768" t="s">
        <v>8084</v>
      </c>
      <c r="U1768" t="s">
        <v>8085</v>
      </c>
      <c r="V1768" t="s">
        <v>7980</v>
      </c>
      <c r="W1768" t="s">
        <v>86</v>
      </c>
      <c r="X1768" t="s">
        <v>8086</v>
      </c>
      <c r="Y1768">
        <v>1</v>
      </c>
      <c r="Z1768">
        <v>1</v>
      </c>
    </row>
    <row r="1769" spans="1:26">
      <c r="A1769" s="1">
        <v>1767</v>
      </c>
      <c r="B1769" t="str">
        <f>HYPERLINK("https://bugs.eclipse.org/bugs/show_bug.cgi?id=60052", "60052")</f>
        <v>60052</v>
      </c>
      <c r="C1769" t="s">
        <v>149</v>
      </c>
      <c r="D1769" t="s">
        <v>10</v>
      </c>
      <c r="E1769" t="s">
        <v>12</v>
      </c>
      <c r="F1769" t="s">
        <v>26</v>
      </c>
      <c r="L1769" t="s">
        <v>8087</v>
      </c>
      <c r="N1769" t="s">
        <v>8087</v>
      </c>
      <c r="T1769" t="s">
        <v>8088</v>
      </c>
      <c r="U1769" t="s">
        <v>8087</v>
      </c>
      <c r="V1769" t="s">
        <v>8087</v>
      </c>
      <c r="W1769" t="s">
        <v>86</v>
      </c>
      <c r="X1769" t="s">
        <v>8089</v>
      </c>
      <c r="Y1769">
        <v>8</v>
      </c>
      <c r="Z1769">
        <v>8</v>
      </c>
    </row>
    <row r="1770" spans="1:26">
      <c r="A1770" s="1">
        <v>1768</v>
      </c>
      <c r="B1770" t="str">
        <f>HYPERLINK("https://bugs.eclipse.org/bugs/show_bug.cgi?id=60083", "60083")</f>
        <v>60083</v>
      </c>
      <c r="C1770" t="s">
        <v>88</v>
      </c>
      <c r="D1770" t="s">
        <v>10</v>
      </c>
      <c r="E1770" t="s">
        <v>13</v>
      </c>
      <c r="F1770" t="s">
        <v>26</v>
      </c>
      <c r="L1770" t="s">
        <v>8090</v>
      </c>
      <c r="O1770" t="s">
        <v>8091</v>
      </c>
      <c r="T1770" t="s">
        <v>8092</v>
      </c>
      <c r="U1770" t="s">
        <v>8093</v>
      </c>
      <c r="V1770" t="s">
        <v>8091</v>
      </c>
      <c r="W1770" t="s">
        <v>75</v>
      </c>
      <c r="X1770" t="s">
        <v>8094</v>
      </c>
      <c r="Y1770">
        <v>0</v>
      </c>
      <c r="Z1770">
        <v>1951</v>
      </c>
    </row>
    <row r="1771" spans="1:26">
      <c r="A1771" s="1">
        <v>1769</v>
      </c>
      <c r="B1771" t="str">
        <f>HYPERLINK("https://bugs.eclipse.org/bugs/show_bug.cgi?id=60132", "60132")</f>
        <v>60132</v>
      </c>
      <c r="C1771" t="s">
        <v>25</v>
      </c>
      <c r="D1771" t="s">
        <v>25</v>
      </c>
      <c r="F1771" t="s">
        <v>26</v>
      </c>
      <c r="G1771" t="s">
        <v>8095</v>
      </c>
      <c r="L1771" t="s">
        <v>8096</v>
      </c>
      <c r="P1771" t="s">
        <v>8097</v>
      </c>
      <c r="S1771" t="s">
        <v>8098</v>
      </c>
      <c r="T1771" t="s">
        <v>8099</v>
      </c>
      <c r="U1771" t="s">
        <v>8096</v>
      </c>
      <c r="V1771" t="s">
        <v>8100</v>
      </c>
      <c r="W1771" t="s">
        <v>143</v>
      </c>
      <c r="X1771" t="s">
        <v>8101</v>
      </c>
      <c r="Y1771">
        <v>0</v>
      </c>
    </row>
    <row r="1772" spans="1:26">
      <c r="A1772" s="1">
        <v>1770</v>
      </c>
      <c r="B1772" t="str">
        <f>HYPERLINK("https://bugs.eclipse.org/bugs/show_bug.cgi?id=60222", "60222")</f>
        <v>60222</v>
      </c>
      <c r="C1772" t="s">
        <v>140</v>
      </c>
      <c r="D1772" t="s">
        <v>10</v>
      </c>
      <c r="E1772" t="s">
        <v>16</v>
      </c>
      <c r="F1772" t="s">
        <v>26</v>
      </c>
      <c r="L1772" t="s">
        <v>8102</v>
      </c>
      <c r="R1772" t="s">
        <v>8102</v>
      </c>
      <c r="T1772" t="s">
        <v>8103</v>
      </c>
      <c r="U1772" t="s">
        <v>8104</v>
      </c>
      <c r="V1772" t="s">
        <v>8102</v>
      </c>
      <c r="W1772" t="s">
        <v>86</v>
      </c>
      <c r="X1772" t="s">
        <v>8105</v>
      </c>
      <c r="Y1772">
        <v>0</v>
      </c>
      <c r="Z1772">
        <v>0</v>
      </c>
    </row>
    <row r="1773" spans="1:26">
      <c r="A1773" s="1">
        <v>1771</v>
      </c>
      <c r="B1773" t="str">
        <f>HYPERLINK("https://bugs.eclipse.org/bugs/show_bug.cgi?id=60292", "60292")</f>
        <v>60292</v>
      </c>
      <c r="C1773" t="s">
        <v>8106</v>
      </c>
      <c r="D1773" t="s">
        <v>10</v>
      </c>
      <c r="E1773" t="s">
        <v>15</v>
      </c>
      <c r="F1773" t="s">
        <v>26</v>
      </c>
      <c r="L1773" t="s">
        <v>8107</v>
      </c>
      <c r="Q1773" t="s">
        <v>8107</v>
      </c>
      <c r="T1773" t="s">
        <v>8108</v>
      </c>
      <c r="U1773" t="s">
        <v>8109</v>
      </c>
      <c r="V1773" t="s">
        <v>8107</v>
      </c>
      <c r="W1773" t="s">
        <v>49</v>
      </c>
      <c r="X1773" t="s">
        <v>8110</v>
      </c>
      <c r="Y1773">
        <v>1</v>
      </c>
      <c r="Z1773">
        <v>11</v>
      </c>
    </row>
    <row r="1774" spans="1:26">
      <c r="A1774" s="1">
        <v>1772</v>
      </c>
      <c r="B1774" t="str">
        <f>HYPERLINK("https://bugs.eclipse.org/bugs/show_bug.cgi?id=60415", "60415")</f>
        <v>60415</v>
      </c>
      <c r="C1774" t="s">
        <v>149</v>
      </c>
      <c r="D1774" t="s">
        <v>10</v>
      </c>
      <c r="E1774" t="s">
        <v>12</v>
      </c>
      <c r="F1774" t="s">
        <v>26</v>
      </c>
      <c r="L1774" t="s">
        <v>8111</v>
      </c>
      <c r="N1774" t="s">
        <v>8111</v>
      </c>
      <c r="T1774" t="s">
        <v>8112</v>
      </c>
      <c r="U1774" t="s">
        <v>8113</v>
      </c>
      <c r="V1774" t="s">
        <v>8111</v>
      </c>
      <c r="W1774" t="s">
        <v>6330</v>
      </c>
      <c r="X1774" t="s">
        <v>8114</v>
      </c>
      <c r="Y1774">
        <v>0</v>
      </c>
      <c r="Z1774">
        <v>11</v>
      </c>
    </row>
    <row r="1775" spans="1:26">
      <c r="A1775" s="1">
        <v>1773</v>
      </c>
      <c r="B1775" t="str">
        <f>HYPERLINK("https://bugs.eclipse.org/bugs/show_bug.cgi?id=60465", "60465")</f>
        <v>60465</v>
      </c>
      <c r="C1775" t="s">
        <v>149</v>
      </c>
      <c r="D1775" t="s">
        <v>10</v>
      </c>
      <c r="E1775" t="s">
        <v>12</v>
      </c>
      <c r="F1775" t="s">
        <v>26</v>
      </c>
      <c r="L1775" t="s">
        <v>8115</v>
      </c>
      <c r="N1775" t="s">
        <v>8115</v>
      </c>
      <c r="T1775" t="s">
        <v>8116</v>
      </c>
      <c r="U1775" t="s">
        <v>8117</v>
      </c>
      <c r="V1775" t="s">
        <v>8115</v>
      </c>
      <c r="W1775" t="s">
        <v>49</v>
      </c>
      <c r="X1775" t="s">
        <v>8118</v>
      </c>
      <c r="Y1775">
        <v>1</v>
      </c>
      <c r="Z1775">
        <v>1</v>
      </c>
    </row>
    <row r="1776" spans="1:26">
      <c r="A1776" s="1">
        <v>1774</v>
      </c>
      <c r="B1776" t="str">
        <f>HYPERLINK("https://bugs.eclipse.org/bugs/show_bug.cgi?id=60466", "60466")</f>
        <v>60466</v>
      </c>
      <c r="C1776" t="s">
        <v>149</v>
      </c>
      <c r="D1776" t="s">
        <v>10</v>
      </c>
      <c r="E1776" t="s">
        <v>12</v>
      </c>
      <c r="F1776" t="s">
        <v>150</v>
      </c>
      <c r="L1776" t="s">
        <v>8119</v>
      </c>
      <c r="N1776" t="s">
        <v>8119</v>
      </c>
      <c r="T1776" t="s">
        <v>8120</v>
      </c>
      <c r="U1776" t="s">
        <v>8121</v>
      </c>
      <c r="V1776" t="s">
        <v>8119</v>
      </c>
      <c r="W1776" t="s">
        <v>49</v>
      </c>
      <c r="X1776" t="s">
        <v>8122</v>
      </c>
      <c r="Y1776">
        <v>1</v>
      </c>
      <c r="Z1776">
        <v>1</v>
      </c>
    </row>
    <row r="1777" spans="1:26">
      <c r="A1777" s="1">
        <v>1775</v>
      </c>
      <c r="B1777" t="str">
        <f>HYPERLINK("https://bugs.eclipse.org/bugs/show_bug.cgi?id=60542", "60542")</f>
        <v>60542</v>
      </c>
      <c r="C1777" t="s">
        <v>149</v>
      </c>
      <c r="D1777" t="s">
        <v>10</v>
      </c>
      <c r="E1777" t="s">
        <v>12</v>
      </c>
      <c r="F1777" t="s">
        <v>26</v>
      </c>
      <c r="L1777" t="s">
        <v>8123</v>
      </c>
      <c r="N1777" t="s">
        <v>8123</v>
      </c>
      <c r="T1777" t="s">
        <v>8124</v>
      </c>
      <c r="U1777" t="s">
        <v>8125</v>
      </c>
      <c r="V1777" t="s">
        <v>8123</v>
      </c>
      <c r="W1777" t="s">
        <v>851</v>
      </c>
      <c r="X1777" t="s">
        <v>8126</v>
      </c>
      <c r="Y1777">
        <v>0</v>
      </c>
      <c r="Z1777">
        <v>0</v>
      </c>
    </row>
    <row r="1778" spans="1:26">
      <c r="A1778" s="1">
        <v>1776</v>
      </c>
      <c r="B1778" t="str">
        <f>HYPERLINK("https://bugs.eclipse.org/bugs/show_bug.cgi?id=60557", "60557")</f>
        <v>60557</v>
      </c>
      <c r="C1778" t="s">
        <v>149</v>
      </c>
      <c r="D1778" t="s">
        <v>10</v>
      </c>
      <c r="E1778" t="s">
        <v>12</v>
      </c>
      <c r="F1778" t="s">
        <v>26</v>
      </c>
      <c r="L1778" t="s">
        <v>8127</v>
      </c>
      <c r="N1778" t="s">
        <v>8127</v>
      </c>
      <c r="S1778" t="s">
        <v>8128</v>
      </c>
      <c r="T1778" t="s">
        <v>8129</v>
      </c>
      <c r="U1778" t="s">
        <v>8130</v>
      </c>
      <c r="V1778" t="s">
        <v>8127</v>
      </c>
      <c r="W1778" t="s">
        <v>851</v>
      </c>
      <c r="X1778" t="s">
        <v>8131</v>
      </c>
      <c r="Y1778">
        <v>26</v>
      </c>
      <c r="Z1778">
        <v>1069</v>
      </c>
    </row>
    <row r="1779" spans="1:26">
      <c r="A1779" s="1">
        <v>1777</v>
      </c>
      <c r="B1779" t="str">
        <f>HYPERLINK("https://bugs.eclipse.org/bugs/show_bug.cgi?id=60573", "60573")</f>
        <v>60573</v>
      </c>
      <c r="C1779" t="s">
        <v>56</v>
      </c>
      <c r="D1779" t="s">
        <v>10</v>
      </c>
      <c r="E1779" t="s">
        <v>14</v>
      </c>
      <c r="F1779" t="s">
        <v>26</v>
      </c>
      <c r="L1779" t="s">
        <v>8132</v>
      </c>
      <c r="P1779" t="s">
        <v>2677</v>
      </c>
      <c r="T1779" t="s">
        <v>8133</v>
      </c>
      <c r="U1779" t="s">
        <v>8134</v>
      </c>
      <c r="V1779" t="s">
        <v>2677</v>
      </c>
      <c r="W1779" t="s">
        <v>75</v>
      </c>
      <c r="X1779" t="s">
        <v>8135</v>
      </c>
      <c r="Y1779">
        <v>0</v>
      </c>
      <c r="Z1779">
        <v>1948</v>
      </c>
    </row>
    <row r="1780" spans="1:26">
      <c r="A1780" s="1">
        <v>1778</v>
      </c>
      <c r="B1780" t="str">
        <f>HYPERLINK("https://bugs.eclipse.org/bugs/show_bug.cgi?id=60665", "60665")</f>
        <v>60665</v>
      </c>
      <c r="C1780" t="s">
        <v>35</v>
      </c>
      <c r="D1780" t="s">
        <v>11</v>
      </c>
      <c r="E1780" t="s">
        <v>12</v>
      </c>
      <c r="F1780" t="s">
        <v>26</v>
      </c>
      <c r="L1780" t="s">
        <v>8136</v>
      </c>
      <c r="M1780" t="s">
        <v>8137</v>
      </c>
      <c r="N1780" t="s">
        <v>8136</v>
      </c>
      <c r="T1780" t="s">
        <v>8138</v>
      </c>
      <c r="U1780" t="s">
        <v>8136</v>
      </c>
      <c r="V1780" t="s">
        <v>8137</v>
      </c>
      <c r="W1780" t="s">
        <v>1161</v>
      </c>
      <c r="X1780" t="s">
        <v>8139</v>
      </c>
      <c r="Y1780">
        <v>3</v>
      </c>
      <c r="Z1780">
        <v>19</v>
      </c>
    </row>
    <row r="1781" spans="1:26">
      <c r="A1781" s="1">
        <v>1779</v>
      </c>
      <c r="B1781" t="str">
        <f>HYPERLINK("https://bugs.eclipse.org/bugs/show_bug.cgi?id=60669", "60669")</f>
        <v>60669</v>
      </c>
      <c r="C1781" t="s">
        <v>56</v>
      </c>
      <c r="D1781" t="s">
        <v>10</v>
      </c>
      <c r="E1781" t="s">
        <v>14</v>
      </c>
      <c r="F1781" t="s">
        <v>26</v>
      </c>
      <c r="L1781" t="s">
        <v>8140</v>
      </c>
      <c r="P1781" t="s">
        <v>8141</v>
      </c>
      <c r="T1781" t="s">
        <v>8142</v>
      </c>
      <c r="U1781" t="s">
        <v>8140</v>
      </c>
      <c r="V1781" t="s">
        <v>8141</v>
      </c>
      <c r="W1781" t="s">
        <v>75</v>
      </c>
      <c r="X1781" t="s">
        <v>8143</v>
      </c>
      <c r="Y1781">
        <v>3</v>
      </c>
      <c r="Z1781">
        <v>1948</v>
      </c>
    </row>
    <row r="1782" spans="1:26">
      <c r="A1782" s="1">
        <v>1780</v>
      </c>
      <c r="B1782" t="str">
        <f>HYPERLINK("https://bugs.eclipse.org/bugs/show_bug.cgi?id=60766", "60766")</f>
        <v>60766</v>
      </c>
      <c r="C1782" t="s">
        <v>140</v>
      </c>
      <c r="D1782" t="s">
        <v>10</v>
      </c>
      <c r="E1782" t="s">
        <v>16</v>
      </c>
      <c r="F1782" t="s">
        <v>26</v>
      </c>
      <c r="L1782" t="s">
        <v>8144</v>
      </c>
      <c r="R1782" t="s">
        <v>8144</v>
      </c>
      <c r="T1782" t="s">
        <v>8145</v>
      </c>
      <c r="U1782" t="s">
        <v>8144</v>
      </c>
      <c r="V1782" t="s">
        <v>8144</v>
      </c>
      <c r="W1782" t="s">
        <v>86</v>
      </c>
      <c r="X1782" t="s">
        <v>8146</v>
      </c>
      <c r="Y1782">
        <v>0</v>
      </c>
      <c r="Z1782">
        <v>0</v>
      </c>
    </row>
    <row r="1783" spans="1:26">
      <c r="A1783" s="1">
        <v>1781</v>
      </c>
      <c r="B1783" t="str">
        <f>HYPERLINK("https://bugs.eclipse.org/bugs/show_bug.cgi?id=60799", "60799")</f>
        <v>60799</v>
      </c>
      <c r="C1783" t="s">
        <v>149</v>
      </c>
      <c r="D1783" t="s">
        <v>10</v>
      </c>
      <c r="E1783" t="s">
        <v>12</v>
      </c>
      <c r="F1783" t="s">
        <v>26</v>
      </c>
      <c r="L1783" t="s">
        <v>8147</v>
      </c>
      <c r="N1783" t="s">
        <v>8147</v>
      </c>
      <c r="T1783" t="s">
        <v>8148</v>
      </c>
      <c r="U1783" t="s">
        <v>8149</v>
      </c>
      <c r="V1783" t="s">
        <v>8147</v>
      </c>
      <c r="W1783" t="s">
        <v>49</v>
      </c>
      <c r="X1783" t="s">
        <v>8150</v>
      </c>
      <c r="Y1783">
        <v>0</v>
      </c>
      <c r="Z1783">
        <v>3</v>
      </c>
    </row>
    <row r="1784" spans="1:26">
      <c r="A1784" s="1">
        <v>1782</v>
      </c>
      <c r="B1784" t="str">
        <f>HYPERLINK("https://bugs.eclipse.org/bugs/show_bug.cgi?id=60992", "60992")</f>
        <v>60992</v>
      </c>
      <c r="C1784" t="s">
        <v>8151</v>
      </c>
      <c r="D1784" t="s">
        <v>10</v>
      </c>
      <c r="E1784" t="s">
        <v>15</v>
      </c>
      <c r="F1784" t="s">
        <v>26</v>
      </c>
      <c r="L1784" t="s">
        <v>8152</v>
      </c>
      <c r="Q1784" t="s">
        <v>8152</v>
      </c>
      <c r="T1784" t="s">
        <v>8153</v>
      </c>
      <c r="U1784" t="s">
        <v>8154</v>
      </c>
      <c r="V1784" t="s">
        <v>8152</v>
      </c>
      <c r="W1784" t="s">
        <v>851</v>
      </c>
      <c r="X1784" t="s">
        <v>8155</v>
      </c>
      <c r="Y1784">
        <v>1</v>
      </c>
      <c r="Z1784">
        <v>156</v>
      </c>
    </row>
    <row r="1785" spans="1:26">
      <c r="A1785" s="1">
        <v>1783</v>
      </c>
      <c r="B1785" t="str">
        <f>HYPERLINK("https://bugs.eclipse.org/bugs/show_bug.cgi?id=61015", "61015")</f>
        <v>61015</v>
      </c>
      <c r="C1785" t="s">
        <v>4646</v>
      </c>
      <c r="D1785" t="s">
        <v>10</v>
      </c>
      <c r="E1785" t="s">
        <v>15</v>
      </c>
      <c r="F1785" t="s">
        <v>26</v>
      </c>
      <c r="L1785" t="s">
        <v>8156</v>
      </c>
      <c r="Q1785" t="s">
        <v>8156</v>
      </c>
      <c r="T1785" t="s">
        <v>8157</v>
      </c>
      <c r="U1785" t="s">
        <v>8158</v>
      </c>
      <c r="V1785" t="s">
        <v>8156</v>
      </c>
      <c r="W1785" t="s">
        <v>86</v>
      </c>
      <c r="X1785" t="s">
        <v>8159</v>
      </c>
      <c r="Y1785">
        <v>0</v>
      </c>
      <c r="Z1785">
        <v>132</v>
      </c>
    </row>
    <row r="1786" spans="1:26">
      <c r="A1786" s="1">
        <v>1784</v>
      </c>
      <c r="B1786" t="str">
        <f>HYPERLINK("https://bugs.eclipse.org/bugs/show_bug.cgi?id=61022", "61022")</f>
        <v>61022</v>
      </c>
      <c r="C1786" t="s">
        <v>56</v>
      </c>
      <c r="D1786" t="s">
        <v>10</v>
      </c>
      <c r="E1786" t="s">
        <v>14</v>
      </c>
      <c r="F1786" t="s">
        <v>26</v>
      </c>
      <c r="L1786" t="s">
        <v>8160</v>
      </c>
      <c r="P1786" t="s">
        <v>8161</v>
      </c>
      <c r="T1786" t="s">
        <v>8162</v>
      </c>
      <c r="U1786" t="s">
        <v>8163</v>
      </c>
      <c r="V1786" t="s">
        <v>8161</v>
      </c>
      <c r="W1786" t="s">
        <v>80</v>
      </c>
      <c r="X1786" t="s">
        <v>8164</v>
      </c>
      <c r="Y1786">
        <v>0</v>
      </c>
      <c r="Z1786">
        <v>1943</v>
      </c>
    </row>
    <row r="1787" spans="1:26">
      <c r="A1787" s="1">
        <v>1785</v>
      </c>
      <c r="B1787" t="str">
        <f>HYPERLINK("https://bugs.eclipse.org/bugs/show_bug.cgi?id=61118", "61118")</f>
        <v>61118</v>
      </c>
      <c r="C1787" t="s">
        <v>56</v>
      </c>
      <c r="D1787" t="s">
        <v>10</v>
      </c>
      <c r="E1787" t="s">
        <v>14</v>
      </c>
      <c r="F1787" t="s">
        <v>26</v>
      </c>
      <c r="L1787" t="s">
        <v>8165</v>
      </c>
      <c r="P1787" t="s">
        <v>8165</v>
      </c>
      <c r="T1787" t="s">
        <v>8166</v>
      </c>
      <c r="U1787" t="s">
        <v>8165</v>
      </c>
      <c r="V1787" t="s">
        <v>8165</v>
      </c>
      <c r="W1787" t="s">
        <v>86</v>
      </c>
      <c r="X1787" t="s">
        <v>8167</v>
      </c>
      <c r="Y1787">
        <v>15</v>
      </c>
      <c r="Z1787">
        <v>15</v>
      </c>
    </row>
    <row r="1788" spans="1:26">
      <c r="A1788" s="1">
        <v>1786</v>
      </c>
      <c r="B1788" t="str">
        <f>HYPERLINK("https://bugs.eclipse.org/bugs/show_bug.cgi?id=61176", "61176")</f>
        <v>61176</v>
      </c>
      <c r="C1788" t="s">
        <v>149</v>
      </c>
      <c r="D1788" t="s">
        <v>10</v>
      </c>
      <c r="E1788" t="s">
        <v>12</v>
      </c>
      <c r="F1788" t="s">
        <v>26</v>
      </c>
      <c r="L1788" t="s">
        <v>8168</v>
      </c>
      <c r="N1788" t="s">
        <v>8168</v>
      </c>
      <c r="T1788" t="s">
        <v>8169</v>
      </c>
      <c r="U1788" t="s">
        <v>8170</v>
      </c>
      <c r="V1788" t="s">
        <v>8168</v>
      </c>
      <c r="W1788" t="s">
        <v>86</v>
      </c>
      <c r="X1788" t="s">
        <v>8171</v>
      </c>
      <c r="Y1788">
        <v>0</v>
      </c>
      <c r="Z1788">
        <v>5</v>
      </c>
    </row>
    <row r="1789" spans="1:26">
      <c r="A1789" s="1">
        <v>1787</v>
      </c>
      <c r="B1789" t="str">
        <f>HYPERLINK("https://bugs.eclipse.org/bugs/show_bug.cgi?id=61263", "61263")</f>
        <v>61263</v>
      </c>
      <c r="C1789" t="s">
        <v>56</v>
      </c>
      <c r="D1789" t="s">
        <v>10</v>
      </c>
      <c r="E1789" t="s">
        <v>14</v>
      </c>
      <c r="F1789" t="s">
        <v>51</v>
      </c>
      <c r="L1789" t="s">
        <v>8172</v>
      </c>
      <c r="P1789" t="s">
        <v>8173</v>
      </c>
      <c r="T1789" t="s">
        <v>8174</v>
      </c>
      <c r="U1789" t="s">
        <v>8175</v>
      </c>
      <c r="V1789" t="s">
        <v>8173</v>
      </c>
      <c r="W1789" t="s">
        <v>80</v>
      </c>
      <c r="X1789" t="s">
        <v>8176</v>
      </c>
      <c r="Y1789">
        <v>1</v>
      </c>
      <c r="Z1789">
        <v>1942</v>
      </c>
    </row>
    <row r="1790" spans="1:26">
      <c r="A1790" s="1">
        <v>1788</v>
      </c>
      <c r="B1790" t="str">
        <f>HYPERLINK("https://bugs.eclipse.org/bugs/show_bug.cgi?id=61267", "61267")</f>
        <v>61267</v>
      </c>
      <c r="C1790" t="s">
        <v>149</v>
      </c>
      <c r="D1790" t="s">
        <v>10</v>
      </c>
      <c r="E1790" t="s">
        <v>12</v>
      </c>
      <c r="F1790" t="s">
        <v>150</v>
      </c>
      <c r="L1790" t="s">
        <v>8177</v>
      </c>
      <c r="N1790" t="s">
        <v>8177</v>
      </c>
      <c r="S1790" t="s">
        <v>8178</v>
      </c>
      <c r="T1790" t="s">
        <v>8179</v>
      </c>
      <c r="U1790" t="s">
        <v>8180</v>
      </c>
      <c r="V1790" t="s">
        <v>8177</v>
      </c>
      <c r="W1790" t="s">
        <v>49</v>
      </c>
      <c r="X1790" t="s">
        <v>8181</v>
      </c>
      <c r="Y1790">
        <v>0</v>
      </c>
      <c r="Z1790">
        <v>10</v>
      </c>
    </row>
    <row r="1791" spans="1:26">
      <c r="A1791" s="1">
        <v>1789</v>
      </c>
      <c r="B1791" t="str">
        <f>HYPERLINK("https://bugs.eclipse.org/bugs/show_bug.cgi?id=61269", "61269")</f>
        <v>61269</v>
      </c>
      <c r="C1791" t="s">
        <v>149</v>
      </c>
      <c r="D1791" t="s">
        <v>10</v>
      </c>
      <c r="E1791" t="s">
        <v>12</v>
      </c>
      <c r="F1791" t="s">
        <v>26</v>
      </c>
      <c r="L1791" t="s">
        <v>8182</v>
      </c>
      <c r="N1791" t="s">
        <v>8182</v>
      </c>
      <c r="S1791" t="s">
        <v>8183</v>
      </c>
      <c r="T1791" t="s">
        <v>8184</v>
      </c>
      <c r="U1791" t="s">
        <v>8185</v>
      </c>
      <c r="V1791" t="s">
        <v>8182</v>
      </c>
      <c r="W1791" t="s">
        <v>49</v>
      </c>
      <c r="X1791" t="s">
        <v>8186</v>
      </c>
      <c r="Y1791">
        <v>0</v>
      </c>
      <c r="Z1791">
        <v>10</v>
      </c>
    </row>
    <row r="1792" spans="1:26">
      <c r="A1792" s="1">
        <v>1790</v>
      </c>
      <c r="B1792" t="str">
        <f>HYPERLINK("https://bugs.eclipse.org/bugs/show_bug.cgi?id=61286", "61286")</f>
        <v>61286</v>
      </c>
      <c r="C1792" t="s">
        <v>149</v>
      </c>
      <c r="D1792" t="s">
        <v>10</v>
      </c>
      <c r="E1792" t="s">
        <v>12</v>
      </c>
      <c r="F1792" t="s">
        <v>26</v>
      </c>
      <c r="L1792" t="s">
        <v>8187</v>
      </c>
      <c r="N1792" t="s">
        <v>8187</v>
      </c>
      <c r="T1792" t="s">
        <v>8188</v>
      </c>
      <c r="U1792" t="s">
        <v>8189</v>
      </c>
      <c r="V1792" t="s">
        <v>8187</v>
      </c>
      <c r="W1792" t="s">
        <v>851</v>
      </c>
      <c r="X1792" t="s">
        <v>8190</v>
      </c>
      <c r="Y1792">
        <v>0</v>
      </c>
      <c r="Z1792">
        <v>1</v>
      </c>
    </row>
    <row r="1793" spans="1:26">
      <c r="A1793" s="1">
        <v>1791</v>
      </c>
      <c r="B1793" t="str">
        <f>HYPERLINK("https://bugs.eclipse.org/bugs/show_bug.cgi?id=61312", "61312")</f>
        <v>61312</v>
      </c>
      <c r="C1793" t="s">
        <v>149</v>
      </c>
      <c r="D1793" t="s">
        <v>10</v>
      </c>
      <c r="E1793" t="s">
        <v>12</v>
      </c>
      <c r="F1793" t="s">
        <v>26</v>
      </c>
      <c r="L1793" t="s">
        <v>8191</v>
      </c>
      <c r="N1793" t="s">
        <v>8191</v>
      </c>
      <c r="T1793" t="s">
        <v>8192</v>
      </c>
      <c r="U1793" t="s">
        <v>8193</v>
      </c>
      <c r="V1793" t="s">
        <v>8191</v>
      </c>
      <c r="W1793" t="s">
        <v>86</v>
      </c>
      <c r="X1793" t="s">
        <v>8194</v>
      </c>
      <c r="Y1793">
        <v>0</v>
      </c>
      <c r="Z1793">
        <v>361</v>
      </c>
    </row>
    <row r="1794" spans="1:26">
      <c r="A1794" s="1">
        <v>1792</v>
      </c>
      <c r="B1794" t="str">
        <f>HYPERLINK("https://bugs.eclipse.org/bugs/show_bug.cgi?id=61625", "61625")</f>
        <v>61625</v>
      </c>
      <c r="C1794" t="s">
        <v>140</v>
      </c>
      <c r="D1794" t="s">
        <v>10</v>
      </c>
      <c r="E1794" t="s">
        <v>16</v>
      </c>
      <c r="F1794" t="s">
        <v>26</v>
      </c>
      <c r="L1794" t="s">
        <v>8195</v>
      </c>
      <c r="R1794" t="s">
        <v>8195</v>
      </c>
      <c r="T1794" t="s">
        <v>8196</v>
      </c>
      <c r="U1794" t="s">
        <v>8197</v>
      </c>
      <c r="V1794" t="s">
        <v>8195</v>
      </c>
      <c r="W1794" t="s">
        <v>86</v>
      </c>
      <c r="X1794" t="s">
        <v>8198</v>
      </c>
      <c r="Y1794">
        <v>0</v>
      </c>
      <c r="Z1794">
        <v>0</v>
      </c>
    </row>
    <row r="1795" spans="1:26">
      <c r="A1795" s="1">
        <v>1793</v>
      </c>
      <c r="B1795" t="str">
        <f>HYPERLINK("https://bugs.eclipse.org/bugs/show_bug.cgi?id=61641", "61641")</f>
        <v>61641</v>
      </c>
      <c r="C1795" t="s">
        <v>149</v>
      </c>
      <c r="D1795" t="s">
        <v>10</v>
      </c>
      <c r="E1795" t="s">
        <v>12</v>
      </c>
      <c r="F1795" t="s">
        <v>26</v>
      </c>
      <c r="L1795" t="s">
        <v>8199</v>
      </c>
      <c r="N1795" t="s">
        <v>8199</v>
      </c>
      <c r="T1795" t="s">
        <v>8200</v>
      </c>
      <c r="U1795" t="s">
        <v>8201</v>
      </c>
      <c r="V1795" t="s">
        <v>8199</v>
      </c>
      <c r="W1795" t="s">
        <v>851</v>
      </c>
      <c r="X1795" t="s">
        <v>8202</v>
      </c>
      <c r="Y1795">
        <v>0</v>
      </c>
      <c r="Z1795">
        <v>8</v>
      </c>
    </row>
    <row r="1796" spans="1:26">
      <c r="A1796" s="1">
        <v>1794</v>
      </c>
      <c r="B1796" t="str">
        <f>HYPERLINK("https://bugs.eclipse.org/bugs/show_bug.cgi?id=61643", "61643")</f>
        <v>61643</v>
      </c>
      <c r="C1796" t="s">
        <v>140</v>
      </c>
      <c r="D1796" t="s">
        <v>10</v>
      </c>
      <c r="E1796" t="s">
        <v>16</v>
      </c>
      <c r="F1796" t="s">
        <v>26</v>
      </c>
      <c r="L1796" t="s">
        <v>8203</v>
      </c>
      <c r="R1796" t="s">
        <v>8203</v>
      </c>
      <c r="T1796" t="s">
        <v>8204</v>
      </c>
      <c r="U1796" t="s">
        <v>8205</v>
      </c>
      <c r="V1796" t="s">
        <v>8203</v>
      </c>
      <c r="W1796" t="s">
        <v>86</v>
      </c>
      <c r="X1796" t="s">
        <v>8206</v>
      </c>
      <c r="Y1796">
        <v>0</v>
      </c>
      <c r="Z1796">
        <v>0</v>
      </c>
    </row>
    <row r="1797" spans="1:26">
      <c r="A1797" s="1">
        <v>1795</v>
      </c>
      <c r="B1797" t="str">
        <f>HYPERLINK("https://bugs.eclipse.org/bugs/show_bug.cgi?id=61700", "61700")</f>
        <v>61700</v>
      </c>
      <c r="C1797" t="s">
        <v>35</v>
      </c>
      <c r="D1797" t="s">
        <v>11</v>
      </c>
      <c r="E1797" t="s">
        <v>12</v>
      </c>
      <c r="F1797" t="s">
        <v>150</v>
      </c>
      <c r="L1797" t="s">
        <v>8207</v>
      </c>
      <c r="M1797" t="s">
        <v>8208</v>
      </c>
      <c r="N1797" t="s">
        <v>8207</v>
      </c>
      <c r="T1797" t="s">
        <v>8209</v>
      </c>
      <c r="U1797" t="s">
        <v>8210</v>
      </c>
      <c r="V1797" t="s">
        <v>8208</v>
      </c>
      <c r="W1797" t="s">
        <v>851</v>
      </c>
      <c r="X1797" t="s">
        <v>8211</v>
      </c>
      <c r="Y1797">
        <v>1</v>
      </c>
      <c r="Z1797">
        <v>8</v>
      </c>
    </row>
    <row r="1798" spans="1:26">
      <c r="A1798" s="1">
        <v>1796</v>
      </c>
      <c r="B1798" t="str">
        <f>HYPERLINK("https://bugs.eclipse.org/bugs/show_bug.cgi?id=61709", "61709")</f>
        <v>61709</v>
      </c>
      <c r="C1798" t="s">
        <v>35</v>
      </c>
      <c r="D1798" t="s">
        <v>11</v>
      </c>
      <c r="E1798" t="s">
        <v>12</v>
      </c>
      <c r="F1798" t="s">
        <v>26</v>
      </c>
      <c r="G1798" t="s">
        <v>8212</v>
      </c>
      <c r="L1798" t="s">
        <v>8213</v>
      </c>
      <c r="M1798" t="s">
        <v>8214</v>
      </c>
      <c r="N1798" t="s">
        <v>8213</v>
      </c>
      <c r="T1798" t="s">
        <v>8215</v>
      </c>
      <c r="U1798" t="s">
        <v>8216</v>
      </c>
      <c r="V1798" t="s">
        <v>8214</v>
      </c>
      <c r="W1798" t="s">
        <v>86</v>
      </c>
      <c r="X1798" t="s">
        <v>8217</v>
      </c>
      <c r="Y1798">
        <v>0</v>
      </c>
      <c r="Z1798">
        <v>31</v>
      </c>
    </row>
    <row r="1799" spans="1:26">
      <c r="A1799" s="1">
        <v>1797</v>
      </c>
      <c r="B1799" t="str">
        <f>HYPERLINK("https://bugs.eclipse.org/bugs/show_bug.cgi?id=61767", "61767")</f>
        <v>61767</v>
      </c>
      <c r="C1799" t="s">
        <v>8218</v>
      </c>
      <c r="D1799" t="s">
        <v>10</v>
      </c>
      <c r="E1799" t="s">
        <v>15</v>
      </c>
      <c r="F1799" t="s">
        <v>26</v>
      </c>
      <c r="L1799" t="s">
        <v>8219</v>
      </c>
      <c r="Q1799" t="s">
        <v>8219</v>
      </c>
      <c r="T1799" t="s">
        <v>8220</v>
      </c>
      <c r="U1799" t="s">
        <v>8219</v>
      </c>
      <c r="V1799" t="s">
        <v>8219</v>
      </c>
      <c r="W1799" t="s">
        <v>8221</v>
      </c>
      <c r="X1799" t="s">
        <v>8222</v>
      </c>
      <c r="Y1799">
        <v>0</v>
      </c>
      <c r="Z1799">
        <v>0</v>
      </c>
    </row>
    <row r="1800" spans="1:26">
      <c r="A1800" s="1">
        <v>1798</v>
      </c>
      <c r="B1800" t="str">
        <f>HYPERLINK("https://bugs.eclipse.org/bugs/show_bug.cgi?id=61815", "61815")</f>
        <v>61815</v>
      </c>
      <c r="C1800" t="s">
        <v>4692</v>
      </c>
      <c r="D1800" t="s">
        <v>4692</v>
      </c>
      <c r="F1800" t="s">
        <v>26</v>
      </c>
      <c r="T1800" t="s">
        <v>8223</v>
      </c>
      <c r="U1800" t="s">
        <v>8224</v>
      </c>
      <c r="V1800" t="s">
        <v>8225</v>
      </c>
      <c r="W1800" t="s">
        <v>6330</v>
      </c>
      <c r="X1800" t="s">
        <v>8226</v>
      </c>
      <c r="Y1800">
        <v>1</v>
      </c>
    </row>
    <row r="1801" spans="1:26">
      <c r="A1801" s="1">
        <v>1799</v>
      </c>
      <c r="B1801" t="str">
        <f>HYPERLINK("https://bugs.eclipse.org/bugs/show_bug.cgi?id=61817", "61817")</f>
        <v>61817</v>
      </c>
      <c r="C1801" t="s">
        <v>149</v>
      </c>
      <c r="D1801" t="s">
        <v>10</v>
      </c>
      <c r="E1801" t="s">
        <v>12</v>
      </c>
      <c r="F1801" t="s">
        <v>26</v>
      </c>
      <c r="G1801" t="s">
        <v>8227</v>
      </c>
      <c r="L1801" t="s">
        <v>8228</v>
      </c>
      <c r="N1801" t="s">
        <v>8228</v>
      </c>
      <c r="T1801" t="s">
        <v>8229</v>
      </c>
      <c r="U1801" t="s">
        <v>8230</v>
      </c>
      <c r="V1801" t="s">
        <v>8228</v>
      </c>
      <c r="W1801" t="s">
        <v>49</v>
      </c>
      <c r="X1801" t="s">
        <v>8231</v>
      </c>
      <c r="Y1801">
        <v>0</v>
      </c>
      <c r="Z1801">
        <v>1042</v>
      </c>
    </row>
    <row r="1802" spans="1:26">
      <c r="A1802" s="1">
        <v>1800</v>
      </c>
      <c r="B1802" t="str">
        <f>HYPERLINK("https://bugs.eclipse.org/bugs/show_bug.cgi?id=62058", "62058")</f>
        <v>62058</v>
      </c>
      <c r="C1802" t="s">
        <v>149</v>
      </c>
      <c r="D1802" t="s">
        <v>10</v>
      </c>
      <c r="E1802" t="s">
        <v>12</v>
      </c>
      <c r="F1802" t="s">
        <v>26</v>
      </c>
      <c r="L1802" t="s">
        <v>8232</v>
      </c>
      <c r="N1802" t="s">
        <v>8232</v>
      </c>
      <c r="T1802" t="s">
        <v>8233</v>
      </c>
      <c r="U1802" t="s">
        <v>8234</v>
      </c>
      <c r="V1802" t="s">
        <v>8232</v>
      </c>
      <c r="W1802" t="s">
        <v>134</v>
      </c>
      <c r="X1802" t="s">
        <v>8235</v>
      </c>
      <c r="Y1802">
        <v>0</v>
      </c>
      <c r="Z1802">
        <v>0</v>
      </c>
    </row>
    <row r="1803" spans="1:26">
      <c r="A1803" s="1">
        <v>1801</v>
      </c>
      <c r="B1803" t="str">
        <f>HYPERLINK("https://bugs.eclipse.org/bugs/show_bug.cgi?id=62150", "62150")</f>
        <v>62150</v>
      </c>
      <c r="C1803" t="s">
        <v>140</v>
      </c>
      <c r="D1803" t="s">
        <v>10</v>
      </c>
      <c r="E1803" t="s">
        <v>16</v>
      </c>
      <c r="F1803" t="s">
        <v>26</v>
      </c>
      <c r="L1803" t="s">
        <v>8236</v>
      </c>
      <c r="R1803" t="s">
        <v>8236</v>
      </c>
      <c r="T1803" t="s">
        <v>8237</v>
      </c>
      <c r="U1803" t="s">
        <v>8238</v>
      </c>
      <c r="V1803" t="s">
        <v>8236</v>
      </c>
      <c r="W1803" t="s">
        <v>86</v>
      </c>
      <c r="X1803" t="s">
        <v>8239</v>
      </c>
      <c r="Y1803">
        <v>0</v>
      </c>
      <c r="Z1803">
        <v>124</v>
      </c>
    </row>
    <row r="1804" spans="1:26">
      <c r="A1804" s="1">
        <v>1802</v>
      </c>
      <c r="B1804" t="str">
        <f>HYPERLINK("https://bugs.eclipse.org/bugs/show_bug.cgi?id=62156", "62156")</f>
        <v>62156</v>
      </c>
      <c r="C1804" t="s">
        <v>149</v>
      </c>
      <c r="D1804" t="s">
        <v>10</v>
      </c>
      <c r="E1804" t="s">
        <v>12</v>
      </c>
      <c r="F1804" t="s">
        <v>26</v>
      </c>
      <c r="L1804" t="s">
        <v>8240</v>
      </c>
      <c r="N1804" t="s">
        <v>8240</v>
      </c>
      <c r="T1804" t="s">
        <v>8241</v>
      </c>
      <c r="U1804" t="s">
        <v>8242</v>
      </c>
      <c r="V1804" t="s">
        <v>8240</v>
      </c>
      <c r="W1804" t="s">
        <v>49</v>
      </c>
      <c r="X1804" t="s">
        <v>8243</v>
      </c>
      <c r="Y1804">
        <v>0</v>
      </c>
      <c r="Z1804">
        <v>1</v>
      </c>
    </row>
    <row r="1805" spans="1:26">
      <c r="A1805" s="1">
        <v>1803</v>
      </c>
      <c r="B1805" t="str">
        <f>HYPERLINK("https://bugs.eclipse.org/bugs/show_bug.cgi?id=62168", "62168")</f>
        <v>62168</v>
      </c>
      <c r="C1805" t="s">
        <v>140</v>
      </c>
      <c r="D1805" t="s">
        <v>10</v>
      </c>
      <c r="E1805" t="s">
        <v>16</v>
      </c>
      <c r="F1805" t="s">
        <v>26</v>
      </c>
      <c r="L1805" t="s">
        <v>8244</v>
      </c>
      <c r="R1805" t="s">
        <v>8244</v>
      </c>
      <c r="T1805" t="s">
        <v>8245</v>
      </c>
      <c r="U1805" t="s">
        <v>8246</v>
      </c>
      <c r="V1805" t="s">
        <v>8244</v>
      </c>
      <c r="W1805" t="s">
        <v>86</v>
      </c>
      <c r="X1805" t="s">
        <v>8247</v>
      </c>
      <c r="Y1805">
        <v>13</v>
      </c>
      <c r="Z1805">
        <v>21</v>
      </c>
    </row>
    <row r="1806" spans="1:26">
      <c r="A1806" s="1">
        <v>1804</v>
      </c>
      <c r="B1806" t="str">
        <f>HYPERLINK("https://bugs.eclipse.org/bugs/show_bug.cgi?id=62425", "62425")</f>
        <v>62425</v>
      </c>
      <c r="C1806" t="s">
        <v>149</v>
      </c>
      <c r="D1806" t="s">
        <v>10</v>
      </c>
      <c r="E1806" t="s">
        <v>12</v>
      </c>
      <c r="F1806" t="s">
        <v>150</v>
      </c>
      <c r="L1806" t="s">
        <v>8248</v>
      </c>
      <c r="N1806" t="s">
        <v>8248</v>
      </c>
      <c r="T1806" t="s">
        <v>8249</v>
      </c>
      <c r="U1806" t="s">
        <v>8250</v>
      </c>
      <c r="V1806" t="s">
        <v>8248</v>
      </c>
      <c r="W1806" t="s">
        <v>49</v>
      </c>
      <c r="X1806" t="s">
        <v>8251</v>
      </c>
      <c r="Y1806">
        <v>1</v>
      </c>
      <c r="Z1806">
        <v>1</v>
      </c>
    </row>
    <row r="1807" spans="1:26">
      <c r="A1807" s="1">
        <v>1805</v>
      </c>
      <c r="B1807" t="str">
        <f>HYPERLINK("https://bugs.eclipse.org/bugs/show_bug.cgi?id=62437", "62437")</f>
        <v>62437</v>
      </c>
      <c r="C1807" t="s">
        <v>35</v>
      </c>
      <c r="D1807" t="s">
        <v>11</v>
      </c>
      <c r="E1807" t="s">
        <v>12</v>
      </c>
      <c r="F1807" t="s">
        <v>150</v>
      </c>
      <c r="L1807" t="s">
        <v>8252</v>
      </c>
      <c r="M1807" t="s">
        <v>8253</v>
      </c>
      <c r="N1807" t="s">
        <v>8252</v>
      </c>
      <c r="T1807" t="s">
        <v>8254</v>
      </c>
      <c r="U1807" t="s">
        <v>8255</v>
      </c>
      <c r="V1807" t="s">
        <v>8253</v>
      </c>
      <c r="W1807" t="s">
        <v>86</v>
      </c>
      <c r="X1807" t="s">
        <v>8256</v>
      </c>
      <c r="Y1807">
        <v>0</v>
      </c>
      <c r="Z1807">
        <v>25</v>
      </c>
    </row>
    <row r="1808" spans="1:26">
      <c r="A1808" s="1">
        <v>1806</v>
      </c>
      <c r="B1808" t="str">
        <f>HYPERLINK("https://bugs.eclipse.org/bugs/show_bug.cgi?id=62508", "62508")</f>
        <v>62508</v>
      </c>
      <c r="C1808" t="s">
        <v>149</v>
      </c>
      <c r="D1808" t="s">
        <v>10</v>
      </c>
      <c r="E1808" t="s">
        <v>12</v>
      </c>
      <c r="F1808" t="s">
        <v>150</v>
      </c>
      <c r="L1808" t="s">
        <v>8257</v>
      </c>
      <c r="N1808" t="s">
        <v>8257</v>
      </c>
      <c r="T1808" t="s">
        <v>8258</v>
      </c>
      <c r="U1808" t="s">
        <v>8259</v>
      </c>
      <c r="V1808" t="s">
        <v>8257</v>
      </c>
      <c r="W1808" t="s">
        <v>49</v>
      </c>
      <c r="X1808" t="s">
        <v>8260</v>
      </c>
      <c r="Y1808">
        <v>1</v>
      </c>
      <c r="Z1808">
        <v>1</v>
      </c>
    </row>
    <row r="1809" spans="1:26">
      <c r="A1809" s="1">
        <v>1807</v>
      </c>
      <c r="B1809" t="str">
        <f>HYPERLINK("https://bugs.eclipse.org/bugs/show_bug.cgi?id=62518", "62518")</f>
        <v>62518</v>
      </c>
      <c r="C1809" t="s">
        <v>6539</v>
      </c>
      <c r="D1809" t="s">
        <v>10</v>
      </c>
      <c r="E1809" t="s">
        <v>15</v>
      </c>
      <c r="F1809" t="s">
        <v>26</v>
      </c>
      <c r="L1809" t="s">
        <v>7641</v>
      </c>
      <c r="Q1809" t="s">
        <v>7641</v>
      </c>
      <c r="T1809" t="s">
        <v>8261</v>
      </c>
      <c r="U1809" t="s">
        <v>8262</v>
      </c>
      <c r="V1809" t="s">
        <v>7641</v>
      </c>
      <c r="W1809" t="s">
        <v>851</v>
      </c>
      <c r="X1809" t="s">
        <v>8263</v>
      </c>
      <c r="Y1809">
        <v>0</v>
      </c>
      <c r="Z1809">
        <v>1</v>
      </c>
    </row>
    <row r="1810" spans="1:26">
      <c r="A1810" s="1">
        <v>1808</v>
      </c>
      <c r="B1810" t="str">
        <f>HYPERLINK("https://bugs.eclipse.org/bugs/show_bug.cgi?id=62593", "62593")</f>
        <v>62593</v>
      </c>
      <c r="C1810" t="s">
        <v>191</v>
      </c>
      <c r="D1810" t="s">
        <v>192</v>
      </c>
      <c r="E1810" t="s">
        <v>14</v>
      </c>
      <c r="F1810" t="s">
        <v>51</v>
      </c>
      <c r="G1810" t="s">
        <v>8264</v>
      </c>
      <c r="L1810" t="s">
        <v>8265</v>
      </c>
      <c r="P1810" t="s">
        <v>8266</v>
      </c>
      <c r="T1810" t="s">
        <v>8267</v>
      </c>
      <c r="U1810" t="s">
        <v>8265</v>
      </c>
      <c r="V1810" t="s">
        <v>8266</v>
      </c>
      <c r="W1810" t="s">
        <v>75</v>
      </c>
      <c r="X1810" t="s">
        <v>8268</v>
      </c>
      <c r="Y1810">
        <v>0</v>
      </c>
      <c r="Z1810">
        <v>1930</v>
      </c>
    </row>
    <row r="1811" spans="1:26">
      <c r="A1811" s="1">
        <v>1809</v>
      </c>
      <c r="B1811" t="str">
        <f>HYPERLINK("https://bugs.eclipse.org/bugs/show_bug.cgi?id=62603", "62603")</f>
        <v>62603</v>
      </c>
      <c r="C1811" t="s">
        <v>149</v>
      </c>
      <c r="D1811" t="s">
        <v>10</v>
      </c>
      <c r="E1811" t="s">
        <v>12</v>
      </c>
      <c r="F1811" t="s">
        <v>150</v>
      </c>
      <c r="L1811" t="s">
        <v>8269</v>
      </c>
      <c r="N1811" t="s">
        <v>8269</v>
      </c>
      <c r="T1811" t="s">
        <v>8270</v>
      </c>
      <c r="U1811" t="s">
        <v>8271</v>
      </c>
      <c r="V1811" t="s">
        <v>8269</v>
      </c>
      <c r="W1811" t="s">
        <v>851</v>
      </c>
      <c r="X1811" t="s">
        <v>8272</v>
      </c>
      <c r="Y1811">
        <v>0</v>
      </c>
      <c r="Z1811">
        <v>0</v>
      </c>
    </row>
    <row r="1812" spans="1:26">
      <c r="A1812" s="1">
        <v>1810</v>
      </c>
      <c r="B1812" t="str">
        <f>HYPERLINK("https://bugs.eclipse.org/bugs/show_bug.cgi?id=62628", "62628")</f>
        <v>62628</v>
      </c>
      <c r="C1812" t="s">
        <v>149</v>
      </c>
      <c r="D1812" t="s">
        <v>10</v>
      </c>
      <c r="E1812" t="s">
        <v>12</v>
      </c>
      <c r="F1812" t="s">
        <v>26</v>
      </c>
      <c r="L1812" t="s">
        <v>8273</v>
      </c>
      <c r="N1812" t="s">
        <v>8273</v>
      </c>
      <c r="T1812" t="s">
        <v>8274</v>
      </c>
      <c r="U1812" t="s">
        <v>8275</v>
      </c>
      <c r="V1812" t="s">
        <v>8273</v>
      </c>
      <c r="W1812" t="s">
        <v>86</v>
      </c>
      <c r="X1812" t="s">
        <v>8276</v>
      </c>
      <c r="Y1812">
        <v>0</v>
      </c>
      <c r="Z1812">
        <v>0</v>
      </c>
    </row>
    <row r="1813" spans="1:26">
      <c r="A1813" s="1">
        <v>1811</v>
      </c>
      <c r="B1813" t="str">
        <f>HYPERLINK("https://bugs.eclipse.org/bugs/show_bug.cgi?id=62654", "62654")</f>
        <v>62654</v>
      </c>
      <c r="C1813" t="s">
        <v>35</v>
      </c>
      <c r="D1813" t="s">
        <v>11</v>
      </c>
      <c r="E1813" t="s">
        <v>12</v>
      </c>
      <c r="F1813" t="s">
        <v>150</v>
      </c>
      <c r="L1813" t="s">
        <v>8277</v>
      </c>
      <c r="M1813" t="s">
        <v>8278</v>
      </c>
      <c r="N1813" t="s">
        <v>8277</v>
      </c>
      <c r="T1813" t="s">
        <v>8279</v>
      </c>
      <c r="U1813" t="s">
        <v>8280</v>
      </c>
      <c r="V1813" t="s">
        <v>8278</v>
      </c>
      <c r="W1813" t="s">
        <v>6330</v>
      </c>
      <c r="X1813" t="s">
        <v>8281</v>
      </c>
      <c r="Y1813">
        <v>0</v>
      </c>
      <c r="Z1813">
        <v>10</v>
      </c>
    </row>
    <row r="1814" spans="1:26">
      <c r="A1814" s="1">
        <v>1812</v>
      </c>
      <c r="B1814" t="str">
        <f>HYPERLINK("https://bugs.eclipse.org/bugs/show_bug.cgi?id=62666", "62666")</f>
        <v>62666</v>
      </c>
      <c r="C1814" t="s">
        <v>35</v>
      </c>
      <c r="D1814" t="s">
        <v>11</v>
      </c>
      <c r="E1814" t="s">
        <v>12</v>
      </c>
      <c r="F1814" t="s">
        <v>150</v>
      </c>
      <c r="L1814" t="s">
        <v>8282</v>
      </c>
      <c r="M1814" t="s">
        <v>8283</v>
      </c>
      <c r="N1814" t="s">
        <v>8282</v>
      </c>
      <c r="T1814" t="s">
        <v>8284</v>
      </c>
      <c r="U1814" t="s">
        <v>8285</v>
      </c>
      <c r="V1814" t="s">
        <v>8283</v>
      </c>
      <c r="W1814" t="s">
        <v>6330</v>
      </c>
      <c r="X1814" t="s">
        <v>8286</v>
      </c>
      <c r="Y1814">
        <v>0</v>
      </c>
      <c r="Z1814">
        <v>10</v>
      </c>
    </row>
    <row r="1815" spans="1:26">
      <c r="A1815" s="1">
        <v>1813</v>
      </c>
      <c r="B1815" t="str">
        <f>HYPERLINK("https://bugs.eclipse.org/bugs/show_bug.cgi?id=62703", "62703")</f>
        <v>62703</v>
      </c>
      <c r="C1815" t="s">
        <v>35</v>
      </c>
      <c r="D1815" t="s">
        <v>11</v>
      </c>
      <c r="E1815" t="s">
        <v>12</v>
      </c>
      <c r="F1815" t="s">
        <v>26</v>
      </c>
      <c r="L1815" t="s">
        <v>8287</v>
      </c>
      <c r="M1815" t="s">
        <v>8288</v>
      </c>
      <c r="N1815" t="s">
        <v>8287</v>
      </c>
      <c r="T1815" t="s">
        <v>8289</v>
      </c>
      <c r="U1815" t="s">
        <v>8290</v>
      </c>
      <c r="V1815" t="s">
        <v>8288</v>
      </c>
      <c r="W1815" t="s">
        <v>1161</v>
      </c>
      <c r="X1815" t="s">
        <v>8291</v>
      </c>
      <c r="Y1815">
        <v>0</v>
      </c>
      <c r="Z1815">
        <v>10</v>
      </c>
    </row>
    <row r="1816" spans="1:26">
      <c r="A1816" s="1">
        <v>1814</v>
      </c>
      <c r="B1816" t="str">
        <f>HYPERLINK("https://bugs.eclipse.org/bugs/show_bug.cgi?id=62753", "62753")</f>
        <v>62753</v>
      </c>
      <c r="C1816" t="s">
        <v>149</v>
      </c>
      <c r="D1816" t="s">
        <v>10</v>
      </c>
      <c r="E1816" t="s">
        <v>12</v>
      </c>
      <c r="F1816" t="s">
        <v>26</v>
      </c>
      <c r="L1816" t="s">
        <v>8292</v>
      </c>
      <c r="N1816" t="s">
        <v>8292</v>
      </c>
      <c r="T1816" t="s">
        <v>8293</v>
      </c>
      <c r="U1816" t="s">
        <v>8294</v>
      </c>
      <c r="V1816" t="s">
        <v>8292</v>
      </c>
      <c r="W1816" t="s">
        <v>851</v>
      </c>
      <c r="X1816" t="s">
        <v>8295</v>
      </c>
      <c r="Y1816">
        <v>8</v>
      </c>
      <c r="Z1816">
        <v>276.04166666666669</v>
      </c>
    </row>
    <row r="1817" spans="1:26">
      <c r="A1817" s="1">
        <v>1815</v>
      </c>
      <c r="B1817" t="str">
        <f>HYPERLINK("https://bugs.eclipse.org/bugs/show_bug.cgi?id=62754", "62754")</f>
        <v>62754</v>
      </c>
      <c r="C1817" t="s">
        <v>56</v>
      </c>
      <c r="D1817" t="s">
        <v>10</v>
      </c>
      <c r="E1817" t="s">
        <v>14</v>
      </c>
      <c r="F1817" t="s">
        <v>26</v>
      </c>
      <c r="G1817" t="s">
        <v>8296</v>
      </c>
      <c r="L1817" t="s">
        <v>8297</v>
      </c>
      <c r="P1817" t="s">
        <v>8298</v>
      </c>
      <c r="T1817" t="s">
        <v>8299</v>
      </c>
      <c r="U1817" t="s">
        <v>8300</v>
      </c>
      <c r="V1817" t="s">
        <v>8298</v>
      </c>
      <c r="W1817" t="s">
        <v>80</v>
      </c>
      <c r="X1817" t="s">
        <v>8301</v>
      </c>
      <c r="Y1817">
        <v>0</v>
      </c>
      <c r="Z1817">
        <v>1930</v>
      </c>
    </row>
    <row r="1818" spans="1:26">
      <c r="A1818" s="1">
        <v>1816</v>
      </c>
      <c r="B1818" t="str">
        <f>HYPERLINK("https://bugs.eclipse.org/bugs/show_bug.cgi?id=62755", "62755")</f>
        <v>62755</v>
      </c>
      <c r="C1818" t="s">
        <v>35</v>
      </c>
      <c r="D1818" t="s">
        <v>11</v>
      </c>
      <c r="E1818" t="s">
        <v>12</v>
      </c>
      <c r="F1818" t="s">
        <v>26</v>
      </c>
      <c r="L1818" t="s">
        <v>8302</v>
      </c>
      <c r="M1818" t="s">
        <v>8303</v>
      </c>
      <c r="N1818" t="s">
        <v>8302</v>
      </c>
      <c r="T1818" t="s">
        <v>8304</v>
      </c>
      <c r="U1818" t="s">
        <v>8305</v>
      </c>
      <c r="V1818" t="s">
        <v>8303</v>
      </c>
      <c r="W1818" t="s">
        <v>6330</v>
      </c>
      <c r="X1818" t="s">
        <v>8306</v>
      </c>
      <c r="Y1818">
        <v>1</v>
      </c>
      <c r="Z1818">
        <v>10</v>
      </c>
    </row>
    <row r="1819" spans="1:26">
      <c r="A1819" s="1">
        <v>1817</v>
      </c>
      <c r="B1819" t="str">
        <f>HYPERLINK("https://bugs.eclipse.org/bugs/show_bug.cgi?id=62756", "62756")</f>
        <v>62756</v>
      </c>
      <c r="C1819" t="s">
        <v>35</v>
      </c>
      <c r="D1819" t="s">
        <v>11</v>
      </c>
      <c r="E1819" t="s">
        <v>12</v>
      </c>
      <c r="F1819" t="s">
        <v>26</v>
      </c>
      <c r="L1819" t="s">
        <v>8307</v>
      </c>
      <c r="M1819" t="s">
        <v>8308</v>
      </c>
      <c r="N1819" t="s">
        <v>8307</v>
      </c>
      <c r="T1819" t="s">
        <v>8309</v>
      </c>
      <c r="U1819" t="s">
        <v>8310</v>
      </c>
      <c r="V1819" t="s">
        <v>8308</v>
      </c>
      <c r="W1819" t="s">
        <v>1161</v>
      </c>
      <c r="X1819" t="s">
        <v>8311</v>
      </c>
      <c r="Y1819">
        <v>1</v>
      </c>
      <c r="Z1819">
        <v>10</v>
      </c>
    </row>
    <row r="1820" spans="1:26">
      <c r="A1820" s="1">
        <v>1818</v>
      </c>
      <c r="B1820" t="str">
        <f>HYPERLINK("https://bugs.eclipse.org/bugs/show_bug.cgi?id=62771", "62771")</f>
        <v>62771</v>
      </c>
      <c r="C1820" t="s">
        <v>8312</v>
      </c>
      <c r="D1820" t="s">
        <v>10</v>
      </c>
      <c r="E1820" t="s">
        <v>15</v>
      </c>
      <c r="F1820" t="s">
        <v>26</v>
      </c>
      <c r="L1820" t="s">
        <v>8313</v>
      </c>
      <c r="Q1820" t="s">
        <v>8313</v>
      </c>
      <c r="T1820" t="s">
        <v>8314</v>
      </c>
      <c r="U1820" t="s">
        <v>8315</v>
      </c>
      <c r="V1820" t="s">
        <v>8313</v>
      </c>
      <c r="W1820" t="s">
        <v>49</v>
      </c>
      <c r="X1820" t="s">
        <v>8316</v>
      </c>
      <c r="Y1820">
        <v>1</v>
      </c>
      <c r="Z1820">
        <v>807</v>
      </c>
    </row>
    <row r="1821" spans="1:26">
      <c r="A1821" s="1">
        <v>1819</v>
      </c>
      <c r="B1821" t="str">
        <f>HYPERLINK("https://bugs.eclipse.org/bugs/show_bug.cgi?id=62775", "62775")</f>
        <v>62775</v>
      </c>
      <c r="C1821" t="s">
        <v>88</v>
      </c>
      <c r="D1821" t="s">
        <v>10</v>
      </c>
      <c r="E1821" t="s">
        <v>13</v>
      </c>
      <c r="F1821" t="s">
        <v>51</v>
      </c>
      <c r="L1821" t="s">
        <v>8317</v>
      </c>
      <c r="O1821" t="s">
        <v>8317</v>
      </c>
      <c r="T1821" t="s">
        <v>8318</v>
      </c>
      <c r="U1821" t="s">
        <v>8319</v>
      </c>
      <c r="V1821" t="s">
        <v>8317</v>
      </c>
      <c r="W1821" t="s">
        <v>49</v>
      </c>
      <c r="X1821" t="s">
        <v>8320</v>
      </c>
      <c r="Y1821">
        <v>1</v>
      </c>
      <c r="Z1821">
        <v>6</v>
      </c>
    </row>
    <row r="1822" spans="1:26">
      <c r="A1822" s="1">
        <v>1820</v>
      </c>
      <c r="B1822" t="str">
        <f>HYPERLINK("https://bugs.eclipse.org/bugs/show_bug.cgi?id=62836", "62836")</f>
        <v>62836</v>
      </c>
      <c r="C1822" t="s">
        <v>8321</v>
      </c>
      <c r="D1822" t="s">
        <v>10</v>
      </c>
      <c r="E1822" t="s">
        <v>15</v>
      </c>
      <c r="F1822" t="s">
        <v>26</v>
      </c>
      <c r="L1822" t="s">
        <v>8322</v>
      </c>
      <c r="Q1822" t="s">
        <v>8322</v>
      </c>
      <c r="T1822" t="s">
        <v>8323</v>
      </c>
      <c r="U1822" t="s">
        <v>8324</v>
      </c>
      <c r="V1822" t="s">
        <v>8322</v>
      </c>
      <c r="W1822" t="s">
        <v>86</v>
      </c>
      <c r="X1822" t="s">
        <v>8325</v>
      </c>
      <c r="Y1822">
        <v>1</v>
      </c>
      <c r="Z1822">
        <v>3</v>
      </c>
    </row>
    <row r="1823" spans="1:26">
      <c r="A1823" s="1">
        <v>1821</v>
      </c>
      <c r="B1823" t="str">
        <f>HYPERLINK("https://bugs.eclipse.org/bugs/show_bug.cgi?id=62837", "62837")</f>
        <v>62837</v>
      </c>
      <c r="C1823" t="s">
        <v>8326</v>
      </c>
      <c r="D1823" t="s">
        <v>10</v>
      </c>
      <c r="E1823" t="s">
        <v>15</v>
      </c>
      <c r="F1823" t="s">
        <v>26</v>
      </c>
      <c r="L1823" t="s">
        <v>8327</v>
      </c>
      <c r="Q1823" t="s">
        <v>8327</v>
      </c>
      <c r="T1823" t="s">
        <v>8328</v>
      </c>
      <c r="U1823" t="s">
        <v>8329</v>
      </c>
      <c r="V1823" t="s">
        <v>8327</v>
      </c>
      <c r="W1823" t="s">
        <v>86</v>
      </c>
      <c r="X1823" t="s">
        <v>8330</v>
      </c>
      <c r="Y1823">
        <v>1</v>
      </c>
      <c r="Z1823">
        <v>1</v>
      </c>
    </row>
    <row r="1824" spans="1:26">
      <c r="A1824" s="1">
        <v>1822</v>
      </c>
      <c r="B1824" t="str">
        <f>HYPERLINK("https://bugs.eclipse.org/bugs/show_bug.cgi?id=62863", "62863")</f>
        <v>62863</v>
      </c>
      <c r="C1824" t="s">
        <v>35</v>
      </c>
      <c r="D1824" t="s">
        <v>11</v>
      </c>
      <c r="E1824" t="s">
        <v>12</v>
      </c>
      <c r="F1824" t="s">
        <v>26</v>
      </c>
      <c r="L1824" t="s">
        <v>8331</v>
      </c>
      <c r="M1824" t="s">
        <v>8332</v>
      </c>
      <c r="N1824" t="s">
        <v>8331</v>
      </c>
      <c r="T1824" t="s">
        <v>8333</v>
      </c>
      <c r="U1824" t="s">
        <v>8334</v>
      </c>
      <c r="V1824" t="s">
        <v>8332</v>
      </c>
      <c r="W1824" t="s">
        <v>86</v>
      </c>
      <c r="X1824" t="s">
        <v>8335</v>
      </c>
      <c r="Y1824">
        <v>0</v>
      </c>
      <c r="Z1824">
        <v>2</v>
      </c>
    </row>
    <row r="1825" spans="1:26">
      <c r="A1825" s="1">
        <v>1823</v>
      </c>
      <c r="B1825" t="str">
        <f>HYPERLINK("https://bugs.eclipse.org/bugs/show_bug.cgi?id=62871", "62871")</f>
        <v>62871</v>
      </c>
      <c r="C1825" t="s">
        <v>35</v>
      </c>
      <c r="D1825" t="s">
        <v>11</v>
      </c>
      <c r="E1825" t="s">
        <v>12</v>
      </c>
      <c r="F1825" t="s">
        <v>26</v>
      </c>
      <c r="L1825" t="s">
        <v>8336</v>
      </c>
      <c r="M1825" t="s">
        <v>8337</v>
      </c>
      <c r="N1825" t="s">
        <v>8336</v>
      </c>
      <c r="T1825" t="s">
        <v>8338</v>
      </c>
      <c r="U1825" t="s">
        <v>8339</v>
      </c>
      <c r="V1825" t="s">
        <v>8337</v>
      </c>
      <c r="W1825" t="s">
        <v>86</v>
      </c>
      <c r="X1825" t="s">
        <v>8340</v>
      </c>
      <c r="Y1825">
        <v>0</v>
      </c>
      <c r="Z1825">
        <v>22</v>
      </c>
    </row>
    <row r="1826" spans="1:26">
      <c r="A1826" s="1">
        <v>1824</v>
      </c>
      <c r="B1826" t="str">
        <f>HYPERLINK("https://bugs.eclipse.org/bugs/show_bug.cgi?id=62876", "62876")</f>
        <v>62876</v>
      </c>
      <c r="C1826" t="s">
        <v>149</v>
      </c>
      <c r="D1826" t="s">
        <v>10</v>
      </c>
      <c r="E1826" t="s">
        <v>12</v>
      </c>
      <c r="F1826" t="s">
        <v>26</v>
      </c>
      <c r="L1826" t="s">
        <v>8341</v>
      </c>
      <c r="N1826" t="s">
        <v>8341</v>
      </c>
      <c r="T1826" t="s">
        <v>8342</v>
      </c>
      <c r="U1826" t="s">
        <v>8343</v>
      </c>
      <c r="V1826" t="s">
        <v>8341</v>
      </c>
      <c r="W1826" t="s">
        <v>851</v>
      </c>
      <c r="X1826" t="s">
        <v>8344</v>
      </c>
      <c r="Y1826">
        <v>0</v>
      </c>
      <c r="Z1826">
        <v>278.04166666666669</v>
      </c>
    </row>
    <row r="1827" spans="1:26">
      <c r="A1827" s="1">
        <v>1825</v>
      </c>
      <c r="B1827" t="str">
        <f>HYPERLINK("https://bugs.eclipse.org/bugs/show_bug.cgi?id=62880", "62880")</f>
        <v>62880</v>
      </c>
      <c r="C1827" t="s">
        <v>35</v>
      </c>
      <c r="D1827" t="s">
        <v>11</v>
      </c>
      <c r="E1827" t="s">
        <v>12</v>
      </c>
      <c r="F1827" t="s">
        <v>26</v>
      </c>
      <c r="L1827" t="s">
        <v>8345</v>
      </c>
      <c r="M1827" t="s">
        <v>8346</v>
      </c>
      <c r="N1827" t="s">
        <v>8345</v>
      </c>
      <c r="T1827" t="s">
        <v>8347</v>
      </c>
      <c r="U1827" t="s">
        <v>8348</v>
      </c>
      <c r="V1827" t="s">
        <v>8346</v>
      </c>
      <c r="W1827" t="s">
        <v>86</v>
      </c>
      <c r="X1827" t="s">
        <v>8349</v>
      </c>
      <c r="Y1827">
        <v>0</v>
      </c>
      <c r="Z1827">
        <v>23</v>
      </c>
    </row>
    <row r="1828" spans="1:26">
      <c r="A1828" s="1">
        <v>1826</v>
      </c>
      <c r="B1828" t="str">
        <f>HYPERLINK("https://bugs.eclipse.org/bugs/show_bug.cgi?id=62899", "62899")</f>
        <v>62899</v>
      </c>
      <c r="C1828" t="s">
        <v>35</v>
      </c>
      <c r="D1828" t="s">
        <v>11</v>
      </c>
      <c r="E1828" t="s">
        <v>12</v>
      </c>
      <c r="F1828" t="s">
        <v>26</v>
      </c>
      <c r="L1828" t="s">
        <v>8350</v>
      </c>
      <c r="M1828" t="s">
        <v>8351</v>
      </c>
      <c r="N1828" t="s">
        <v>8350</v>
      </c>
      <c r="T1828" t="s">
        <v>8352</v>
      </c>
      <c r="U1828" t="s">
        <v>8353</v>
      </c>
      <c r="V1828" t="s">
        <v>8351</v>
      </c>
      <c r="W1828" t="s">
        <v>1161</v>
      </c>
      <c r="X1828" t="s">
        <v>8354</v>
      </c>
      <c r="Y1828">
        <v>0</v>
      </c>
      <c r="Z1828">
        <v>9</v>
      </c>
    </row>
    <row r="1829" spans="1:26">
      <c r="A1829" s="1">
        <v>1827</v>
      </c>
      <c r="B1829" t="str">
        <f>HYPERLINK("https://bugs.eclipse.org/bugs/show_bug.cgi?id=62902", "62902")</f>
        <v>62902</v>
      </c>
      <c r="C1829" t="s">
        <v>56</v>
      </c>
      <c r="D1829" t="s">
        <v>10</v>
      </c>
      <c r="E1829" t="s">
        <v>14</v>
      </c>
      <c r="F1829" t="s">
        <v>26</v>
      </c>
      <c r="L1829" t="s">
        <v>8355</v>
      </c>
      <c r="P1829" t="s">
        <v>5009</v>
      </c>
      <c r="T1829" t="s">
        <v>8356</v>
      </c>
      <c r="U1829" t="s">
        <v>8357</v>
      </c>
      <c r="V1829" t="s">
        <v>5009</v>
      </c>
      <c r="W1829" t="s">
        <v>80</v>
      </c>
      <c r="X1829" t="s">
        <v>8358</v>
      </c>
      <c r="Y1829">
        <v>0</v>
      </c>
      <c r="Z1829">
        <v>1929</v>
      </c>
    </row>
    <row r="1830" spans="1:26">
      <c r="A1830" s="1">
        <v>1828</v>
      </c>
      <c r="B1830" t="str">
        <f>HYPERLINK("https://bugs.eclipse.org/bugs/show_bug.cgi?id=63083", "63083")</f>
        <v>63083</v>
      </c>
      <c r="C1830" t="s">
        <v>140</v>
      </c>
      <c r="D1830" t="s">
        <v>10</v>
      </c>
      <c r="E1830" t="s">
        <v>16</v>
      </c>
      <c r="F1830" t="s">
        <v>26</v>
      </c>
      <c r="L1830" t="s">
        <v>8359</v>
      </c>
      <c r="R1830" t="s">
        <v>8359</v>
      </c>
      <c r="T1830" t="s">
        <v>8360</v>
      </c>
      <c r="U1830" t="s">
        <v>8359</v>
      </c>
      <c r="V1830" t="s">
        <v>8359</v>
      </c>
      <c r="W1830" t="s">
        <v>86</v>
      </c>
      <c r="X1830" t="s">
        <v>8361</v>
      </c>
      <c r="Y1830">
        <v>7</v>
      </c>
      <c r="Z1830">
        <v>7</v>
      </c>
    </row>
    <row r="1831" spans="1:26">
      <c r="A1831" s="1">
        <v>1829</v>
      </c>
      <c r="B1831" t="str">
        <f>HYPERLINK("https://bugs.eclipse.org/bugs/show_bug.cgi?id=63149", "63149")</f>
        <v>63149</v>
      </c>
      <c r="C1831" t="s">
        <v>149</v>
      </c>
      <c r="D1831" t="s">
        <v>10</v>
      </c>
      <c r="E1831" t="s">
        <v>12</v>
      </c>
      <c r="F1831" t="s">
        <v>26</v>
      </c>
      <c r="L1831" t="s">
        <v>8362</v>
      </c>
      <c r="N1831" t="s">
        <v>8362</v>
      </c>
      <c r="T1831" t="s">
        <v>8363</v>
      </c>
      <c r="U1831" t="s">
        <v>8364</v>
      </c>
      <c r="V1831" t="s">
        <v>8362</v>
      </c>
      <c r="W1831" t="s">
        <v>851</v>
      </c>
      <c r="X1831" t="s">
        <v>8365</v>
      </c>
      <c r="Y1831">
        <v>1</v>
      </c>
      <c r="Z1831">
        <v>1378.041666666667</v>
      </c>
    </row>
    <row r="1832" spans="1:26">
      <c r="A1832" s="1">
        <v>1830</v>
      </c>
      <c r="B1832" t="str">
        <f>HYPERLINK("https://bugs.eclipse.org/bugs/show_bug.cgi?id=63155", "63155")</f>
        <v>63155</v>
      </c>
      <c r="C1832" t="s">
        <v>35</v>
      </c>
      <c r="D1832" t="s">
        <v>11</v>
      </c>
      <c r="E1832" t="s">
        <v>12</v>
      </c>
      <c r="F1832" t="s">
        <v>150</v>
      </c>
      <c r="L1832" t="s">
        <v>8366</v>
      </c>
      <c r="M1832" t="s">
        <v>8367</v>
      </c>
      <c r="N1832" t="s">
        <v>8366</v>
      </c>
      <c r="T1832" t="s">
        <v>8368</v>
      </c>
      <c r="U1832" t="s">
        <v>8369</v>
      </c>
      <c r="V1832" t="s">
        <v>8367</v>
      </c>
      <c r="W1832" t="s">
        <v>851</v>
      </c>
      <c r="X1832" t="s">
        <v>8370</v>
      </c>
      <c r="Y1832">
        <v>1</v>
      </c>
      <c r="Z1832">
        <v>23</v>
      </c>
    </row>
    <row r="1833" spans="1:26">
      <c r="A1833" s="1">
        <v>1831</v>
      </c>
      <c r="B1833" t="str">
        <f>HYPERLINK("https://bugs.eclipse.org/bugs/show_bug.cgi?id=63222", "63222")</f>
        <v>63222</v>
      </c>
      <c r="C1833" t="s">
        <v>35</v>
      </c>
      <c r="D1833" t="s">
        <v>11</v>
      </c>
      <c r="E1833" t="s">
        <v>12</v>
      </c>
      <c r="F1833" t="s">
        <v>26</v>
      </c>
      <c r="L1833" t="s">
        <v>8371</v>
      </c>
      <c r="M1833" t="s">
        <v>8372</v>
      </c>
      <c r="N1833" t="s">
        <v>8371</v>
      </c>
      <c r="T1833" t="s">
        <v>8373</v>
      </c>
      <c r="U1833" t="s">
        <v>8374</v>
      </c>
      <c r="V1833" t="s">
        <v>8372</v>
      </c>
      <c r="W1833" t="s">
        <v>86</v>
      </c>
      <c r="X1833" t="s">
        <v>8375</v>
      </c>
      <c r="Y1833">
        <v>6</v>
      </c>
      <c r="Z1833">
        <v>21</v>
      </c>
    </row>
    <row r="1834" spans="1:26">
      <c r="A1834" s="1">
        <v>1832</v>
      </c>
      <c r="B1834" t="str">
        <f>HYPERLINK("https://bugs.eclipse.org/bugs/show_bug.cgi?id=63286", "63286")</f>
        <v>63286</v>
      </c>
      <c r="C1834" t="s">
        <v>140</v>
      </c>
      <c r="D1834" t="s">
        <v>10</v>
      </c>
      <c r="E1834" t="s">
        <v>16</v>
      </c>
      <c r="F1834" t="s">
        <v>26</v>
      </c>
      <c r="L1834" t="s">
        <v>8376</v>
      </c>
      <c r="R1834" t="s">
        <v>8376</v>
      </c>
      <c r="T1834" t="s">
        <v>8377</v>
      </c>
      <c r="U1834" t="s">
        <v>8378</v>
      </c>
      <c r="V1834" t="s">
        <v>8376</v>
      </c>
      <c r="W1834" t="s">
        <v>86</v>
      </c>
      <c r="X1834" t="s">
        <v>8379</v>
      </c>
      <c r="Y1834">
        <v>0</v>
      </c>
      <c r="Z1834">
        <v>4</v>
      </c>
    </row>
    <row r="1835" spans="1:26">
      <c r="A1835" s="1">
        <v>1833</v>
      </c>
      <c r="B1835" t="str">
        <f>HYPERLINK("https://bugs.eclipse.org/bugs/show_bug.cgi?id=63326", "63326")</f>
        <v>63326</v>
      </c>
      <c r="C1835" t="s">
        <v>8321</v>
      </c>
      <c r="D1835" t="s">
        <v>10</v>
      </c>
      <c r="E1835" t="s">
        <v>15</v>
      </c>
      <c r="F1835" t="s">
        <v>150</v>
      </c>
      <c r="L1835" t="s">
        <v>8380</v>
      </c>
      <c r="Q1835" t="s">
        <v>8380</v>
      </c>
      <c r="T1835" t="s">
        <v>8381</v>
      </c>
      <c r="U1835" t="s">
        <v>8382</v>
      </c>
      <c r="V1835" t="s">
        <v>8380</v>
      </c>
      <c r="W1835" t="s">
        <v>86</v>
      </c>
      <c r="X1835" t="s">
        <v>8383</v>
      </c>
      <c r="Y1835">
        <v>1</v>
      </c>
      <c r="Z1835">
        <v>6</v>
      </c>
    </row>
    <row r="1836" spans="1:26">
      <c r="A1836" s="1">
        <v>1834</v>
      </c>
      <c r="B1836" t="str">
        <f>HYPERLINK("https://bugs.eclipse.org/bugs/show_bug.cgi?id=63513", "63513")</f>
        <v>63513</v>
      </c>
      <c r="C1836" t="s">
        <v>35</v>
      </c>
      <c r="D1836" t="s">
        <v>11</v>
      </c>
      <c r="E1836" t="s">
        <v>12</v>
      </c>
      <c r="F1836" t="s">
        <v>26</v>
      </c>
      <c r="L1836" t="s">
        <v>8384</v>
      </c>
      <c r="M1836" t="s">
        <v>8385</v>
      </c>
      <c r="N1836" t="s">
        <v>8384</v>
      </c>
      <c r="T1836" t="s">
        <v>8386</v>
      </c>
      <c r="U1836" t="s">
        <v>8387</v>
      </c>
      <c r="V1836" t="s">
        <v>8385</v>
      </c>
      <c r="W1836" t="s">
        <v>49</v>
      </c>
      <c r="X1836" t="s">
        <v>8388</v>
      </c>
      <c r="Y1836">
        <v>0</v>
      </c>
      <c r="Z1836">
        <v>6</v>
      </c>
    </row>
    <row r="1837" spans="1:26">
      <c r="A1837" s="1">
        <v>1835</v>
      </c>
      <c r="B1837" t="str">
        <f>HYPERLINK("https://bugs.eclipse.org/bugs/show_bug.cgi?id=63518", "63518")</f>
        <v>63518</v>
      </c>
      <c r="C1837" t="s">
        <v>35</v>
      </c>
      <c r="D1837" t="s">
        <v>11</v>
      </c>
      <c r="E1837" t="s">
        <v>12</v>
      </c>
      <c r="F1837" t="s">
        <v>26</v>
      </c>
      <c r="L1837" t="s">
        <v>8389</v>
      </c>
      <c r="M1837" t="s">
        <v>8390</v>
      </c>
      <c r="N1837" t="s">
        <v>8389</v>
      </c>
      <c r="S1837" t="s">
        <v>8391</v>
      </c>
      <c r="T1837" t="s">
        <v>8392</v>
      </c>
      <c r="U1837" t="s">
        <v>8393</v>
      </c>
      <c r="V1837" t="s">
        <v>8390</v>
      </c>
      <c r="W1837" t="s">
        <v>6330</v>
      </c>
      <c r="X1837" t="s">
        <v>8394</v>
      </c>
      <c r="Y1837">
        <v>0</v>
      </c>
      <c r="Z1837">
        <v>19</v>
      </c>
    </row>
    <row r="1838" spans="1:26">
      <c r="A1838" s="1">
        <v>1836</v>
      </c>
      <c r="B1838" t="str">
        <f>HYPERLINK("https://bugs.eclipse.org/bugs/show_bug.cgi?id=63519", "63519")</f>
        <v>63519</v>
      </c>
      <c r="C1838" t="s">
        <v>149</v>
      </c>
      <c r="D1838" t="s">
        <v>10</v>
      </c>
      <c r="E1838" t="s">
        <v>12</v>
      </c>
      <c r="F1838" t="s">
        <v>26</v>
      </c>
      <c r="L1838" t="s">
        <v>8395</v>
      </c>
      <c r="N1838" t="s">
        <v>8395</v>
      </c>
      <c r="T1838" t="s">
        <v>8396</v>
      </c>
      <c r="U1838" t="s">
        <v>8397</v>
      </c>
      <c r="V1838" t="s">
        <v>8395</v>
      </c>
      <c r="W1838" t="s">
        <v>2668</v>
      </c>
      <c r="X1838" t="s">
        <v>8398</v>
      </c>
      <c r="Y1838">
        <v>0</v>
      </c>
      <c r="Z1838">
        <v>299.04166666666669</v>
      </c>
    </row>
    <row r="1839" spans="1:26">
      <c r="A1839" s="1">
        <v>1837</v>
      </c>
      <c r="B1839" t="str">
        <f>HYPERLINK("https://bugs.eclipse.org/bugs/show_bug.cgi?id=63606", "63606")</f>
        <v>63606</v>
      </c>
      <c r="C1839" t="s">
        <v>35</v>
      </c>
      <c r="D1839" t="s">
        <v>11</v>
      </c>
      <c r="E1839" t="s">
        <v>12</v>
      </c>
      <c r="F1839" t="s">
        <v>26</v>
      </c>
      <c r="L1839" t="s">
        <v>8399</v>
      </c>
      <c r="M1839" t="s">
        <v>8400</v>
      </c>
      <c r="N1839" t="s">
        <v>8399</v>
      </c>
      <c r="T1839" t="s">
        <v>8401</v>
      </c>
      <c r="U1839" t="s">
        <v>8402</v>
      </c>
      <c r="V1839" t="s">
        <v>8400</v>
      </c>
      <c r="W1839" t="s">
        <v>851</v>
      </c>
      <c r="X1839" t="s">
        <v>8403</v>
      </c>
      <c r="Y1839">
        <v>0</v>
      </c>
      <c r="Z1839">
        <v>19</v>
      </c>
    </row>
    <row r="1840" spans="1:26">
      <c r="A1840" s="1">
        <v>1838</v>
      </c>
      <c r="B1840" t="str">
        <f>HYPERLINK("https://bugs.eclipse.org/bugs/show_bug.cgi?id=63641", "63641")</f>
        <v>63641</v>
      </c>
      <c r="C1840" t="s">
        <v>149</v>
      </c>
      <c r="D1840" t="s">
        <v>10</v>
      </c>
      <c r="E1840" t="s">
        <v>12</v>
      </c>
      <c r="F1840" t="s">
        <v>26</v>
      </c>
      <c r="L1840" t="s">
        <v>8404</v>
      </c>
      <c r="N1840" t="s">
        <v>8404</v>
      </c>
      <c r="S1840" t="s">
        <v>8405</v>
      </c>
      <c r="T1840" t="s">
        <v>8406</v>
      </c>
      <c r="U1840" t="s">
        <v>8407</v>
      </c>
      <c r="V1840" t="s">
        <v>8404</v>
      </c>
      <c r="W1840" t="s">
        <v>86</v>
      </c>
      <c r="X1840" t="s">
        <v>8408</v>
      </c>
      <c r="Y1840">
        <v>0</v>
      </c>
      <c r="Z1840">
        <v>24</v>
      </c>
    </row>
    <row r="1841" spans="1:26">
      <c r="A1841" s="1">
        <v>1839</v>
      </c>
      <c r="B1841" t="str">
        <f>HYPERLINK("https://bugs.eclipse.org/bugs/show_bug.cgi?id=63765", "63765")</f>
        <v>63765</v>
      </c>
      <c r="C1841" t="s">
        <v>56</v>
      </c>
      <c r="D1841" t="s">
        <v>10</v>
      </c>
      <c r="E1841" t="s">
        <v>14</v>
      </c>
      <c r="F1841" t="s">
        <v>51</v>
      </c>
      <c r="L1841" t="s">
        <v>8409</v>
      </c>
      <c r="P1841" t="s">
        <v>8410</v>
      </c>
      <c r="T1841" t="s">
        <v>8411</v>
      </c>
      <c r="U1841" t="s">
        <v>8412</v>
      </c>
      <c r="V1841" t="s">
        <v>8410</v>
      </c>
      <c r="W1841" t="s">
        <v>80</v>
      </c>
      <c r="X1841" t="s">
        <v>8413</v>
      </c>
      <c r="Y1841">
        <v>0</v>
      </c>
      <c r="Z1841">
        <v>1924</v>
      </c>
    </row>
    <row r="1842" spans="1:26">
      <c r="A1842" s="1">
        <v>1840</v>
      </c>
      <c r="B1842" t="str">
        <f>HYPERLINK("https://bugs.eclipse.org/bugs/show_bug.cgi?id=63830", "63830")</f>
        <v>63830</v>
      </c>
      <c r="C1842" t="s">
        <v>35</v>
      </c>
      <c r="D1842" t="s">
        <v>11</v>
      </c>
      <c r="E1842" t="s">
        <v>12</v>
      </c>
      <c r="F1842" t="s">
        <v>26</v>
      </c>
      <c r="L1842" t="s">
        <v>8414</v>
      </c>
      <c r="M1842" t="s">
        <v>8415</v>
      </c>
      <c r="N1842" t="s">
        <v>8414</v>
      </c>
      <c r="T1842" t="s">
        <v>8416</v>
      </c>
      <c r="U1842" t="s">
        <v>8417</v>
      </c>
      <c r="V1842" t="s">
        <v>8415</v>
      </c>
      <c r="W1842" t="s">
        <v>86</v>
      </c>
      <c r="X1842" t="s">
        <v>8418</v>
      </c>
      <c r="Y1842">
        <v>0</v>
      </c>
      <c r="Z1842">
        <v>17</v>
      </c>
    </row>
    <row r="1843" spans="1:26">
      <c r="A1843" s="1">
        <v>1841</v>
      </c>
      <c r="B1843" t="str">
        <f>HYPERLINK("https://bugs.eclipse.org/bugs/show_bug.cgi?id=63908", "63908")</f>
        <v>63908</v>
      </c>
      <c r="C1843" t="s">
        <v>35</v>
      </c>
      <c r="D1843" t="s">
        <v>11</v>
      </c>
      <c r="E1843" t="s">
        <v>12</v>
      </c>
      <c r="F1843" t="s">
        <v>150</v>
      </c>
      <c r="G1843" t="s">
        <v>8419</v>
      </c>
      <c r="L1843" t="s">
        <v>8420</v>
      </c>
      <c r="M1843" t="s">
        <v>8421</v>
      </c>
      <c r="N1843" t="s">
        <v>8420</v>
      </c>
      <c r="T1843" t="s">
        <v>8422</v>
      </c>
      <c r="U1843" t="s">
        <v>8423</v>
      </c>
      <c r="V1843" t="s">
        <v>8421</v>
      </c>
      <c r="W1843" t="s">
        <v>1161</v>
      </c>
      <c r="X1843" t="s">
        <v>8424</v>
      </c>
      <c r="Y1843">
        <v>0</v>
      </c>
      <c r="Z1843">
        <v>3</v>
      </c>
    </row>
    <row r="1844" spans="1:26">
      <c r="A1844" s="1">
        <v>1842</v>
      </c>
      <c r="B1844" t="str">
        <f>HYPERLINK("https://bugs.eclipse.org/bugs/show_bug.cgi?id=63941", "63941")</f>
        <v>63941</v>
      </c>
      <c r="C1844" t="s">
        <v>140</v>
      </c>
      <c r="D1844" t="s">
        <v>10</v>
      </c>
      <c r="E1844" t="s">
        <v>16</v>
      </c>
      <c r="F1844" t="s">
        <v>26</v>
      </c>
      <c r="L1844" t="s">
        <v>8425</v>
      </c>
      <c r="R1844" t="s">
        <v>8425</v>
      </c>
      <c r="T1844" t="s">
        <v>8426</v>
      </c>
      <c r="U1844" t="s">
        <v>8425</v>
      </c>
      <c r="V1844" t="s">
        <v>8425</v>
      </c>
      <c r="W1844" t="s">
        <v>86</v>
      </c>
      <c r="X1844" t="s">
        <v>8427</v>
      </c>
      <c r="Y1844">
        <v>0</v>
      </c>
      <c r="Z1844">
        <v>0</v>
      </c>
    </row>
    <row r="1845" spans="1:26">
      <c r="A1845" s="1">
        <v>1843</v>
      </c>
      <c r="B1845" t="str">
        <f>HYPERLINK("https://bugs.eclipse.org/bugs/show_bug.cgi?id=64015", "64015")</f>
        <v>64015</v>
      </c>
      <c r="C1845" t="s">
        <v>35</v>
      </c>
      <c r="D1845" t="s">
        <v>11</v>
      </c>
      <c r="E1845" t="s">
        <v>12</v>
      </c>
      <c r="F1845" t="s">
        <v>26</v>
      </c>
      <c r="G1845" t="s">
        <v>8428</v>
      </c>
      <c r="L1845" t="s">
        <v>8429</v>
      </c>
      <c r="M1845" t="s">
        <v>8430</v>
      </c>
      <c r="N1845" t="s">
        <v>8429</v>
      </c>
      <c r="T1845" t="s">
        <v>8431</v>
      </c>
      <c r="U1845" t="s">
        <v>8432</v>
      </c>
      <c r="V1845" t="s">
        <v>8430</v>
      </c>
      <c r="W1845" t="s">
        <v>86</v>
      </c>
      <c r="X1845" t="s">
        <v>8433</v>
      </c>
      <c r="Y1845">
        <v>0</v>
      </c>
      <c r="Z1845">
        <v>16</v>
      </c>
    </row>
    <row r="1846" spans="1:26">
      <c r="A1846" s="1">
        <v>1844</v>
      </c>
      <c r="B1846" t="str">
        <f>HYPERLINK("https://bugs.eclipse.org/bugs/show_bug.cgi?id=64052", "64052")</f>
        <v>64052</v>
      </c>
      <c r="C1846" t="s">
        <v>35</v>
      </c>
      <c r="D1846" t="s">
        <v>11</v>
      </c>
      <c r="E1846" t="s">
        <v>12</v>
      </c>
      <c r="F1846" t="s">
        <v>26</v>
      </c>
      <c r="L1846" t="s">
        <v>8434</v>
      </c>
      <c r="M1846" t="s">
        <v>8435</v>
      </c>
      <c r="N1846" t="s">
        <v>8434</v>
      </c>
      <c r="T1846" t="s">
        <v>8436</v>
      </c>
      <c r="U1846" t="s">
        <v>8437</v>
      </c>
      <c r="V1846" t="s">
        <v>8435</v>
      </c>
      <c r="W1846" t="s">
        <v>1161</v>
      </c>
      <c r="X1846" t="s">
        <v>8438</v>
      </c>
      <c r="Y1846">
        <v>0</v>
      </c>
      <c r="Z1846">
        <v>16</v>
      </c>
    </row>
    <row r="1847" spans="1:26">
      <c r="A1847" s="1">
        <v>1845</v>
      </c>
      <c r="B1847" t="str">
        <f>HYPERLINK("https://bugs.eclipse.org/bugs/show_bug.cgi?id=64166", "64166")</f>
        <v>64166</v>
      </c>
      <c r="C1847" t="s">
        <v>8439</v>
      </c>
      <c r="D1847" t="s">
        <v>192</v>
      </c>
      <c r="E1847" t="s">
        <v>13</v>
      </c>
      <c r="F1847" t="s">
        <v>26</v>
      </c>
      <c r="L1847" t="s">
        <v>8440</v>
      </c>
      <c r="O1847" t="s">
        <v>8441</v>
      </c>
      <c r="T1847" t="s">
        <v>8442</v>
      </c>
      <c r="U1847" t="s">
        <v>8443</v>
      </c>
      <c r="V1847" t="s">
        <v>8441</v>
      </c>
      <c r="W1847" t="s">
        <v>75</v>
      </c>
      <c r="X1847" t="s">
        <v>8444</v>
      </c>
      <c r="Y1847">
        <v>8</v>
      </c>
      <c r="Z1847">
        <v>1922</v>
      </c>
    </row>
    <row r="1848" spans="1:26">
      <c r="A1848" s="1">
        <v>1846</v>
      </c>
      <c r="B1848" t="str">
        <f>HYPERLINK("https://bugs.eclipse.org/bugs/show_bug.cgi?id=64245", "64245")</f>
        <v>64245</v>
      </c>
      <c r="C1848" t="s">
        <v>4692</v>
      </c>
      <c r="D1848" t="s">
        <v>4692</v>
      </c>
      <c r="F1848" t="s">
        <v>26</v>
      </c>
      <c r="T1848" t="s">
        <v>8445</v>
      </c>
      <c r="U1848" t="s">
        <v>8446</v>
      </c>
      <c r="V1848" t="s">
        <v>8447</v>
      </c>
      <c r="W1848" t="s">
        <v>8448</v>
      </c>
      <c r="X1848" t="s">
        <v>8449</v>
      </c>
      <c r="Y1848">
        <v>0</v>
      </c>
    </row>
    <row r="1849" spans="1:26">
      <c r="A1849" s="1">
        <v>1847</v>
      </c>
      <c r="B1849" t="str">
        <f>HYPERLINK("https://bugs.eclipse.org/bugs/show_bug.cgi?id=64302", "64302")</f>
        <v>64302</v>
      </c>
      <c r="C1849" t="s">
        <v>17</v>
      </c>
      <c r="D1849" t="s">
        <v>17</v>
      </c>
      <c r="F1849" t="s">
        <v>26</v>
      </c>
      <c r="L1849" t="s">
        <v>8450</v>
      </c>
      <c r="Q1849" t="s">
        <v>8450</v>
      </c>
      <c r="S1849" t="s">
        <v>8451</v>
      </c>
      <c r="T1849" t="s">
        <v>8452</v>
      </c>
      <c r="U1849" t="s">
        <v>8453</v>
      </c>
      <c r="V1849" t="s">
        <v>8454</v>
      </c>
      <c r="W1849" t="s">
        <v>2777</v>
      </c>
      <c r="X1849" t="s">
        <v>8455</v>
      </c>
      <c r="Y1849">
        <v>0</v>
      </c>
    </row>
    <row r="1850" spans="1:26">
      <c r="A1850" s="1">
        <v>1848</v>
      </c>
      <c r="B1850" t="str">
        <f>HYPERLINK("https://bugs.eclipse.org/bugs/show_bug.cgi?id=64414", "64414")</f>
        <v>64414</v>
      </c>
      <c r="C1850" t="s">
        <v>140</v>
      </c>
      <c r="D1850" t="s">
        <v>10</v>
      </c>
      <c r="E1850" t="s">
        <v>16</v>
      </c>
      <c r="F1850" t="s">
        <v>26</v>
      </c>
      <c r="L1850" t="s">
        <v>8456</v>
      </c>
      <c r="R1850" t="s">
        <v>8456</v>
      </c>
      <c r="T1850" t="s">
        <v>8457</v>
      </c>
      <c r="U1850" t="s">
        <v>8458</v>
      </c>
      <c r="V1850" t="s">
        <v>8456</v>
      </c>
      <c r="W1850" t="s">
        <v>86</v>
      </c>
      <c r="X1850" t="s">
        <v>8459</v>
      </c>
      <c r="Y1850">
        <v>0</v>
      </c>
      <c r="Z1850">
        <v>1</v>
      </c>
    </row>
    <row r="1851" spans="1:26">
      <c r="A1851" s="1">
        <v>1849</v>
      </c>
      <c r="B1851" t="str">
        <f>HYPERLINK("https://bugs.eclipse.org/bugs/show_bug.cgi?id=64418", "64418")</f>
        <v>64418</v>
      </c>
      <c r="C1851" t="s">
        <v>35</v>
      </c>
      <c r="D1851" t="s">
        <v>11</v>
      </c>
      <c r="E1851" t="s">
        <v>12</v>
      </c>
      <c r="F1851" t="s">
        <v>150</v>
      </c>
      <c r="G1851" t="s">
        <v>8460</v>
      </c>
      <c r="L1851" t="s">
        <v>8461</v>
      </c>
      <c r="M1851" t="s">
        <v>8462</v>
      </c>
      <c r="N1851" t="s">
        <v>8461</v>
      </c>
      <c r="T1851" t="s">
        <v>8463</v>
      </c>
      <c r="U1851" t="s">
        <v>8464</v>
      </c>
      <c r="V1851" t="s">
        <v>8462</v>
      </c>
      <c r="W1851" t="s">
        <v>86</v>
      </c>
      <c r="X1851" t="s">
        <v>8465</v>
      </c>
      <c r="Y1851">
        <v>1</v>
      </c>
      <c r="Z1851">
        <v>15</v>
      </c>
    </row>
    <row r="1852" spans="1:26">
      <c r="A1852" s="1">
        <v>1850</v>
      </c>
      <c r="B1852" t="str">
        <f>HYPERLINK("https://bugs.eclipse.org/bugs/show_bug.cgi?id=64508", "64508")</f>
        <v>64508</v>
      </c>
      <c r="C1852" t="s">
        <v>35</v>
      </c>
      <c r="D1852" t="s">
        <v>11</v>
      </c>
      <c r="E1852" t="s">
        <v>12</v>
      </c>
      <c r="F1852" t="s">
        <v>26</v>
      </c>
      <c r="L1852" t="s">
        <v>8466</v>
      </c>
      <c r="M1852" t="s">
        <v>8467</v>
      </c>
      <c r="N1852" t="s">
        <v>8466</v>
      </c>
      <c r="T1852" t="s">
        <v>8468</v>
      </c>
      <c r="U1852" t="s">
        <v>8469</v>
      </c>
      <c r="V1852" t="s">
        <v>8467</v>
      </c>
      <c r="W1852" t="s">
        <v>86</v>
      </c>
      <c r="X1852" t="s">
        <v>8470</v>
      </c>
      <c r="Y1852">
        <v>0</v>
      </c>
      <c r="Z1852">
        <v>14</v>
      </c>
    </row>
    <row r="1853" spans="1:26">
      <c r="A1853" s="1">
        <v>1851</v>
      </c>
      <c r="B1853" t="str">
        <f>HYPERLINK("https://bugs.eclipse.org/bugs/show_bug.cgi?id=64513", "64513")</f>
        <v>64513</v>
      </c>
      <c r="C1853" t="s">
        <v>149</v>
      </c>
      <c r="D1853" t="s">
        <v>10</v>
      </c>
      <c r="E1853" t="s">
        <v>12</v>
      </c>
      <c r="F1853" t="s">
        <v>26</v>
      </c>
      <c r="L1853" t="s">
        <v>8471</v>
      </c>
      <c r="N1853" t="s">
        <v>8471</v>
      </c>
      <c r="T1853" t="s">
        <v>8472</v>
      </c>
      <c r="U1853" t="s">
        <v>8473</v>
      </c>
      <c r="V1853" t="s">
        <v>8471</v>
      </c>
      <c r="W1853" t="s">
        <v>86</v>
      </c>
      <c r="X1853" t="s">
        <v>8474</v>
      </c>
      <c r="Y1853">
        <v>6</v>
      </c>
      <c r="Z1853">
        <v>334</v>
      </c>
    </row>
    <row r="1854" spans="1:26">
      <c r="A1854" s="1">
        <v>1852</v>
      </c>
      <c r="B1854" t="str">
        <f>HYPERLINK("https://bugs.eclipse.org/bugs/show_bug.cgi?id=64517", "64517")</f>
        <v>64517</v>
      </c>
      <c r="C1854" t="s">
        <v>35</v>
      </c>
      <c r="D1854" t="s">
        <v>11</v>
      </c>
      <c r="E1854" t="s">
        <v>12</v>
      </c>
      <c r="F1854" t="s">
        <v>26</v>
      </c>
      <c r="L1854" t="s">
        <v>8475</v>
      </c>
      <c r="M1854" t="s">
        <v>8476</v>
      </c>
      <c r="N1854" t="s">
        <v>8475</v>
      </c>
      <c r="T1854" t="s">
        <v>8477</v>
      </c>
      <c r="U1854" t="s">
        <v>8478</v>
      </c>
      <c r="V1854" t="s">
        <v>8476</v>
      </c>
      <c r="W1854" t="s">
        <v>49</v>
      </c>
      <c r="X1854" t="s">
        <v>8479</v>
      </c>
      <c r="Y1854">
        <v>6</v>
      </c>
      <c r="Z1854">
        <v>14</v>
      </c>
    </row>
    <row r="1855" spans="1:26">
      <c r="A1855" s="1">
        <v>1853</v>
      </c>
      <c r="B1855" t="str">
        <f>HYPERLINK("https://bugs.eclipse.org/bugs/show_bug.cgi?id=64527", "64527")</f>
        <v>64527</v>
      </c>
      <c r="C1855" t="s">
        <v>140</v>
      </c>
      <c r="D1855" t="s">
        <v>10</v>
      </c>
      <c r="E1855" t="s">
        <v>16</v>
      </c>
      <c r="F1855" t="s">
        <v>26</v>
      </c>
      <c r="L1855" t="s">
        <v>8480</v>
      </c>
      <c r="R1855" t="s">
        <v>8480</v>
      </c>
      <c r="T1855" t="s">
        <v>8481</v>
      </c>
      <c r="U1855" t="s">
        <v>8482</v>
      </c>
      <c r="V1855" t="s">
        <v>8480</v>
      </c>
      <c r="W1855" t="s">
        <v>49</v>
      </c>
      <c r="X1855" t="s">
        <v>8483</v>
      </c>
      <c r="Y1855">
        <v>6</v>
      </c>
      <c r="Z1855">
        <v>747</v>
      </c>
    </row>
    <row r="1856" spans="1:26">
      <c r="A1856" s="1">
        <v>1854</v>
      </c>
      <c r="B1856" t="str">
        <f>HYPERLINK("https://bugs.eclipse.org/bugs/show_bug.cgi?id=64530", "64530")</f>
        <v>64530</v>
      </c>
      <c r="C1856" t="s">
        <v>35</v>
      </c>
      <c r="D1856" t="s">
        <v>11</v>
      </c>
      <c r="E1856" t="s">
        <v>12</v>
      </c>
      <c r="F1856" t="s">
        <v>26</v>
      </c>
      <c r="L1856" t="s">
        <v>8484</v>
      </c>
      <c r="M1856" t="s">
        <v>8485</v>
      </c>
      <c r="N1856" t="s">
        <v>8484</v>
      </c>
      <c r="T1856" t="s">
        <v>8486</v>
      </c>
      <c r="U1856" t="s">
        <v>8487</v>
      </c>
      <c r="V1856" t="s">
        <v>8485</v>
      </c>
      <c r="W1856" t="s">
        <v>86</v>
      </c>
      <c r="X1856" t="s">
        <v>8488</v>
      </c>
      <c r="Y1856">
        <v>0</v>
      </c>
      <c r="Z1856">
        <v>14</v>
      </c>
    </row>
    <row r="1857" spans="1:26">
      <c r="A1857" s="1">
        <v>1855</v>
      </c>
      <c r="B1857" t="str">
        <f>HYPERLINK("https://bugs.eclipse.org/bugs/show_bug.cgi?id=64560", "64560")</f>
        <v>64560</v>
      </c>
      <c r="C1857" t="s">
        <v>8489</v>
      </c>
      <c r="D1857" t="s">
        <v>11</v>
      </c>
      <c r="E1857" t="s">
        <v>15</v>
      </c>
      <c r="F1857" t="s">
        <v>26</v>
      </c>
      <c r="L1857" t="s">
        <v>8490</v>
      </c>
      <c r="M1857" t="s">
        <v>8491</v>
      </c>
      <c r="Q1857" t="s">
        <v>8490</v>
      </c>
      <c r="T1857" t="s">
        <v>8492</v>
      </c>
      <c r="U1857" t="s">
        <v>8493</v>
      </c>
      <c r="V1857" t="s">
        <v>8491</v>
      </c>
      <c r="W1857" t="s">
        <v>143</v>
      </c>
      <c r="X1857" t="s">
        <v>8494</v>
      </c>
      <c r="Y1857">
        <v>0</v>
      </c>
      <c r="Z1857">
        <v>14</v>
      </c>
    </row>
    <row r="1858" spans="1:26">
      <c r="A1858" s="1">
        <v>1856</v>
      </c>
      <c r="B1858" t="str">
        <f>HYPERLINK("https://bugs.eclipse.org/bugs/show_bug.cgi?id=64563", "64563")</f>
        <v>64563</v>
      </c>
      <c r="C1858" t="s">
        <v>35</v>
      </c>
      <c r="D1858" t="s">
        <v>11</v>
      </c>
      <c r="E1858" t="s">
        <v>12</v>
      </c>
      <c r="F1858" t="s">
        <v>26</v>
      </c>
      <c r="G1858" t="s">
        <v>8495</v>
      </c>
      <c r="L1858" t="s">
        <v>8496</v>
      </c>
      <c r="M1858" t="s">
        <v>8497</v>
      </c>
      <c r="N1858" t="s">
        <v>8496</v>
      </c>
      <c r="T1858" t="s">
        <v>8498</v>
      </c>
      <c r="U1858" t="s">
        <v>8499</v>
      </c>
      <c r="V1858" t="s">
        <v>8497</v>
      </c>
      <c r="W1858" t="s">
        <v>143</v>
      </c>
      <c r="X1858" t="s">
        <v>8500</v>
      </c>
      <c r="Y1858">
        <v>0</v>
      </c>
      <c r="Z1858">
        <v>14</v>
      </c>
    </row>
    <row r="1859" spans="1:26">
      <c r="A1859" s="1">
        <v>1857</v>
      </c>
      <c r="B1859" t="str">
        <f>HYPERLINK("https://bugs.eclipse.org/bugs/show_bug.cgi?id=64654", "64654")</f>
        <v>64654</v>
      </c>
      <c r="C1859" t="s">
        <v>149</v>
      </c>
      <c r="D1859" t="s">
        <v>10</v>
      </c>
      <c r="E1859" t="s">
        <v>12</v>
      </c>
      <c r="F1859" t="s">
        <v>26</v>
      </c>
      <c r="L1859" t="s">
        <v>8501</v>
      </c>
      <c r="N1859" t="s">
        <v>8501</v>
      </c>
      <c r="T1859" t="s">
        <v>8502</v>
      </c>
      <c r="U1859" t="s">
        <v>8501</v>
      </c>
      <c r="V1859" t="s">
        <v>8501</v>
      </c>
      <c r="W1859" t="s">
        <v>8503</v>
      </c>
      <c r="X1859" t="s">
        <v>8504</v>
      </c>
      <c r="Y1859">
        <v>1</v>
      </c>
      <c r="Z1859">
        <v>1</v>
      </c>
    </row>
    <row r="1860" spans="1:26">
      <c r="A1860" s="1">
        <v>1858</v>
      </c>
      <c r="B1860" t="str">
        <f>HYPERLINK("https://bugs.eclipse.org/bugs/show_bug.cgi?id=64665", "64665")</f>
        <v>64665</v>
      </c>
      <c r="C1860" t="s">
        <v>35</v>
      </c>
      <c r="D1860" t="s">
        <v>11</v>
      </c>
      <c r="E1860" t="s">
        <v>12</v>
      </c>
      <c r="F1860" t="s">
        <v>26</v>
      </c>
      <c r="G1860" t="s">
        <v>8505</v>
      </c>
      <c r="H1860" t="s">
        <v>8506</v>
      </c>
      <c r="L1860" t="s">
        <v>8507</v>
      </c>
      <c r="M1860" t="s">
        <v>8508</v>
      </c>
      <c r="N1860" t="s">
        <v>8507</v>
      </c>
      <c r="S1860" t="s">
        <v>8509</v>
      </c>
      <c r="T1860" t="s">
        <v>8510</v>
      </c>
      <c r="U1860" t="s">
        <v>8511</v>
      </c>
      <c r="V1860" t="s">
        <v>6108</v>
      </c>
      <c r="W1860" t="s">
        <v>851</v>
      </c>
      <c r="X1860" t="s">
        <v>8512</v>
      </c>
      <c r="Y1860">
        <v>0</v>
      </c>
      <c r="Z1860">
        <v>674</v>
      </c>
    </row>
    <row r="1861" spans="1:26">
      <c r="A1861" s="1">
        <v>1859</v>
      </c>
      <c r="B1861" t="str">
        <f>HYPERLINK("https://bugs.eclipse.org/bugs/show_bug.cgi?id=64675", "64675")</f>
        <v>64675</v>
      </c>
      <c r="C1861" t="s">
        <v>35</v>
      </c>
      <c r="D1861" t="s">
        <v>11</v>
      </c>
      <c r="E1861" t="s">
        <v>12</v>
      </c>
      <c r="F1861" t="s">
        <v>26</v>
      </c>
      <c r="L1861" t="s">
        <v>8513</v>
      </c>
      <c r="M1861" t="s">
        <v>8514</v>
      </c>
      <c r="N1861" t="s">
        <v>8513</v>
      </c>
      <c r="T1861" t="s">
        <v>8515</v>
      </c>
      <c r="U1861" t="s">
        <v>8516</v>
      </c>
      <c r="V1861" t="s">
        <v>8514</v>
      </c>
      <c r="W1861" t="s">
        <v>86</v>
      </c>
      <c r="X1861" t="s">
        <v>8517</v>
      </c>
      <c r="Y1861">
        <v>0</v>
      </c>
      <c r="Z1861">
        <v>13</v>
      </c>
    </row>
    <row r="1862" spans="1:26">
      <c r="A1862" s="1">
        <v>1860</v>
      </c>
      <c r="B1862" t="str">
        <f>HYPERLINK("https://bugs.eclipse.org/bugs/show_bug.cgi?id=64676", "64676")</f>
        <v>64676</v>
      </c>
      <c r="C1862" t="s">
        <v>4692</v>
      </c>
      <c r="D1862" t="s">
        <v>4692</v>
      </c>
      <c r="F1862" t="s">
        <v>26</v>
      </c>
      <c r="T1862" t="s">
        <v>8518</v>
      </c>
      <c r="U1862" t="s">
        <v>8519</v>
      </c>
      <c r="V1862" t="s">
        <v>8520</v>
      </c>
      <c r="W1862" t="s">
        <v>49</v>
      </c>
      <c r="X1862" t="s">
        <v>8521</v>
      </c>
      <c r="Y1862">
        <v>0</v>
      </c>
    </row>
    <row r="1863" spans="1:26">
      <c r="A1863" s="1">
        <v>1861</v>
      </c>
      <c r="B1863" t="str">
        <f>HYPERLINK("https://bugs.eclipse.org/bugs/show_bug.cgi?id=64678", "64678")</f>
        <v>64678</v>
      </c>
      <c r="C1863" t="s">
        <v>7999</v>
      </c>
      <c r="D1863" t="s">
        <v>10</v>
      </c>
      <c r="E1863" t="s">
        <v>15</v>
      </c>
      <c r="F1863" t="s">
        <v>26</v>
      </c>
      <c r="L1863" t="s">
        <v>8522</v>
      </c>
      <c r="Q1863" t="s">
        <v>8522</v>
      </c>
      <c r="T1863" t="s">
        <v>8523</v>
      </c>
      <c r="U1863" t="s">
        <v>8524</v>
      </c>
      <c r="V1863" t="s">
        <v>8522</v>
      </c>
      <c r="W1863" t="s">
        <v>86</v>
      </c>
      <c r="X1863" t="s">
        <v>8525</v>
      </c>
      <c r="Y1863">
        <v>0</v>
      </c>
      <c r="Z1863">
        <v>1</v>
      </c>
    </row>
    <row r="1864" spans="1:26">
      <c r="A1864" s="1">
        <v>1862</v>
      </c>
      <c r="B1864" t="str">
        <f>HYPERLINK("https://bugs.eclipse.org/bugs/show_bug.cgi?id=64698", "64698")</f>
        <v>64698</v>
      </c>
      <c r="C1864" t="s">
        <v>25</v>
      </c>
      <c r="D1864" t="s">
        <v>25</v>
      </c>
      <c r="F1864" t="s">
        <v>26</v>
      </c>
      <c r="G1864" t="s">
        <v>8526</v>
      </c>
      <c r="T1864" t="s">
        <v>8527</v>
      </c>
      <c r="U1864" t="s">
        <v>8528</v>
      </c>
      <c r="V1864" t="s">
        <v>8529</v>
      </c>
      <c r="W1864" t="s">
        <v>851</v>
      </c>
      <c r="X1864" t="s">
        <v>8530</v>
      </c>
      <c r="Y1864">
        <v>0</v>
      </c>
    </row>
    <row r="1865" spans="1:26">
      <c r="A1865" s="1">
        <v>1863</v>
      </c>
      <c r="B1865" t="str">
        <f>HYPERLINK("https://bugs.eclipse.org/bugs/show_bug.cgi?id=64700", "64700")</f>
        <v>64700</v>
      </c>
      <c r="C1865" t="s">
        <v>56</v>
      </c>
      <c r="D1865" t="s">
        <v>10</v>
      </c>
      <c r="E1865" t="s">
        <v>14</v>
      </c>
      <c r="F1865" t="s">
        <v>460</v>
      </c>
      <c r="L1865" t="s">
        <v>8531</v>
      </c>
      <c r="P1865" t="s">
        <v>8532</v>
      </c>
      <c r="T1865" t="s">
        <v>8533</v>
      </c>
      <c r="U1865" t="s">
        <v>8531</v>
      </c>
      <c r="V1865" t="s">
        <v>8532</v>
      </c>
      <c r="W1865" t="s">
        <v>75</v>
      </c>
      <c r="X1865" t="s">
        <v>8534</v>
      </c>
      <c r="Y1865">
        <v>1</v>
      </c>
      <c r="Z1865">
        <v>1918</v>
      </c>
    </row>
    <row r="1866" spans="1:26">
      <c r="A1866" s="1">
        <v>1864</v>
      </c>
      <c r="B1866" t="str">
        <f>HYPERLINK("https://bugs.eclipse.org/bugs/show_bug.cgi?id=64711", "64711")</f>
        <v>64711</v>
      </c>
      <c r="C1866" t="s">
        <v>149</v>
      </c>
      <c r="D1866" t="s">
        <v>10</v>
      </c>
      <c r="E1866" t="s">
        <v>12</v>
      </c>
      <c r="F1866" t="s">
        <v>26</v>
      </c>
      <c r="L1866" t="s">
        <v>8535</v>
      </c>
      <c r="N1866" t="s">
        <v>8535</v>
      </c>
      <c r="T1866" t="s">
        <v>8536</v>
      </c>
      <c r="U1866" t="s">
        <v>8535</v>
      </c>
      <c r="V1866" t="s">
        <v>8535</v>
      </c>
      <c r="W1866" t="s">
        <v>8537</v>
      </c>
      <c r="X1866" t="s">
        <v>8538</v>
      </c>
      <c r="Y1866">
        <v>0</v>
      </c>
      <c r="Z1866">
        <v>0</v>
      </c>
    </row>
    <row r="1867" spans="1:26">
      <c r="A1867" s="1">
        <v>1865</v>
      </c>
      <c r="B1867" t="str">
        <f>HYPERLINK("https://bugs.eclipse.org/bugs/show_bug.cgi?id=64867", "64867")</f>
        <v>64867</v>
      </c>
      <c r="C1867" t="s">
        <v>35</v>
      </c>
      <c r="D1867" t="s">
        <v>11</v>
      </c>
      <c r="E1867" t="s">
        <v>12</v>
      </c>
      <c r="F1867" t="s">
        <v>26</v>
      </c>
      <c r="L1867" t="s">
        <v>8539</v>
      </c>
      <c r="M1867" t="s">
        <v>8540</v>
      </c>
      <c r="N1867" t="s">
        <v>8539</v>
      </c>
      <c r="T1867" t="s">
        <v>8541</v>
      </c>
      <c r="U1867" t="s">
        <v>8542</v>
      </c>
      <c r="V1867" t="s">
        <v>8540</v>
      </c>
      <c r="W1867" t="s">
        <v>40</v>
      </c>
      <c r="X1867" t="s">
        <v>8543</v>
      </c>
      <c r="Y1867">
        <v>0</v>
      </c>
      <c r="Z1867">
        <v>10</v>
      </c>
    </row>
    <row r="1868" spans="1:26">
      <c r="A1868" s="1">
        <v>1866</v>
      </c>
      <c r="B1868" t="str">
        <f>HYPERLINK("https://bugs.eclipse.org/bugs/show_bug.cgi?id=64869", "64869")</f>
        <v>64869</v>
      </c>
      <c r="C1868" t="s">
        <v>35</v>
      </c>
      <c r="D1868" t="s">
        <v>11</v>
      </c>
      <c r="E1868" t="s">
        <v>12</v>
      </c>
      <c r="F1868" t="s">
        <v>26</v>
      </c>
      <c r="L1868" t="s">
        <v>8544</v>
      </c>
      <c r="M1868" t="s">
        <v>8545</v>
      </c>
      <c r="N1868" t="s">
        <v>8544</v>
      </c>
      <c r="T1868" t="s">
        <v>8546</v>
      </c>
      <c r="U1868" t="s">
        <v>8547</v>
      </c>
      <c r="V1868" t="s">
        <v>8545</v>
      </c>
      <c r="W1868" t="s">
        <v>86</v>
      </c>
      <c r="X1868" t="s">
        <v>8548</v>
      </c>
      <c r="Y1868">
        <v>2</v>
      </c>
      <c r="Z1868">
        <v>10</v>
      </c>
    </row>
    <row r="1869" spans="1:26">
      <c r="A1869" s="1">
        <v>1867</v>
      </c>
      <c r="B1869" t="str">
        <f>HYPERLINK("https://bugs.eclipse.org/bugs/show_bug.cgi?id=64875", "64875")</f>
        <v>64875</v>
      </c>
      <c r="C1869" t="s">
        <v>56</v>
      </c>
      <c r="D1869" t="s">
        <v>10</v>
      </c>
      <c r="E1869" t="s">
        <v>14</v>
      </c>
      <c r="F1869" t="s">
        <v>26</v>
      </c>
      <c r="L1869" t="s">
        <v>8549</v>
      </c>
      <c r="P1869" t="s">
        <v>8549</v>
      </c>
      <c r="T1869" t="s">
        <v>8550</v>
      </c>
      <c r="U1869" t="s">
        <v>8549</v>
      </c>
      <c r="V1869" t="s">
        <v>8549</v>
      </c>
      <c r="W1869" t="s">
        <v>86</v>
      </c>
      <c r="X1869" t="s">
        <v>8551</v>
      </c>
      <c r="Y1869">
        <v>0</v>
      </c>
      <c r="Z1869">
        <v>0</v>
      </c>
    </row>
    <row r="1870" spans="1:26">
      <c r="A1870" s="1">
        <v>1868</v>
      </c>
      <c r="B1870" t="str">
        <f>HYPERLINK("https://bugs.eclipse.org/bugs/show_bug.cgi?id=64906", "64906")</f>
        <v>64906</v>
      </c>
      <c r="C1870" t="s">
        <v>35</v>
      </c>
      <c r="D1870" t="s">
        <v>11</v>
      </c>
      <c r="E1870" t="s">
        <v>12</v>
      </c>
      <c r="F1870" t="s">
        <v>26</v>
      </c>
      <c r="L1870" t="s">
        <v>8552</v>
      </c>
      <c r="M1870" t="s">
        <v>8553</v>
      </c>
      <c r="N1870" t="s">
        <v>8552</v>
      </c>
      <c r="T1870" t="s">
        <v>8554</v>
      </c>
      <c r="U1870" t="s">
        <v>8555</v>
      </c>
      <c r="V1870" t="s">
        <v>8553</v>
      </c>
      <c r="W1870" t="s">
        <v>86</v>
      </c>
      <c r="X1870" t="s">
        <v>8556</v>
      </c>
      <c r="Y1870">
        <v>2</v>
      </c>
      <c r="Z1870">
        <v>10</v>
      </c>
    </row>
    <row r="1871" spans="1:26">
      <c r="A1871" s="1">
        <v>1869</v>
      </c>
      <c r="B1871" t="str">
        <f>HYPERLINK("https://bugs.eclipse.org/bugs/show_bug.cgi?id=64922", "64922")</f>
        <v>64922</v>
      </c>
      <c r="C1871" t="s">
        <v>56</v>
      </c>
      <c r="D1871" t="s">
        <v>10</v>
      </c>
      <c r="E1871" t="s">
        <v>14</v>
      </c>
      <c r="F1871" t="s">
        <v>150</v>
      </c>
      <c r="L1871" t="s">
        <v>8557</v>
      </c>
      <c r="P1871" t="s">
        <v>8558</v>
      </c>
      <c r="T1871" t="s">
        <v>8559</v>
      </c>
      <c r="U1871" t="s">
        <v>8560</v>
      </c>
      <c r="V1871" t="s">
        <v>8558</v>
      </c>
      <c r="W1871" t="s">
        <v>80</v>
      </c>
      <c r="X1871" t="s">
        <v>8561</v>
      </c>
      <c r="Y1871">
        <v>0</v>
      </c>
      <c r="Z1871">
        <v>1916</v>
      </c>
    </row>
    <row r="1872" spans="1:26">
      <c r="A1872" s="1">
        <v>1870</v>
      </c>
      <c r="B1872" t="str">
        <f>HYPERLINK("https://bugs.eclipse.org/bugs/show_bug.cgi?id=64924", "64924")</f>
        <v>64924</v>
      </c>
      <c r="C1872" t="s">
        <v>35</v>
      </c>
      <c r="D1872" t="s">
        <v>11</v>
      </c>
      <c r="E1872" t="s">
        <v>12</v>
      </c>
      <c r="F1872" t="s">
        <v>26</v>
      </c>
      <c r="L1872" t="s">
        <v>8562</v>
      </c>
      <c r="M1872" t="s">
        <v>8563</v>
      </c>
      <c r="N1872" t="s">
        <v>8562</v>
      </c>
      <c r="T1872" t="s">
        <v>8564</v>
      </c>
      <c r="U1872" t="s">
        <v>8565</v>
      </c>
      <c r="V1872" t="s">
        <v>8563</v>
      </c>
      <c r="W1872" t="s">
        <v>49</v>
      </c>
      <c r="X1872" t="s">
        <v>8566</v>
      </c>
      <c r="Y1872">
        <v>0</v>
      </c>
      <c r="Z1872">
        <v>10</v>
      </c>
    </row>
    <row r="1873" spans="1:26">
      <c r="A1873" s="1">
        <v>1871</v>
      </c>
      <c r="B1873" t="str">
        <f>HYPERLINK("https://bugs.eclipse.org/bugs/show_bug.cgi?id=64954", "64954")</f>
        <v>64954</v>
      </c>
      <c r="C1873" t="s">
        <v>8567</v>
      </c>
      <c r="D1873" t="s">
        <v>10</v>
      </c>
      <c r="E1873" t="s">
        <v>15</v>
      </c>
      <c r="F1873" t="s">
        <v>26</v>
      </c>
      <c r="L1873" t="s">
        <v>8568</v>
      </c>
      <c r="Q1873" t="s">
        <v>8568</v>
      </c>
      <c r="T1873" t="s">
        <v>8569</v>
      </c>
      <c r="U1873" t="s">
        <v>8570</v>
      </c>
      <c r="V1873" t="s">
        <v>8568</v>
      </c>
      <c r="W1873" t="s">
        <v>851</v>
      </c>
      <c r="X1873" t="s">
        <v>8571</v>
      </c>
      <c r="Y1873">
        <v>2</v>
      </c>
      <c r="Z1873">
        <v>262.04166666666669</v>
      </c>
    </row>
    <row r="1874" spans="1:26">
      <c r="A1874" s="1">
        <v>1872</v>
      </c>
      <c r="B1874" t="str">
        <f>HYPERLINK("https://bugs.eclipse.org/bugs/show_bug.cgi?id=65104", "65104")</f>
        <v>65104</v>
      </c>
      <c r="C1874" t="s">
        <v>8572</v>
      </c>
      <c r="D1874" t="s">
        <v>10</v>
      </c>
      <c r="E1874" t="s">
        <v>15</v>
      </c>
      <c r="F1874" t="s">
        <v>26</v>
      </c>
      <c r="L1874" t="s">
        <v>8573</v>
      </c>
      <c r="Q1874" t="s">
        <v>8573</v>
      </c>
      <c r="T1874" t="s">
        <v>8574</v>
      </c>
      <c r="U1874" t="s">
        <v>8575</v>
      </c>
      <c r="V1874" t="s">
        <v>8573</v>
      </c>
      <c r="W1874" t="s">
        <v>49</v>
      </c>
      <c r="X1874" t="s">
        <v>8576</v>
      </c>
      <c r="Y1874">
        <v>0</v>
      </c>
      <c r="Z1874">
        <v>743</v>
      </c>
    </row>
    <row r="1875" spans="1:26">
      <c r="A1875" s="1">
        <v>1873</v>
      </c>
      <c r="B1875" t="str">
        <f>HYPERLINK("https://bugs.eclipse.org/bugs/show_bug.cgi?id=65137", "65137")</f>
        <v>65137</v>
      </c>
      <c r="C1875" t="s">
        <v>35</v>
      </c>
      <c r="D1875" t="s">
        <v>11</v>
      </c>
      <c r="E1875" t="s">
        <v>12</v>
      </c>
      <c r="F1875" t="s">
        <v>150</v>
      </c>
      <c r="L1875" t="s">
        <v>8577</v>
      </c>
      <c r="M1875" t="s">
        <v>8578</v>
      </c>
      <c r="N1875" t="s">
        <v>8577</v>
      </c>
      <c r="T1875" t="s">
        <v>8579</v>
      </c>
      <c r="U1875" t="s">
        <v>8580</v>
      </c>
      <c r="V1875" t="s">
        <v>8578</v>
      </c>
      <c r="W1875" t="s">
        <v>86</v>
      </c>
      <c r="X1875" t="s">
        <v>8581</v>
      </c>
      <c r="Y1875">
        <v>0</v>
      </c>
      <c r="Z1875">
        <v>10</v>
      </c>
    </row>
    <row r="1876" spans="1:26">
      <c r="A1876" s="1">
        <v>1874</v>
      </c>
      <c r="B1876" t="str">
        <f>HYPERLINK("https://bugs.eclipse.org/bugs/show_bug.cgi?id=65249", "65249")</f>
        <v>65249</v>
      </c>
      <c r="C1876" t="s">
        <v>35</v>
      </c>
      <c r="D1876" t="s">
        <v>11</v>
      </c>
      <c r="E1876" t="s">
        <v>12</v>
      </c>
      <c r="F1876" t="s">
        <v>26</v>
      </c>
      <c r="L1876" t="s">
        <v>8582</v>
      </c>
      <c r="M1876" t="s">
        <v>8583</v>
      </c>
      <c r="N1876" t="s">
        <v>8582</v>
      </c>
      <c r="T1876" t="s">
        <v>8584</v>
      </c>
      <c r="U1876" t="s">
        <v>8585</v>
      </c>
      <c r="V1876" t="s">
        <v>8583</v>
      </c>
      <c r="W1876" t="s">
        <v>143</v>
      </c>
      <c r="X1876" t="s">
        <v>8586</v>
      </c>
      <c r="Y1876">
        <v>0</v>
      </c>
      <c r="Z1876">
        <v>9</v>
      </c>
    </row>
    <row r="1877" spans="1:26">
      <c r="A1877" s="1">
        <v>1875</v>
      </c>
      <c r="B1877" t="str">
        <f>HYPERLINK("https://bugs.eclipse.org/bugs/show_bug.cgi?id=65254", "65254")</f>
        <v>65254</v>
      </c>
      <c r="C1877" t="s">
        <v>35</v>
      </c>
      <c r="D1877" t="s">
        <v>11</v>
      </c>
      <c r="E1877" t="s">
        <v>12</v>
      </c>
      <c r="F1877" t="s">
        <v>26</v>
      </c>
      <c r="L1877" t="s">
        <v>8587</v>
      </c>
      <c r="M1877" t="s">
        <v>8588</v>
      </c>
      <c r="N1877" t="s">
        <v>8587</v>
      </c>
      <c r="T1877" t="s">
        <v>8589</v>
      </c>
      <c r="U1877" t="s">
        <v>8590</v>
      </c>
      <c r="V1877" t="s">
        <v>8588</v>
      </c>
      <c r="W1877" t="s">
        <v>6330</v>
      </c>
      <c r="X1877" t="s">
        <v>8591</v>
      </c>
      <c r="Y1877">
        <v>0</v>
      </c>
      <c r="Z1877">
        <v>9</v>
      </c>
    </row>
    <row r="1878" spans="1:26">
      <c r="A1878" s="1">
        <v>1876</v>
      </c>
      <c r="B1878" t="str">
        <f>HYPERLINK("https://bugs.eclipse.org/bugs/show_bug.cgi?id=65315", "65315")</f>
        <v>65315</v>
      </c>
      <c r="C1878" t="s">
        <v>35</v>
      </c>
      <c r="D1878" t="s">
        <v>11</v>
      </c>
      <c r="E1878" t="s">
        <v>12</v>
      </c>
      <c r="F1878" t="s">
        <v>26</v>
      </c>
      <c r="L1878" t="s">
        <v>8592</v>
      </c>
      <c r="M1878" t="s">
        <v>8593</v>
      </c>
      <c r="N1878" t="s">
        <v>8592</v>
      </c>
      <c r="T1878" t="s">
        <v>8594</v>
      </c>
      <c r="U1878" t="s">
        <v>8595</v>
      </c>
      <c r="V1878" t="s">
        <v>8593</v>
      </c>
      <c r="W1878" t="s">
        <v>49</v>
      </c>
      <c r="X1878" t="s">
        <v>8596</v>
      </c>
      <c r="Y1878">
        <v>0</v>
      </c>
      <c r="Z1878">
        <v>9</v>
      </c>
    </row>
    <row r="1879" spans="1:26">
      <c r="A1879" s="1">
        <v>1877</v>
      </c>
      <c r="B1879" t="str">
        <f>HYPERLINK("https://bugs.eclipse.org/bugs/show_bug.cgi?id=65530", "65530")</f>
        <v>65530</v>
      </c>
      <c r="C1879" t="s">
        <v>8597</v>
      </c>
      <c r="D1879" t="s">
        <v>10</v>
      </c>
      <c r="E1879" t="s">
        <v>15</v>
      </c>
      <c r="F1879" t="s">
        <v>26</v>
      </c>
      <c r="L1879" t="s">
        <v>8598</v>
      </c>
      <c r="Q1879" t="s">
        <v>8598</v>
      </c>
      <c r="T1879" t="s">
        <v>8599</v>
      </c>
      <c r="U1879" t="s">
        <v>8600</v>
      </c>
      <c r="V1879" t="s">
        <v>8598</v>
      </c>
      <c r="W1879" t="s">
        <v>86</v>
      </c>
      <c r="X1879" t="s">
        <v>8601</v>
      </c>
      <c r="Y1879">
        <v>0</v>
      </c>
      <c r="Z1879">
        <v>1</v>
      </c>
    </row>
    <row r="1880" spans="1:26">
      <c r="A1880" s="1">
        <v>1878</v>
      </c>
      <c r="B1880" t="str">
        <f>HYPERLINK("https://bugs.eclipse.org/bugs/show_bug.cgi?id=65819", "65819")</f>
        <v>65819</v>
      </c>
      <c r="C1880" t="s">
        <v>140</v>
      </c>
      <c r="D1880" t="s">
        <v>10</v>
      </c>
      <c r="E1880" t="s">
        <v>16</v>
      </c>
      <c r="F1880" t="s">
        <v>26</v>
      </c>
      <c r="H1880" t="s">
        <v>8602</v>
      </c>
      <c r="L1880" t="s">
        <v>8603</v>
      </c>
      <c r="R1880" t="s">
        <v>8603</v>
      </c>
      <c r="T1880" t="s">
        <v>8604</v>
      </c>
      <c r="U1880" t="s">
        <v>8605</v>
      </c>
      <c r="V1880" t="s">
        <v>8603</v>
      </c>
      <c r="W1880" t="s">
        <v>1161</v>
      </c>
      <c r="X1880" t="s">
        <v>8606</v>
      </c>
      <c r="Y1880">
        <v>0</v>
      </c>
      <c r="Z1880">
        <v>3</v>
      </c>
    </row>
    <row r="1881" spans="1:26">
      <c r="A1881" s="1">
        <v>1879</v>
      </c>
      <c r="B1881" t="str">
        <f>HYPERLINK("https://bugs.eclipse.org/bugs/show_bug.cgi?id=65858", "65858")</f>
        <v>65858</v>
      </c>
      <c r="C1881" t="s">
        <v>56</v>
      </c>
      <c r="D1881" t="s">
        <v>10</v>
      </c>
      <c r="E1881" t="s">
        <v>14</v>
      </c>
      <c r="F1881" t="s">
        <v>51</v>
      </c>
      <c r="L1881" t="s">
        <v>8607</v>
      </c>
      <c r="P1881" t="s">
        <v>8608</v>
      </c>
      <c r="T1881" t="s">
        <v>8609</v>
      </c>
      <c r="U1881" t="s">
        <v>8607</v>
      </c>
      <c r="V1881" t="s">
        <v>8608</v>
      </c>
      <c r="W1881" t="s">
        <v>75</v>
      </c>
      <c r="X1881" t="s">
        <v>8610</v>
      </c>
      <c r="Y1881">
        <v>0</v>
      </c>
      <c r="Z1881">
        <v>1912</v>
      </c>
    </row>
    <row r="1882" spans="1:26">
      <c r="A1882" s="1">
        <v>1880</v>
      </c>
      <c r="B1882" t="str">
        <f>HYPERLINK("https://bugs.eclipse.org/bugs/show_bug.cgi?id=65875", "65875")</f>
        <v>65875</v>
      </c>
      <c r="C1882" t="s">
        <v>149</v>
      </c>
      <c r="D1882" t="s">
        <v>10</v>
      </c>
      <c r="E1882" t="s">
        <v>12</v>
      </c>
      <c r="F1882" t="s">
        <v>26</v>
      </c>
      <c r="G1882" t="s">
        <v>8611</v>
      </c>
      <c r="L1882" t="s">
        <v>8612</v>
      </c>
      <c r="N1882" t="s">
        <v>8612</v>
      </c>
      <c r="T1882" t="s">
        <v>8613</v>
      </c>
      <c r="U1882" t="s">
        <v>8614</v>
      </c>
      <c r="V1882" t="s">
        <v>8612</v>
      </c>
      <c r="W1882" t="s">
        <v>851</v>
      </c>
      <c r="X1882" t="s">
        <v>8615</v>
      </c>
      <c r="Y1882">
        <v>0</v>
      </c>
      <c r="Z1882">
        <v>3699</v>
      </c>
    </row>
    <row r="1883" spans="1:26">
      <c r="A1883" s="1">
        <v>1881</v>
      </c>
      <c r="B1883" t="str">
        <f>HYPERLINK("https://bugs.eclipse.org/bugs/show_bug.cgi?id=65934", "65934")</f>
        <v>65934</v>
      </c>
      <c r="C1883" t="s">
        <v>8616</v>
      </c>
      <c r="D1883" t="s">
        <v>10</v>
      </c>
      <c r="E1883" t="s">
        <v>15</v>
      </c>
      <c r="F1883" t="s">
        <v>26</v>
      </c>
      <c r="L1883" t="s">
        <v>8617</v>
      </c>
      <c r="Q1883" t="s">
        <v>8617</v>
      </c>
      <c r="T1883" t="s">
        <v>8618</v>
      </c>
      <c r="U1883" t="s">
        <v>8617</v>
      </c>
      <c r="V1883" t="s">
        <v>8617</v>
      </c>
      <c r="W1883" t="s">
        <v>86</v>
      </c>
      <c r="X1883" t="s">
        <v>8619</v>
      </c>
      <c r="Y1883">
        <v>0</v>
      </c>
      <c r="Z1883">
        <v>0</v>
      </c>
    </row>
    <row r="1884" spans="1:26">
      <c r="A1884" s="1">
        <v>1882</v>
      </c>
      <c r="B1884" t="str">
        <f>HYPERLINK("https://bugs.eclipse.org/bugs/show_bug.cgi?id=66112", "66112")</f>
        <v>66112</v>
      </c>
      <c r="C1884" t="s">
        <v>35</v>
      </c>
      <c r="D1884" t="s">
        <v>11</v>
      </c>
      <c r="E1884" t="s">
        <v>12</v>
      </c>
      <c r="F1884" t="s">
        <v>26</v>
      </c>
      <c r="L1884" t="s">
        <v>8620</v>
      </c>
      <c r="M1884" t="s">
        <v>8621</v>
      </c>
      <c r="N1884" t="s">
        <v>8620</v>
      </c>
      <c r="T1884" t="s">
        <v>8622</v>
      </c>
      <c r="U1884" t="s">
        <v>8623</v>
      </c>
      <c r="V1884" t="s">
        <v>8621</v>
      </c>
      <c r="W1884" t="s">
        <v>86</v>
      </c>
      <c r="X1884" t="s">
        <v>8624</v>
      </c>
      <c r="Y1884">
        <v>0</v>
      </c>
      <c r="Z1884">
        <v>3</v>
      </c>
    </row>
    <row r="1885" spans="1:26">
      <c r="A1885" s="1">
        <v>1883</v>
      </c>
      <c r="B1885" t="str">
        <f>HYPERLINK("https://bugs.eclipse.org/bugs/show_bug.cgi?id=66119", "66119")</f>
        <v>66119</v>
      </c>
      <c r="C1885" t="s">
        <v>149</v>
      </c>
      <c r="D1885" t="s">
        <v>10</v>
      </c>
      <c r="E1885" t="s">
        <v>12</v>
      </c>
      <c r="F1885" t="s">
        <v>26</v>
      </c>
      <c r="L1885" t="s">
        <v>8625</v>
      </c>
      <c r="N1885" t="s">
        <v>8625</v>
      </c>
      <c r="T1885" t="s">
        <v>8626</v>
      </c>
      <c r="U1885" t="s">
        <v>8627</v>
      </c>
      <c r="V1885" t="s">
        <v>8625</v>
      </c>
      <c r="W1885" t="s">
        <v>86</v>
      </c>
      <c r="X1885" t="s">
        <v>8628</v>
      </c>
      <c r="Y1885">
        <v>0</v>
      </c>
      <c r="Z1885">
        <v>244.04166666666671</v>
      </c>
    </row>
    <row r="1886" spans="1:26">
      <c r="A1886" s="1">
        <v>1884</v>
      </c>
      <c r="B1886" t="str">
        <f>HYPERLINK("https://bugs.eclipse.org/bugs/show_bug.cgi?id=66129", "66129")</f>
        <v>66129</v>
      </c>
      <c r="C1886" t="s">
        <v>2160</v>
      </c>
      <c r="D1886" t="s">
        <v>192</v>
      </c>
      <c r="E1886" t="s">
        <v>16</v>
      </c>
      <c r="F1886" t="s">
        <v>26</v>
      </c>
      <c r="L1886" t="s">
        <v>8629</v>
      </c>
      <c r="R1886" t="s">
        <v>8629</v>
      </c>
      <c r="T1886" t="s">
        <v>8630</v>
      </c>
      <c r="U1886" t="s">
        <v>8631</v>
      </c>
      <c r="V1886" t="s">
        <v>8632</v>
      </c>
      <c r="W1886" t="s">
        <v>8633</v>
      </c>
      <c r="X1886" t="s">
        <v>8634</v>
      </c>
      <c r="Y1886">
        <v>0</v>
      </c>
      <c r="Z1886">
        <v>69</v>
      </c>
    </row>
    <row r="1887" spans="1:26">
      <c r="A1887" s="1">
        <v>1885</v>
      </c>
      <c r="B1887" t="str">
        <f>HYPERLINK("https://bugs.eclipse.org/bugs/show_bug.cgi?id=66155", "66155")</f>
        <v>66155</v>
      </c>
      <c r="C1887" t="s">
        <v>35</v>
      </c>
      <c r="D1887" t="s">
        <v>11</v>
      </c>
      <c r="E1887" t="s">
        <v>12</v>
      </c>
      <c r="F1887" t="s">
        <v>26</v>
      </c>
      <c r="L1887" t="s">
        <v>8635</v>
      </c>
      <c r="M1887" t="s">
        <v>8636</v>
      </c>
      <c r="N1887" t="s">
        <v>8635</v>
      </c>
      <c r="T1887" t="s">
        <v>8637</v>
      </c>
      <c r="U1887" t="s">
        <v>8638</v>
      </c>
      <c r="V1887" t="s">
        <v>8636</v>
      </c>
      <c r="W1887" t="s">
        <v>40</v>
      </c>
      <c r="X1887" t="s">
        <v>8639</v>
      </c>
      <c r="Y1887">
        <v>0</v>
      </c>
      <c r="Z1887">
        <v>3</v>
      </c>
    </row>
    <row r="1888" spans="1:26">
      <c r="A1888" s="1">
        <v>1886</v>
      </c>
      <c r="B1888" t="str">
        <f>HYPERLINK("https://bugs.eclipse.org/bugs/show_bug.cgi?id=66170", "66170")</f>
        <v>66170</v>
      </c>
      <c r="C1888" t="s">
        <v>149</v>
      </c>
      <c r="D1888" t="s">
        <v>10</v>
      </c>
      <c r="E1888" t="s">
        <v>12</v>
      </c>
      <c r="F1888" t="s">
        <v>26</v>
      </c>
      <c r="L1888" t="s">
        <v>8640</v>
      </c>
      <c r="N1888" t="s">
        <v>8640</v>
      </c>
      <c r="R1888" t="s">
        <v>8641</v>
      </c>
      <c r="S1888" t="s">
        <v>8642</v>
      </c>
      <c r="T1888" t="s">
        <v>8643</v>
      </c>
      <c r="U1888" t="s">
        <v>8644</v>
      </c>
      <c r="V1888" t="s">
        <v>8640</v>
      </c>
      <c r="W1888" t="s">
        <v>49</v>
      </c>
      <c r="X1888" t="s">
        <v>8645</v>
      </c>
      <c r="Y1888">
        <v>1</v>
      </c>
      <c r="Z1888">
        <v>128</v>
      </c>
    </row>
    <row r="1889" spans="1:26">
      <c r="A1889" s="1">
        <v>1887</v>
      </c>
      <c r="B1889" t="str">
        <f>HYPERLINK("https://bugs.eclipse.org/bugs/show_bug.cgi?id=66250", "66250")</f>
        <v>66250</v>
      </c>
      <c r="C1889" t="s">
        <v>35</v>
      </c>
      <c r="D1889" t="s">
        <v>11</v>
      </c>
      <c r="E1889" t="s">
        <v>12</v>
      </c>
      <c r="F1889" t="s">
        <v>26</v>
      </c>
      <c r="L1889" t="s">
        <v>8646</v>
      </c>
      <c r="M1889" t="s">
        <v>8647</v>
      </c>
      <c r="N1889" t="s">
        <v>8646</v>
      </c>
      <c r="T1889" t="s">
        <v>8648</v>
      </c>
      <c r="U1889" t="s">
        <v>8649</v>
      </c>
      <c r="V1889" t="s">
        <v>8647</v>
      </c>
      <c r="W1889" t="s">
        <v>6330</v>
      </c>
      <c r="X1889" t="s">
        <v>8650</v>
      </c>
      <c r="Y1889">
        <v>0</v>
      </c>
      <c r="Z1889">
        <v>1</v>
      </c>
    </row>
    <row r="1890" spans="1:26">
      <c r="A1890" s="1">
        <v>1888</v>
      </c>
      <c r="B1890" t="str">
        <f>HYPERLINK("https://bugs.eclipse.org/bugs/show_bug.cgi?id=66379", "66379")</f>
        <v>66379</v>
      </c>
      <c r="C1890" t="s">
        <v>149</v>
      </c>
      <c r="D1890" t="s">
        <v>10</v>
      </c>
      <c r="E1890" t="s">
        <v>12</v>
      </c>
      <c r="F1890" t="s">
        <v>26</v>
      </c>
      <c r="L1890" t="s">
        <v>8651</v>
      </c>
      <c r="N1890" t="s">
        <v>8651</v>
      </c>
      <c r="T1890" t="s">
        <v>8652</v>
      </c>
      <c r="U1890" t="s">
        <v>8653</v>
      </c>
      <c r="V1890" t="s">
        <v>8651</v>
      </c>
      <c r="W1890" t="s">
        <v>86</v>
      </c>
      <c r="X1890" t="s">
        <v>8654</v>
      </c>
      <c r="Y1890">
        <v>0</v>
      </c>
      <c r="Z1890">
        <v>665</v>
      </c>
    </row>
    <row r="1891" spans="1:26">
      <c r="A1891" s="1">
        <v>1889</v>
      </c>
      <c r="B1891" t="str">
        <f>HYPERLINK("https://bugs.eclipse.org/bugs/show_bug.cgi?id=66457", "66457")</f>
        <v>66457</v>
      </c>
      <c r="C1891" t="s">
        <v>191</v>
      </c>
      <c r="D1891" t="s">
        <v>192</v>
      </c>
      <c r="E1891" t="s">
        <v>14</v>
      </c>
      <c r="F1891" t="s">
        <v>26</v>
      </c>
      <c r="G1891" t="s">
        <v>8655</v>
      </c>
      <c r="T1891" t="s">
        <v>8656</v>
      </c>
      <c r="U1891" t="s">
        <v>8657</v>
      </c>
      <c r="V1891" t="s">
        <v>8658</v>
      </c>
      <c r="W1891" t="s">
        <v>65</v>
      </c>
      <c r="X1891" t="s">
        <v>8659</v>
      </c>
      <c r="Y1891">
        <v>0</v>
      </c>
      <c r="Z1891">
        <v>5599</v>
      </c>
    </row>
    <row r="1892" spans="1:26">
      <c r="A1892" s="1">
        <v>1890</v>
      </c>
      <c r="B1892" t="str">
        <f>HYPERLINK("https://bugs.eclipse.org/bugs/show_bug.cgi?id=66467", "66467")</f>
        <v>66467</v>
      </c>
      <c r="C1892" t="s">
        <v>35</v>
      </c>
      <c r="D1892" t="s">
        <v>11</v>
      </c>
      <c r="E1892" t="s">
        <v>12</v>
      </c>
      <c r="F1892" t="s">
        <v>26</v>
      </c>
      <c r="L1892" t="s">
        <v>8660</v>
      </c>
      <c r="M1892" t="s">
        <v>8661</v>
      </c>
      <c r="N1892" t="s">
        <v>8660</v>
      </c>
      <c r="T1892" t="s">
        <v>8662</v>
      </c>
      <c r="U1892" t="s">
        <v>8663</v>
      </c>
      <c r="V1892" t="s">
        <v>8661</v>
      </c>
      <c r="W1892" t="s">
        <v>6330</v>
      </c>
      <c r="X1892" t="s">
        <v>8664</v>
      </c>
      <c r="Y1892">
        <v>0</v>
      </c>
      <c r="Z1892">
        <v>1</v>
      </c>
    </row>
    <row r="1893" spans="1:26">
      <c r="A1893" s="1">
        <v>1891</v>
      </c>
      <c r="B1893" t="str">
        <f>HYPERLINK("https://bugs.eclipse.org/bugs/show_bug.cgi?id=66470", "66470")</f>
        <v>66470</v>
      </c>
      <c r="C1893" t="s">
        <v>35</v>
      </c>
      <c r="D1893" t="s">
        <v>11</v>
      </c>
      <c r="E1893" t="s">
        <v>12</v>
      </c>
      <c r="F1893" t="s">
        <v>26</v>
      </c>
      <c r="L1893" t="s">
        <v>8665</v>
      </c>
      <c r="M1893" t="s">
        <v>8666</v>
      </c>
      <c r="N1893" t="s">
        <v>8665</v>
      </c>
      <c r="S1893" t="s">
        <v>8667</v>
      </c>
      <c r="T1893" t="s">
        <v>8668</v>
      </c>
      <c r="U1893" t="s">
        <v>8669</v>
      </c>
      <c r="V1893" t="s">
        <v>8666</v>
      </c>
      <c r="W1893" t="s">
        <v>851</v>
      </c>
      <c r="X1893" t="s">
        <v>8670</v>
      </c>
      <c r="Y1893">
        <v>0</v>
      </c>
      <c r="Z1893">
        <v>1</v>
      </c>
    </row>
    <row r="1894" spans="1:26">
      <c r="A1894" s="1">
        <v>1892</v>
      </c>
      <c r="B1894" t="str">
        <f>HYPERLINK("https://bugs.eclipse.org/bugs/show_bug.cgi?id=66478", "66478")</f>
        <v>66478</v>
      </c>
      <c r="C1894" t="s">
        <v>35</v>
      </c>
      <c r="D1894" t="s">
        <v>11</v>
      </c>
      <c r="E1894" t="s">
        <v>12</v>
      </c>
      <c r="F1894" t="s">
        <v>26</v>
      </c>
      <c r="L1894" t="s">
        <v>8671</v>
      </c>
      <c r="M1894" t="s">
        <v>8672</v>
      </c>
      <c r="N1894" t="s">
        <v>8671</v>
      </c>
      <c r="T1894" t="s">
        <v>8673</v>
      </c>
      <c r="U1894" t="s">
        <v>8674</v>
      </c>
      <c r="V1894" t="s">
        <v>8672</v>
      </c>
      <c r="W1894" t="s">
        <v>851</v>
      </c>
      <c r="X1894" t="s">
        <v>8675</v>
      </c>
      <c r="Y1894">
        <v>0</v>
      </c>
      <c r="Z1894">
        <v>1</v>
      </c>
    </row>
    <row r="1895" spans="1:26">
      <c r="A1895" s="1">
        <v>1893</v>
      </c>
      <c r="B1895" t="str">
        <f>HYPERLINK("https://bugs.eclipse.org/bugs/show_bug.cgi?id=66479", "66479")</f>
        <v>66479</v>
      </c>
      <c r="C1895" t="s">
        <v>35</v>
      </c>
      <c r="D1895" t="s">
        <v>11</v>
      </c>
      <c r="E1895" t="s">
        <v>12</v>
      </c>
      <c r="F1895" t="s">
        <v>150</v>
      </c>
      <c r="L1895" t="s">
        <v>8676</v>
      </c>
      <c r="M1895" t="s">
        <v>8677</v>
      </c>
      <c r="N1895" t="s">
        <v>8676</v>
      </c>
      <c r="T1895" t="s">
        <v>8678</v>
      </c>
      <c r="U1895" t="s">
        <v>8679</v>
      </c>
      <c r="V1895" t="s">
        <v>8677</v>
      </c>
      <c r="W1895" t="s">
        <v>1161</v>
      </c>
      <c r="X1895" t="s">
        <v>8680</v>
      </c>
      <c r="Y1895">
        <v>6</v>
      </c>
      <c r="Z1895">
        <v>11</v>
      </c>
    </row>
    <row r="1896" spans="1:26">
      <c r="A1896" s="1">
        <v>1894</v>
      </c>
      <c r="B1896" t="str">
        <f>HYPERLINK("https://bugs.eclipse.org/bugs/show_bug.cgi?id=66480", "66480")</f>
        <v>66480</v>
      </c>
      <c r="C1896" t="s">
        <v>149</v>
      </c>
      <c r="D1896" t="s">
        <v>10</v>
      </c>
      <c r="E1896" t="s">
        <v>12</v>
      </c>
      <c r="F1896" t="s">
        <v>26</v>
      </c>
      <c r="G1896" t="s">
        <v>8681</v>
      </c>
      <c r="L1896" t="s">
        <v>8682</v>
      </c>
      <c r="N1896" t="s">
        <v>8682</v>
      </c>
      <c r="T1896" t="s">
        <v>8683</v>
      </c>
      <c r="U1896" t="s">
        <v>8684</v>
      </c>
      <c r="V1896" t="s">
        <v>8682</v>
      </c>
      <c r="W1896" t="s">
        <v>86</v>
      </c>
      <c r="X1896" t="s">
        <v>8685</v>
      </c>
      <c r="Y1896">
        <v>0</v>
      </c>
      <c r="Z1896">
        <v>323</v>
      </c>
    </row>
    <row r="1897" spans="1:26">
      <c r="A1897" s="1">
        <v>1895</v>
      </c>
      <c r="B1897" t="str">
        <f>HYPERLINK("https://bugs.eclipse.org/bugs/show_bug.cgi?id=66481", "66481")</f>
        <v>66481</v>
      </c>
      <c r="C1897" t="s">
        <v>56</v>
      </c>
      <c r="D1897" t="s">
        <v>10</v>
      </c>
      <c r="E1897" t="s">
        <v>14</v>
      </c>
      <c r="F1897" t="s">
        <v>51</v>
      </c>
      <c r="L1897" t="s">
        <v>8686</v>
      </c>
      <c r="P1897" t="s">
        <v>8687</v>
      </c>
      <c r="T1897" t="s">
        <v>8688</v>
      </c>
      <c r="U1897" t="s">
        <v>8686</v>
      </c>
      <c r="V1897" t="s">
        <v>8687</v>
      </c>
      <c r="W1897" t="s">
        <v>75</v>
      </c>
      <c r="X1897" t="s">
        <v>8689</v>
      </c>
      <c r="Y1897">
        <v>0</v>
      </c>
      <c r="Z1897">
        <v>1907</v>
      </c>
    </row>
    <row r="1898" spans="1:26">
      <c r="A1898" s="1">
        <v>1896</v>
      </c>
      <c r="B1898" t="str">
        <f>HYPERLINK("https://bugs.eclipse.org/bugs/show_bug.cgi?id=66482", "66482")</f>
        <v>66482</v>
      </c>
      <c r="C1898" t="s">
        <v>56</v>
      </c>
      <c r="D1898" t="s">
        <v>10</v>
      </c>
      <c r="E1898" t="s">
        <v>14</v>
      </c>
      <c r="F1898" t="s">
        <v>51</v>
      </c>
      <c r="L1898" t="s">
        <v>8690</v>
      </c>
      <c r="P1898" t="s">
        <v>8691</v>
      </c>
      <c r="T1898" t="s">
        <v>8692</v>
      </c>
      <c r="U1898" t="s">
        <v>8690</v>
      </c>
      <c r="V1898" t="s">
        <v>8691</v>
      </c>
      <c r="W1898" t="s">
        <v>80</v>
      </c>
      <c r="X1898" t="s">
        <v>8693</v>
      </c>
      <c r="Y1898">
        <v>0</v>
      </c>
      <c r="Z1898">
        <v>1907</v>
      </c>
    </row>
    <row r="1899" spans="1:26">
      <c r="A1899" s="1">
        <v>1897</v>
      </c>
      <c r="B1899" t="str">
        <f>HYPERLINK("https://bugs.eclipse.org/bugs/show_bug.cgi?id=66500", "66500")</f>
        <v>66500</v>
      </c>
      <c r="C1899" t="s">
        <v>149</v>
      </c>
      <c r="D1899" t="s">
        <v>10</v>
      </c>
      <c r="E1899" t="s">
        <v>12</v>
      </c>
      <c r="F1899" t="s">
        <v>51</v>
      </c>
      <c r="L1899" t="s">
        <v>8694</v>
      </c>
      <c r="N1899" t="s">
        <v>8694</v>
      </c>
      <c r="T1899" t="s">
        <v>8695</v>
      </c>
      <c r="U1899" t="s">
        <v>8696</v>
      </c>
      <c r="V1899" t="s">
        <v>8694</v>
      </c>
      <c r="W1899" t="s">
        <v>86</v>
      </c>
      <c r="X1899" t="s">
        <v>8697</v>
      </c>
      <c r="Y1899">
        <v>0</v>
      </c>
      <c r="Z1899">
        <v>242.04166666666671</v>
      </c>
    </row>
    <row r="1900" spans="1:26">
      <c r="A1900" s="1">
        <v>1898</v>
      </c>
      <c r="B1900" t="str">
        <f>HYPERLINK("https://bugs.eclipse.org/bugs/show_bug.cgi?id=66548", "66548")</f>
        <v>66548</v>
      </c>
      <c r="C1900" t="s">
        <v>35</v>
      </c>
      <c r="D1900" t="s">
        <v>11</v>
      </c>
      <c r="E1900" t="s">
        <v>12</v>
      </c>
      <c r="F1900" t="s">
        <v>26</v>
      </c>
      <c r="G1900" t="s">
        <v>8698</v>
      </c>
      <c r="L1900" t="s">
        <v>8699</v>
      </c>
      <c r="M1900" t="s">
        <v>8700</v>
      </c>
      <c r="N1900" t="s">
        <v>8699</v>
      </c>
      <c r="T1900" t="s">
        <v>8701</v>
      </c>
      <c r="U1900" t="s">
        <v>8702</v>
      </c>
      <c r="V1900" t="s">
        <v>8703</v>
      </c>
      <c r="W1900" t="s">
        <v>86</v>
      </c>
      <c r="X1900" t="s">
        <v>8704</v>
      </c>
      <c r="Y1900">
        <v>0</v>
      </c>
      <c r="Z1900">
        <v>6</v>
      </c>
    </row>
    <row r="1901" spans="1:26">
      <c r="A1901" s="1">
        <v>1899</v>
      </c>
      <c r="B1901" t="str">
        <f>HYPERLINK("https://bugs.eclipse.org/bugs/show_bug.cgi?id=66657", "66657")</f>
        <v>66657</v>
      </c>
      <c r="C1901" t="s">
        <v>149</v>
      </c>
      <c r="D1901" t="s">
        <v>10</v>
      </c>
      <c r="E1901" t="s">
        <v>12</v>
      </c>
      <c r="F1901" t="s">
        <v>26</v>
      </c>
      <c r="L1901" t="s">
        <v>8705</v>
      </c>
      <c r="N1901" t="s">
        <v>8705</v>
      </c>
      <c r="T1901" t="s">
        <v>8706</v>
      </c>
      <c r="U1901" t="s">
        <v>8707</v>
      </c>
      <c r="V1901" t="s">
        <v>8705</v>
      </c>
      <c r="W1901" t="s">
        <v>8708</v>
      </c>
      <c r="X1901" t="s">
        <v>8709</v>
      </c>
      <c r="Y1901">
        <v>0</v>
      </c>
      <c r="Z1901">
        <v>4</v>
      </c>
    </row>
    <row r="1902" spans="1:26">
      <c r="A1902" s="1">
        <v>1900</v>
      </c>
      <c r="B1902" t="str">
        <f>HYPERLINK("https://bugs.eclipse.org/bugs/show_bug.cgi?id=66667", "66667")</f>
        <v>66667</v>
      </c>
      <c r="C1902" t="s">
        <v>56</v>
      </c>
      <c r="D1902" t="s">
        <v>10</v>
      </c>
      <c r="E1902" t="s">
        <v>14</v>
      </c>
      <c r="F1902" t="s">
        <v>26</v>
      </c>
      <c r="L1902" t="s">
        <v>8710</v>
      </c>
      <c r="P1902" t="s">
        <v>8711</v>
      </c>
      <c r="T1902" t="s">
        <v>8712</v>
      </c>
      <c r="U1902" t="s">
        <v>8710</v>
      </c>
      <c r="V1902" t="s">
        <v>8711</v>
      </c>
      <c r="W1902" t="s">
        <v>75</v>
      </c>
      <c r="X1902" t="s">
        <v>8713</v>
      </c>
      <c r="Y1902">
        <v>2</v>
      </c>
      <c r="Z1902">
        <v>1906</v>
      </c>
    </row>
    <row r="1903" spans="1:26">
      <c r="A1903" s="1">
        <v>1901</v>
      </c>
      <c r="B1903" t="str">
        <f>HYPERLINK("https://bugs.eclipse.org/bugs/show_bug.cgi?id=66672", "66672")</f>
        <v>66672</v>
      </c>
      <c r="C1903" t="s">
        <v>88</v>
      </c>
      <c r="D1903" t="s">
        <v>10</v>
      </c>
      <c r="E1903" t="s">
        <v>13</v>
      </c>
      <c r="F1903" t="s">
        <v>26</v>
      </c>
      <c r="L1903" t="s">
        <v>8714</v>
      </c>
      <c r="O1903" t="s">
        <v>8715</v>
      </c>
      <c r="T1903" t="s">
        <v>8716</v>
      </c>
      <c r="U1903" t="s">
        <v>8717</v>
      </c>
      <c r="V1903" t="s">
        <v>8715</v>
      </c>
      <c r="W1903" t="s">
        <v>75</v>
      </c>
      <c r="X1903" t="s">
        <v>8718</v>
      </c>
      <c r="Y1903">
        <v>0</v>
      </c>
      <c r="Z1903">
        <v>1906</v>
      </c>
    </row>
    <row r="1904" spans="1:26">
      <c r="A1904" s="1">
        <v>1902</v>
      </c>
      <c r="B1904" t="str">
        <f>HYPERLINK("https://bugs.eclipse.org/bugs/show_bug.cgi?id=66681", "66681")</f>
        <v>66681</v>
      </c>
      <c r="C1904" t="s">
        <v>149</v>
      </c>
      <c r="D1904" t="s">
        <v>10</v>
      </c>
      <c r="E1904" t="s">
        <v>12</v>
      </c>
      <c r="F1904" t="s">
        <v>26</v>
      </c>
      <c r="L1904" t="s">
        <v>8719</v>
      </c>
      <c r="N1904" t="s">
        <v>8719</v>
      </c>
      <c r="T1904" t="s">
        <v>8720</v>
      </c>
      <c r="U1904" t="s">
        <v>8721</v>
      </c>
      <c r="V1904" t="s">
        <v>8719</v>
      </c>
      <c r="W1904" t="s">
        <v>851</v>
      </c>
      <c r="X1904" t="s">
        <v>8722</v>
      </c>
      <c r="Y1904">
        <v>2</v>
      </c>
      <c r="Z1904">
        <v>224.04166666666671</v>
      </c>
    </row>
    <row r="1905" spans="1:26">
      <c r="A1905" s="1">
        <v>1903</v>
      </c>
      <c r="B1905" t="str">
        <f>HYPERLINK("https://bugs.eclipse.org/bugs/show_bug.cgi?id=66694", "66694")</f>
        <v>66694</v>
      </c>
      <c r="C1905" t="s">
        <v>35</v>
      </c>
      <c r="D1905" t="s">
        <v>11</v>
      </c>
      <c r="E1905" t="s">
        <v>12</v>
      </c>
      <c r="F1905" t="s">
        <v>150</v>
      </c>
      <c r="L1905" t="s">
        <v>8723</v>
      </c>
      <c r="M1905" t="s">
        <v>8724</v>
      </c>
      <c r="N1905" t="s">
        <v>8723</v>
      </c>
      <c r="T1905" t="s">
        <v>8725</v>
      </c>
      <c r="U1905" t="s">
        <v>8726</v>
      </c>
      <c r="V1905" t="s">
        <v>8724</v>
      </c>
      <c r="W1905" t="s">
        <v>86</v>
      </c>
      <c r="X1905" t="s">
        <v>8727</v>
      </c>
      <c r="Y1905">
        <v>5</v>
      </c>
      <c r="Z1905">
        <v>10</v>
      </c>
    </row>
    <row r="1906" spans="1:26">
      <c r="A1906" s="1">
        <v>1904</v>
      </c>
      <c r="B1906" t="str">
        <f>HYPERLINK("https://bugs.eclipse.org/bugs/show_bug.cgi?id=66724", "66724")</f>
        <v>66724</v>
      </c>
      <c r="C1906" t="s">
        <v>8728</v>
      </c>
      <c r="D1906" t="s">
        <v>10</v>
      </c>
      <c r="E1906" t="s">
        <v>15</v>
      </c>
      <c r="F1906" t="s">
        <v>26</v>
      </c>
      <c r="G1906" t="s">
        <v>8729</v>
      </c>
      <c r="L1906" t="s">
        <v>8730</v>
      </c>
      <c r="Q1906" t="s">
        <v>8730</v>
      </c>
      <c r="T1906" t="s">
        <v>8731</v>
      </c>
      <c r="U1906" t="s">
        <v>8732</v>
      </c>
      <c r="V1906" t="s">
        <v>8730</v>
      </c>
      <c r="W1906" t="s">
        <v>86</v>
      </c>
      <c r="X1906" t="s">
        <v>8733</v>
      </c>
      <c r="Y1906">
        <v>4</v>
      </c>
      <c r="Z1906">
        <v>4</v>
      </c>
    </row>
    <row r="1907" spans="1:26">
      <c r="A1907" s="1">
        <v>1905</v>
      </c>
      <c r="B1907" t="str">
        <f>HYPERLINK("https://bugs.eclipse.org/bugs/show_bug.cgi?id=66794", "66794")</f>
        <v>66794</v>
      </c>
      <c r="C1907" t="s">
        <v>35</v>
      </c>
      <c r="D1907" t="s">
        <v>11</v>
      </c>
      <c r="E1907" t="s">
        <v>12</v>
      </c>
      <c r="F1907" t="s">
        <v>150</v>
      </c>
      <c r="G1907" t="s">
        <v>8734</v>
      </c>
      <c r="L1907" t="s">
        <v>8735</v>
      </c>
      <c r="M1907" t="s">
        <v>8736</v>
      </c>
      <c r="N1907" t="s">
        <v>8735</v>
      </c>
      <c r="T1907" t="s">
        <v>8737</v>
      </c>
      <c r="U1907" t="s">
        <v>8738</v>
      </c>
      <c r="V1907" t="s">
        <v>8736</v>
      </c>
      <c r="W1907" t="s">
        <v>851</v>
      </c>
      <c r="X1907" t="s">
        <v>8739</v>
      </c>
      <c r="Y1907">
        <v>4</v>
      </c>
      <c r="Z1907">
        <v>7</v>
      </c>
    </row>
    <row r="1908" spans="1:26">
      <c r="A1908" s="1">
        <v>1906</v>
      </c>
      <c r="B1908" t="str">
        <f>HYPERLINK("https://bugs.eclipse.org/bugs/show_bug.cgi?id=66800", "66800")</f>
        <v>66800</v>
      </c>
      <c r="C1908" t="s">
        <v>8740</v>
      </c>
      <c r="D1908" t="s">
        <v>10</v>
      </c>
      <c r="E1908" t="s">
        <v>15</v>
      </c>
      <c r="F1908" t="s">
        <v>26</v>
      </c>
      <c r="L1908" t="s">
        <v>8703</v>
      </c>
      <c r="Q1908" t="s">
        <v>8703</v>
      </c>
      <c r="T1908" t="s">
        <v>8741</v>
      </c>
      <c r="U1908" t="s">
        <v>8742</v>
      </c>
      <c r="V1908" t="s">
        <v>8743</v>
      </c>
      <c r="W1908" t="s">
        <v>8744</v>
      </c>
      <c r="X1908" t="s">
        <v>8745</v>
      </c>
      <c r="Y1908">
        <v>5</v>
      </c>
      <c r="Z1908">
        <v>5</v>
      </c>
    </row>
    <row r="1909" spans="1:26">
      <c r="A1909" s="1">
        <v>1907</v>
      </c>
      <c r="B1909" t="str">
        <f>HYPERLINK("https://bugs.eclipse.org/bugs/show_bug.cgi?id=66835", "66835")</f>
        <v>66835</v>
      </c>
      <c r="C1909" t="s">
        <v>35</v>
      </c>
      <c r="D1909" t="s">
        <v>11</v>
      </c>
      <c r="E1909" t="s">
        <v>12</v>
      </c>
      <c r="F1909" t="s">
        <v>150</v>
      </c>
      <c r="L1909" t="s">
        <v>8746</v>
      </c>
      <c r="M1909" t="s">
        <v>8747</v>
      </c>
      <c r="N1909" t="s">
        <v>8746</v>
      </c>
      <c r="T1909" t="s">
        <v>8748</v>
      </c>
      <c r="U1909" t="s">
        <v>8749</v>
      </c>
      <c r="V1909" t="s">
        <v>8747</v>
      </c>
      <c r="W1909" t="s">
        <v>1161</v>
      </c>
      <c r="X1909" t="s">
        <v>8750</v>
      </c>
      <c r="Y1909">
        <v>1</v>
      </c>
      <c r="Z1909">
        <v>9</v>
      </c>
    </row>
    <row r="1910" spans="1:26">
      <c r="A1910" s="1">
        <v>1908</v>
      </c>
      <c r="B1910" t="str">
        <f>HYPERLINK("https://bugs.eclipse.org/bugs/show_bug.cgi?id=66873", "66873")</f>
        <v>66873</v>
      </c>
      <c r="C1910" t="s">
        <v>149</v>
      </c>
      <c r="D1910" t="s">
        <v>10</v>
      </c>
      <c r="E1910" t="s">
        <v>12</v>
      </c>
      <c r="F1910" t="s">
        <v>26</v>
      </c>
      <c r="L1910" t="s">
        <v>8751</v>
      </c>
      <c r="N1910" t="s">
        <v>8751</v>
      </c>
      <c r="T1910" t="s">
        <v>8752</v>
      </c>
      <c r="U1910" t="s">
        <v>8751</v>
      </c>
      <c r="V1910" t="s">
        <v>8751</v>
      </c>
      <c r="W1910" t="s">
        <v>86</v>
      </c>
      <c r="X1910" t="s">
        <v>8753</v>
      </c>
      <c r="Y1910">
        <v>93</v>
      </c>
      <c r="Z1910">
        <v>93</v>
      </c>
    </row>
    <row r="1911" spans="1:26">
      <c r="A1911" s="1">
        <v>1909</v>
      </c>
      <c r="B1911" t="str">
        <f>HYPERLINK("https://bugs.eclipse.org/bugs/show_bug.cgi?id=66888", "66888")</f>
        <v>66888</v>
      </c>
      <c r="C1911" t="s">
        <v>35</v>
      </c>
      <c r="D1911" t="s">
        <v>11</v>
      </c>
      <c r="E1911" t="s">
        <v>12</v>
      </c>
      <c r="F1911" t="s">
        <v>150</v>
      </c>
      <c r="L1911" t="s">
        <v>8754</v>
      </c>
      <c r="M1911" t="s">
        <v>8755</v>
      </c>
      <c r="N1911" t="s">
        <v>8754</v>
      </c>
      <c r="T1911" t="s">
        <v>8756</v>
      </c>
      <c r="U1911" t="s">
        <v>8757</v>
      </c>
      <c r="V1911" t="s">
        <v>8755</v>
      </c>
      <c r="W1911" t="s">
        <v>851</v>
      </c>
      <c r="X1911" t="s">
        <v>8758</v>
      </c>
      <c r="Y1911">
        <v>1</v>
      </c>
      <c r="Z1911">
        <v>3</v>
      </c>
    </row>
    <row r="1912" spans="1:26">
      <c r="A1912" s="1">
        <v>1910</v>
      </c>
      <c r="B1912" t="str">
        <f>HYPERLINK("https://bugs.eclipse.org/bugs/show_bug.cgi?id=66939", "66939")</f>
        <v>66939</v>
      </c>
      <c r="C1912" t="s">
        <v>149</v>
      </c>
      <c r="D1912" t="s">
        <v>10</v>
      </c>
      <c r="E1912" t="s">
        <v>12</v>
      </c>
      <c r="F1912" t="s">
        <v>26</v>
      </c>
      <c r="L1912" t="s">
        <v>8759</v>
      </c>
      <c r="N1912" t="s">
        <v>8759</v>
      </c>
      <c r="T1912" t="s">
        <v>8760</v>
      </c>
      <c r="U1912" t="s">
        <v>8761</v>
      </c>
      <c r="V1912" t="s">
        <v>8759</v>
      </c>
      <c r="W1912" t="s">
        <v>851</v>
      </c>
      <c r="X1912" t="s">
        <v>8762</v>
      </c>
      <c r="Y1912">
        <v>1</v>
      </c>
      <c r="Z1912">
        <v>28</v>
      </c>
    </row>
    <row r="1913" spans="1:26">
      <c r="A1913" s="1">
        <v>1911</v>
      </c>
      <c r="B1913" t="str">
        <f>HYPERLINK("https://bugs.eclipse.org/bugs/show_bug.cgi?id=66985", "66985")</f>
        <v>66985</v>
      </c>
      <c r="C1913" t="s">
        <v>8763</v>
      </c>
      <c r="D1913" t="s">
        <v>10</v>
      </c>
      <c r="E1913" t="s">
        <v>15</v>
      </c>
      <c r="F1913" t="s">
        <v>26</v>
      </c>
      <c r="L1913" t="s">
        <v>8732</v>
      </c>
      <c r="Q1913" t="s">
        <v>8732</v>
      </c>
      <c r="T1913" t="s">
        <v>8764</v>
      </c>
      <c r="U1913" t="s">
        <v>8732</v>
      </c>
      <c r="V1913" t="s">
        <v>8732</v>
      </c>
      <c r="W1913" t="s">
        <v>86</v>
      </c>
      <c r="X1913" t="s">
        <v>8765</v>
      </c>
      <c r="Y1913">
        <v>1</v>
      </c>
      <c r="Z1913">
        <v>1</v>
      </c>
    </row>
    <row r="1914" spans="1:26">
      <c r="A1914" s="1">
        <v>1912</v>
      </c>
      <c r="B1914" t="str">
        <f>HYPERLINK("https://bugs.eclipse.org/bugs/show_bug.cgi?id=66991", "66991")</f>
        <v>66991</v>
      </c>
      <c r="C1914" t="s">
        <v>56</v>
      </c>
      <c r="D1914" t="s">
        <v>10</v>
      </c>
      <c r="E1914" t="s">
        <v>14</v>
      </c>
      <c r="F1914" t="s">
        <v>26</v>
      </c>
      <c r="L1914" t="s">
        <v>8766</v>
      </c>
      <c r="P1914" t="s">
        <v>8766</v>
      </c>
      <c r="T1914" t="s">
        <v>8767</v>
      </c>
      <c r="U1914" t="s">
        <v>8766</v>
      </c>
      <c r="V1914" t="s">
        <v>8766</v>
      </c>
      <c r="W1914" t="s">
        <v>86</v>
      </c>
      <c r="X1914" t="s">
        <v>8768</v>
      </c>
      <c r="Y1914">
        <v>0</v>
      </c>
      <c r="Z1914">
        <v>0</v>
      </c>
    </row>
    <row r="1915" spans="1:26">
      <c r="A1915" s="1">
        <v>1913</v>
      </c>
      <c r="B1915" t="str">
        <f>HYPERLINK("https://bugs.eclipse.org/bugs/show_bug.cgi?id=67090", "67090")</f>
        <v>67090</v>
      </c>
      <c r="C1915" t="s">
        <v>149</v>
      </c>
      <c r="D1915" t="s">
        <v>10</v>
      </c>
      <c r="E1915" t="s">
        <v>12</v>
      </c>
      <c r="F1915" t="s">
        <v>26</v>
      </c>
      <c r="L1915" t="s">
        <v>8769</v>
      </c>
      <c r="N1915" t="s">
        <v>8769</v>
      </c>
      <c r="T1915" t="s">
        <v>8770</v>
      </c>
      <c r="U1915" t="s">
        <v>8771</v>
      </c>
      <c r="V1915" t="s">
        <v>8769</v>
      </c>
      <c r="W1915" t="s">
        <v>2668</v>
      </c>
      <c r="X1915" t="s">
        <v>8772</v>
      </c>
      <c r="Y1915">
        <v>0</v>
      </c>
      <c r="Z1915">
        <v>276.04166666666669</v>
      </c>
    </row>
    <row r="1916" spans="1:26">
      <c r="A1916" s="1">
        <v>1914</v>
      </c>
      <c r="B1916" t="str">
        <f>HYPERLINK("https://bugs.eclipse.org/bugs/show_bug.cgi?id=67131", "67131")</f>
        <v>67131</v>
      </c>
      <c r="C1916" t="s">
        <v>140</v>
      </c>
      <c r="D1916" t="s">
        <v>10</v>
      </c>
      <c r="E1916" t="s">
        <v>16</v>
      </c>
      <c r="F1916" t="s">
        <v>26</v>
      </c>
      <c r="L1916" t="s">
        <v>8773</v>
      </c>
      <c r="R1916" t="s">
        <v>8773</v>
      </c>
      <c r="T1916" t="s">
        <v>8774</v>
      </c>
      <c r="U1916" t="s">
        <v>8775</v>
      </c>
      <c r="V1916" t="s">
        <v>8773</v>
      </c>
      <c r="W1916" t="s">
        <v>851</v>
      </c>
      <c r="X1916" t="s">
        <v>8776</v>
      </c>
      <c r="Y1916">
        <v>1</v>
      </c>
      <c r="Z1916">
        <v>458</v>
      </c>
    </row>
    <row r="1917" spans="1:26">
      <c r="A1917" s="1">
        <v>1915</v>
      </c>
      <c r="B1917" t="str">
        <f>HYPERLINK("https://bugs.eclipse.org/bugs/show_bug.cgi?id=67168", "67168")</f>
        <v>67168</v>
      </c>
      <c r="C1917" t="s">
        <v>149</v>
      </c>
      <c r="D1917" t="s">
        <v>10</v>
      </c>
      <c r="E1917" t="s">
        <v>12</v>
      </c>
      <c r="F1917" t="s">
        <v>26</v>
      </c>
      <c r="L1917" t="s">
        <v>8777</v>
      </c>
      <c r="N1917" t="s">
        <v>8777</v>
      </c>
      <c r="T1917" t="s">
        <v>8778</v>
      </c>
      <c r="U1917" t="s">
        <v>8779</v>
      </c>
      <c r="V1917" t="s">
        <v>8777</v>
      </c>
      <c r="W1917" t="s">
        <v>851</v>
      </c>
      <c r="X1917" t="s">
        <v>8780</v>
      </c>
      <c r="Y1917">
        <v>0</v>
      </c>
      <c r="Z1917">
        <v>14</v>
      </c>
    </row>
    <row r="1918" spans="1:26">
      <c r="A1918" s="1">
        <v>1916</v>
      </c>
      <c r="B1918" t="str">
        <f>HYPERLINK("https://bugs.eclipse.org/bugs/show_bug.cgi?id=67183", "67183")</f>
        <v>67183</v>
      </c>
      <c r="C1918" t="s">
        <v>35</v>
      </c>
      <c r="D1918" t="s">
        <v>11</v>
      </c>
      <c r="E1918" t="s">
        <v>12</v>
      </c>
      <c r="F1918" t="s">
        <v>26</v>
      </c>
      <c r="G1918" t="s">
        <v>8781</v>
      </c>
      <c r="L1918" t="s">
        <v>8782</v>
      </c>
      <c r="M1918" t="s">
        <v>8783</v>
      </c>
      <c r="N1918" t="s">
        <v>8782</v>
      </c>
      <c r="T1918" t="s">
        <v>8784</v>
      </c>
      <c r="U1918" t="s">
        <v>8730</v>
      </c>
      <c r="V1918" t="s">
        <v>8783</v>
      </c>
      <c r="W1918" t="s">
        <v>851</v>
      </c>
      <c r="X1918" t="s">
        <v>8785</v>
      </c>
      <c r="Y1918">
        <v>0</v>
      </c>
      <c r="Z1918">
        <v>3</v>
      </c>
    </row>
    <row r="1919" spans="1:26">
      <c r="A1919" s="1">
        <v>1917</v>
      </c>
      <c r="B1919" t="str">
        <f>HYPERLINK("https://bugs.eclipse.org/bugs/show_bug.cgi?id=67191", "67191")</f>
        <v>67191</v>
      </c>
      <c r="C1919" t="s">
        <v>149</v>
      </c>
      <c r="D1919" t="s">
        <v>10</v>
      </c>
      <c r="E1919" t="s">
        <v>12</v>
      </c>
      <c r="F1919" t="s">
        <v>26</v>
      </c>
      <c r="L1919" t="s">
        <v>8786</v>
      </c>
      <c r="N1919" t="s">
        <v>8786</v>
      </c>
      <c r="S1919" t="s">
        <v>8787</v>
      </c>
      <c r="T1919" t="s">
        <v>8788</v>
      </c>
      <c r="U1919" t="s">
        <v>8789</v>
      </c>
      <c r="V1919" t="s">
        <v>8786</v>
      </c>
      <c r="W1919" t="s">
        <v>851</v>
      </c>
      <c r="X1919" t="s">
        <v>8790</v>
      </c>
      <c r="Y1919">
        <v>0</v>
      </c>
      <c r="Z1919">
        <v>589.04166666666663</v>
      </c>
    </row>
    <row r="1920" spans="1:26">
      <c r="A1920" s="1">
        <v>1918</v>
      </c>
      <c r="B1920" t="str">
        <f>HYPERLINK("https://bugs.eclipse.org/bugs/show_bug.cgi?id=67192", "67192")</f>
        <v>67192</v>
      </c>
      <c r="C1920" t="s">
        <v>8791</v>
      </c>
      <c r="D1920" t="s">
        <v>10</v>
      </c>
      <c r="E1920" t="s">
        <v>15</v>
      </c>
      <c r="F1920" t="s">
        <v>51</v>
      </c>
      <c r="L1920" t="s">
        <v>8792</v>
      </c>
      <c r="P1920" t="s">
        <v>8793</v>
      </c>
      <c r="Q1920" t="s">
        <v>8794</v>
      </c>
      <c r="T1920" t="s">
        <v>8795</v>
      </c>
      <c r="U1920" t="s">
        <v>8792</v>
      </c>
      <c r="V1920" t="s">
        <v>8794</v>
      </c>
      <c r="W1920" t="s">
        <v>851</v>
      </c>
      <c r="X1920" t="s">
        <v>8796</v>
      </c>
      <c r="Y1920">
        <v>0</v>
      </c>
      <c r="Z1920">
        <v>1917</v>
      </c>
    </row>
    <row r="1921" spans="1:26">
      <c r="A1921" s="1">
        <v>1919</v>
      </c>
      <c r="B1921" t="str">
        <f>HYPERLINK("https://bugs.eclipse.org/bugs/show_bug.cgi?id=67202", "67202")</f>
        <v>67202</v>
      </c>
      <c r="C1921" t="s">
        <v>56</v>
      </c>
      <c r="D1921" t="s">
        <v>10</v>
      </c>
      <c r="E1921" t="s">
        <v>14</v>
      </c>
      <c r="F1921" t="s">
        <v>26</v>
      </c>
      <c r="L1921" t="s">
        <v>8797</v>
      </c>
      <c r="P1921" t="s">
        <v>8798</v>
      </c>
      <c r="T1921" t="s">
        <v>8799</v>
      </c>
      <c r="U1921" t="s">
        <v>8797</v>
      </c>
      <c r="V1921" t="s">
        <v>8798</v>
      </c>
      <c r="W1921" t="s">
        <v>75</v>
      </c>
      <c r="X1921" t="s">
        <v>8800</v>
      </c>
      <c r="Y1921">
        <v>0</v>
      </c>
      <c r="Z1921">
        <v>1902</v>
      </c>
    </row>
    <row r="1922" spans="1:26">
      <c r="A1922" s="1">
        <v>1920</v>
      </c>
      <c r="B1922" t="str">
        <f>HYPERLINK("https://bugs.eclipse.org/bugs/show_bug.cgi?id=67260", "67260")</f>
        <v>67260</v>
      </c>
      <c r="C1922" t="s">
        <v>149</v>
      </c>
      <c r="D1922" t="s">
        <v>10</v>
      </c>
      <c r="E1922" t="s">
        <v>12</v>
      </c>
      <c r="F1922" t="s">
        <v>26</v>
      </c>
      <c r="L1922" t="s">
        <v>8801</v>
      </c>
      <c r="N1922" t="s">
        <v>8801</v>
      </c>
      <c r="T1922" t="s">
        <v>8802</v>
      </c>
      <c r="U1922" t="s">
        <v>8803</v>
      </c>
      <c r="V1922" t="s">
        <v>8801</v>
      </c>
      <c r="W1922" t="s">
        <v>851</v>
      </c>
      <c r="X1922" t="s">
        <v>8804</v>
      </c>
      <c r="Y1922">
        <v>0</v>
      </c>
      <c r="Z1922">
        <v>282.04166666666669</v>
      </c>
    </row>
    <row r="1923" spans="1:26">
      <c r="A1923" s="1">
        <v>1921</v>
      </c>
      <c r="B1923" t="str">
        <f>HYPERLINK("https://bugs.eclipse.org/bugs/show_bug.cgi?id=67288", "67288")</f>
        <v>67288</v>
      </c>
      <c r="C1923" t="s">
        <v>140</v>
      </c>
      <c r="D1923" t="s">
        <v>10</v>
      </c>
      <c r="E1923" t="s">
        <v>16</v>
      </c>
      <c r="F1923" t="s">
        <v>26</v>
      </c>
      <c r="L1923" t="s">
        <v>8805</v>
      </c>
      <c r="R1923" t="s">
        <v>8805</v>
      </c>
      <c r="T1923" t="s">
        <v>8806</v>
      </c>
      <c r="U1923" t="s">
        <v>8805</v>
      </c>
      <c r="V1923" t="s">
        <v>8805</v>
      </c>
      <c r="W1923" t="s">
        <v>86</v>
      </c>
      <c r="X1923" t="s">
        <v>8807</v>
      </c>
      <c r="Y1923">
        <v>0</v>
      </c>
      <c r="Z1923">
        <v>0</v>
      </c>
    </row>
    <row r="1924" spans="1:26">
      <c r="A1924" s="1">
        <v>1922</v>
      </c>
      <c r="B1924" t="str">
        <f>HYPERLINK("https://bugs.eclipse.org/bugs/show_bug.cgi?id=67289", "67289")</f>
        <v>67289</v>
      </c>
      <c r="C1924" t="s">
        <v>149</v>
      </c>
      <c r="D1924" t="s">
        <v>10</v>
      </c>
      <c r="E1924" t="s">
        <v>12</v>
      </c>
      <c r="F1924" t="s">
        <v>26</v>
      </c>
      <c r="L1924" t="s">
        <v>8808</v>
      </c>
      <c r="N1924" t="s">
        <v>8808</v>
      </c>
      <c r="T1924" t="s">
        <v>8809</v>
      </c>
      <c r="U1924" t="s">
        <v>8810</v>
      </c>
      <c r="V1924" t="s">
        <v>8808</v>
      </c>
      <c r="W1924" t="s">
        <v>86</v>
      </c>
      <c r="X1924" t="s">
        <v>8811</v>
      </c>
      <c r="Y1924">
        <v>0</v>
      </c>
      <c r="Z1924">
        <v>316</v>
      </c>
    </row>
    <row r="1925" spans="1:26">
      <c r="A1925" s="1">
        <v>1923</v>
      </c>
      <c r="B1925" t="str">
        <f>HYPERLINK("https://bugs.eclipse.org/bugs/show_bug.cgi?id=67314", "67314")</f>
        <v>67314</v>
      </c>
      <c r="C1925" t="s">
        <v>35</v>
      </c>
      <c r="D1925" t="s">
        <v>11</v>
      </c>
      <c r="E1925" t="s">
        <v>12</v>
      </c>
      <c r="F1925" t="s">
        <v>150</v>
      </c>
      <c r="L1925" t="s">
        <v>8812</v>
      </c>
      <c r="M1925" t="s">
        <v>8813</v>
      </c>
      <c r="N1925" t="s">
        <v>8812</v>
      </c>
      <c r="T1925" t="s">
        <v>8814</v>
      </c>
      <c r="U1925" t="s">
        <v>8815</v>
      </c>
      <c r="V1925" t="s">
        <v>8813</v>
      </c>
      <c r="W1925" t="s">
        <v>49</v>
      </c>
      <c r="X1925" t="s">
        <v>8816</v>
      </c>
      <c r="Y1925">
        <v>0</v>
      </c>
      <c r="Z1925">
        <v>6</v>
      </c>
    </row>
    <row r="1926" spans="1:26">
      <c r="A1926" s="1">
        <v>1924</v>
      </c>
      <c r="B1926" t="str">
        <f>HYPERLINK("https://bugs.eclipse.org/bugs/show_bug.cgi?id=67326", "67326")</f>
        <v>67326</v>
      </c>
      <c r="C1926" t="s">
        <v>25</v>
      </c>
      <c r="D1926" t="s">
        <v>25</v>
      </c>
      <c r="F1926" t="s">
        <v>26</v>
      </c>
      <c r="G1926" t="s">
        <v>8817</v>
      </c>
      <c r="T1926" t="s">
        <v>8818</v>
      </c>
      <c r="U1926" t="s">
        <v>8819</v>
      </c>
      <c r="V1926" t="s">
        <v>8820</v>
      </c>
      <c r="W1926" t="s">
        <v>143</v>
      </c>
      <c r="X1926" t="s">
        <v>8821</v>
      </c>
      <c r="Y1926">
        <v>0</v>
      </c>
    </row>
    <row r="1927" spans="1:26">
      <c r="A1927" s="1">
        <v>1925</v>
      </c>
      <c r="B1927" t="str">
        <f>HYPERLINK("https://bugs.eclipse.org/bugs/show_bug.cgi?id=67364", "67364")</f>
        <v>67364</v>
      </c>
      <c r="C1927" t="s">
        <v>191</v>
      </c>
      <c r="D1927" t="s">
        <v>192</v>
      </c>
      <c r="E1927" t="s">
        <v>14</v>
      </c>
      <c r="F1927" t="s">
        <v>26</v>
      </c>
      <c r="T1927" t="s">
        <v>8822</v>
      </c>
      <c r="U1927" t="s">
        <v>8823</v>
      </c>
      <c r="V1927" t="s">
        <v>8824</v>
      </c>
      <c r="W1927" t="s">
        <v>65</v>
      </c>
      <c r="X1927" t="s">
        <v>8825</v>
      </c>
      <c r="Y1927">
        <v>0</v>
      </c>
      <c r="Z1927">
        <v>5365.041666666667</v>
      </c>
    </row>
    <row r="1928" spans="1:26">
      <c r="A1928" s="1">
        <v>1926</v>
      </c>
      <c r="B1928" t="str">
        <f>HYPERLINK("https://bugs.eclipse.org/bugs/show_bug.cgi?id=67417", "67417")</f>
        <v>67417</v>
      </c>
      <c r="C1928" t="s">
        <v>35</v>
      </c>
      <c r="D1928" t="s">
        <v>11</v>
      </c>
      <c r="E1928" t="s">
        <v>12</v>
      </c>
      <c r="F1928" t="s">
        <v>26</v>
      </c>
      <c r="L1928" t="s">
        <v>8826</v>
      </c>
      <c r="M1928" t="s">
        <v>8827</v>
      </c>
      <c r="N1928" t="s">
        <v>8826</v>
      </c>
      <c r="T1928" t="s">
        <v>8828</v>
      </c>
      <c r="U1928" t="s">
        <v>8829</v>
      </c>
      <c r="V1928" t="s">
        <v>8827</v>
      </c>
      <c r="W1928" t="s">
        <v>2668</v>
      </c>
      <c r="X1928" t="s">
        <v>8830</v>
      </c>
      <c r="Y1928">
        <v>0</v>
      </c>
      <c r="Z1928">
        <v>345</v>
      </c>
    </row>
    <row r="1929" spans="1:26">
      <c r="A1929" s="1">
        <v>1927</v>
      </c>
      <c r="B1929" t="str">
        <f>HYPERLINK("https://bugs.eclipse.org/bugs/show_bug.cgi?id=67451", "67451")</f>
        <v>67451</v>
      </c>
      <c r="C1929" t="s">
        <v>35</v>
      </c>
      <c r="D1929" t="s">
        <v>11</v>
      </c>
      <c r="E1929" t="s">
        <v>12</v>
      </c>
      <c r="F1929" t="s">
        <v>51</v>
      </c>
      <c r="L1929" t="s">
        <v>8831</v>
      </c>
      <c r="M1929" t="s">
        <v>8832</v>
      </c>
      <c r="N1929" t="s">
        <v>8831</v>
      </c>
      <c r="T1929" t="s">
        <v>8833</v>
      </c>
      <c r="U1929" t="s">
        <v>8834</v>
      </c>
      <c r="V1929" t="s">
        <v>8832</v>
      </c>
      <c r="W1929" t="s">
        <v>86</v>
      </c>
      <c r="X1929" t="s">
        <v>8835</v>
      </c>
      <c r="Y1929">
        <v>0</v>
      </c>
      <c r="Z1929">
        <v>345</v>
      </c>
    </row>
    <row r="1930" spans="1:26">
      <c r="A1930" s="1">
        <v>1928</v>
      </c>
      <c r="B1930" t="str">
        <f>HYPERLINK("https://bugs.eclipse.org/bugs/show_bug.cgi?id=67589", "67589")</f>
        <v>67589</v>
      </c>
      <c r="C1930" t="s">
        <v>35</v>
      </c>
      <c r="D1930" t="s">
        <v>11</v>
      </c>
      <c r="E1930" t="s">
        <v>12</v>
      </c>
      <c r="F1930" t="s">
        <v>26</v>
      </c>
      <c r="L1930" t="s">
        <v>8836</v>
      </c>
      <c r="M1930" t="s">
        <v>8837</v>
      </c>
      <c r="N1930" t="s">
        <v>8836</v>
      </c>
      <c r="T1930" t="s">
        <v>8838</v>
      </c>
      <c r="U1930" t="s">
        <v>8839</v>
      </c>
      <c r="V1930" t="s">
        <v>8837</v>
      </c>
      <c r="W1930" t="s">
        <v>1954</v>
      </c>
      <c r="X1930" t="s">
        <v>8840</v>
      </c>
      <c r="Y1930">
        <v>0</v>
      </c>
      <c r="Z1930">
        <v>784</v>
      </c>
    </row>
    <row r="1931" spans="1:26">
      <c r="A1931" s="1">
        <v>1929</v>
      </c>
      <c r="B1931" t="str">
        <f>HYPERLINK("https://bugs.eclipse.org/bugs/show_bug.cgi?id=67617", "67617")</f>
        <v>67617</v>
      </c>
      <c r="C1931" t="s">
        <v>140</v>
      </c>
      <c r="D1931" t="s">
        <v>10</v>
      </c>
      <c r="E1931" t="s">
        <v>16</v>
      </c>
      <c r="F1931" t="s">
        <v>26</v>
      </c>
      <c r="L1931" t="s">
        <v>8841</v>
      </c>
      <c r="R1931" t="s">
        <v>8841</v>
      </c>
      <c r="T1931" t="s">
        <v>8842</v>
      </c>
      <c r="U1931" t="s">
        <v>8841</v>
      </c>
      <c r="V1931" t="s">
        <v>8841</v>
      </c>
      <c r="W1931" t="s">
        <v>86</v>
      </c>
      <c r="X1931" t="s">
        <v>8843</v>
      </c>
      <c r="Y1931">
        <v>1</v>
      </c>
      <c r="Z1931">
        <v>1</v>
      </c>
    </row>
    <row r="1932" spans="1:26">
      <c r="A1932" s="1">
        <v>1930</v>
      </c>
      <c r="B1932" t="str">
        <f>HYPERLINK("https://bugs.eclipse.org/bugs/show_bug.cgi?id=67628", "67628")</f>
        <v>67628</v>
      </c>
      <c r="C1932" t="s">
        <v>149</v>
      </c>
      <c r="D1932" t="s">
        <v>10</v>
      </c>
      <c r="E1932" t="s">
        <v>12</v>
      </c>
      <c r="F1932" t="s">
        <v>26</v>
      </c>
      <c r="L1932" t="s">
        <v>8844</v>
      </c>
      <c r="N1932" t="s">
        <v>8844</v>
      </c>
      <c r="T1932" t="s">
        <v>8845</v>
      </c>
      <c r="U1932" t="s">
        <v>8846</v>
      </c>
      <c r="V1932" t="s">
        <v>8844</v>
      </c>
      <c r="W1932" t="s">
        <v>851</v>
      </c>
      <c r="X1932" t="s">
        <v>8847</v>
      </c>
      <c r="Y1932">
        <v>0</v>
      </c>
      <c r="Z1932">
        <v>251.04166666666671</v>
      </c>
    </row>
    <row r="1933" spans="1:26">
      <c r="A1933" s="1">
        <v>1931</v>
      </c>
      <c r="B1933" t="str">
        <f>HYPERLINK("https://bugs.eclipse.org/bugs/show_bug.cgi?id=67715", "67715")</f>
        <v>67715</v>
      </c>
      <c r="C1933" t="s">
        <v>56</v>
      </c>
      <c r="D1933" t="s">
        <v>10</v>
      </c>
      <c r="E1933" t="s">
        <v>14</v>
      </c>
      <c r="F1933" t="s">
        <v>51</v>
      </c>
      <c r="G1933" t="s">
        <v>8848</v>
      </c>
      <c r="L1933" t="s">
        <v>8849</v>
      </c>
      <c r="P1933" t="s">
        <v>8850</v>
      </c>
      <c r="T1933" t="s">
        <v>8851</v>
      </c>
      <c r="U1933" t="s">
        <v>8849</v>
      </c>
      <c r="V1933" t="s">
        <v>8850</v>
      </c>
      <c r="W1933" t="s">
        <v>80</v>
      </c>
      <c r="X1933" t="s">
        <v>8852</v>
      </c>
      <c r="Y1933">
        <v>0</v>
      </c>
      <c r="Z1933">
        <v>1900</v>
      </c>
    </row>
    <row r="1934" spans="1:26">
      <c r="A1934" s="1">
        <v>1932</v>
      </c>
      <c r="B1934" t="str">
        <f>HYPERLINK("https://bugs.eclipse.org/bugs/show_bug.cgi?id=67726", "67726")</f>
        <v>67726</v>
      </c>
      <c r="C1934" t="s">
        <v>35</v>
      </c>
      <c r="D1934" t="s">
        <v>11</v>
      </c>
      <c r="E1934" t="s">
        <v>12</v>
      </c>
      <c r="F1934" t="s">
        <v>150</v>
      </c>
      <c r="L1934" t="s">
        <v>8853</v>
      </c>
      <c r="M1934" t="s">
        <v>8854</v>
      </c>
      <c r="N1934" t="s">
        <v>8853</v>
      </c>
      <c r="T1934" t="s">
        <v>8855</v>
      </c>
      <c r="U1934" t="s">
        <v>8856</v>
      </c>
      <c r="V1934" t="s">
        <v>8854</v>
      </c>
      <c r="W1934" t="s">
        <v>143</v>
      </c>
      <c r="X1934" t="s">
        <v>8857</v>
      </c>
      <c r="Y1934">
        <v>0</v>
      </c>
      <c r="Z1934">
        <v>4</v>
      </c>
    </row>
    <row r="1935" spans="1:26">
      <c r="A1935" s="1">
        <v>1933</v>
      </c>
      <c r="B1935" t="str">
        <f>HYPERLINK("https://bugs.eclipse.org/bugs/show_bug.cgi?id=67768", "67768")</f>
        <v>67768</v>
      </c>
      <c r="C1935" t="s">
        <v>8858</v>
      </c>
      <c r="D1935" t="s">
        <v>10</v>
      </c>
      <c r="E1935" t="s">
        <v>15</v>
      </c>
      <c r="F1935" t="s">
        <v>26</v>
      </c>
      <c r="L1935" t="s">
        <v>8859</v>
      </c>
      <c r="Q1935" t="s">
        <v>8859</v>
      </c>
      <c r="T1935" t="s">
        <v>8860</v>
      </c>
      <c r="U1935" t="s">
        <v>8861</v>
      </c>
      <c r="V1935" t="s">
        <v>8859</v>
      </c>
      <c r="W1935" t="s">
        <v>851</v>
      </c>
      <c r="X1935" t="s">
        <v>8862</v>
      </c>
      <c r="Y1935">
        <v>0</v>
      </c>
      <c r="Z1935">
        <v>108</v>
      </c>
    </row>
    <row r="1936" spans="1:26">
      <c r="A1936" s="1">
        <v>1934</v>
      </c>
      <c r="B1936" t="str">
        <f>HYPERLINK("https://bugs.eclipse.org/bugs/show_bug.cgi?id=67772", "67772")</f>
        <v>67772</v>
      </c>
      <c r="C1936" t="s">
        <v>56</v>
      </c>
      <c r="D1936" t="s">
        <v>10</v>
      </c>
      <c r="E1936" t="s">
        <v>14</v>
      </c>
      <c r="F1936" t="s">
        <v>51</v>
      </c>
      <c r="L1936" t="s">
        <v>8863</v>
      </c>
      <c r="P1936" t="s">
        <v>1618</v>
      </c>
      <c r="T1936" t="s">
        <v>8864</v>
      </c>
      <c r="U1936" t="s">
        <v>8865</v>
      </c>
      <c r="V1936" t="s">
        <v>1618</v>
      </c>
      <c r="W1936" t="s">
        <v>75</v>
      </c>
      <c r="X1936" t="s">
        <v>8866</v>
      </c>
      <c r="Y1936">
        <v>0</v>
      </c>
      <c r="Z1936">
        <v>1899</v>
      </c>
    </row>
    <row r="1937" spans="1:26">
      <c r="A1937" s="1">
        <v>1935</v>
      </c>
      <c r="B1937" t="str">
        <f>HYPERLINK("https://bugs.eclipse.org/bugs/show_bug.cgi?id=67821", "67821")</f>
        <v>67821</v>
      </c>
      <c r="C1937" t="s">
        <v>35</v>
      </c>
      <c r="D1937" t="s">
        <v>11</v>
      </c>
      <c r="E1937" t="s">
        <v>12</v>
      </c>
      <c r="F1937" t="s">
        <v>150</v>
      </c>
      <c r="L1937" t="s">
        <v>8867</v>
      </c>
      <c r="M1937" t="s">
        <v>8868</v>
      </c>
      <c r="N1937" t="s">
        <v>8867</v>
      </c>
      <c r="T1937" t="s">
        <v>8869</v>
      </c>
      <c r="U1937" t="s">
        <v>8870</v>
      </c>
      <c r="V1937" t="s">
        <v>8868</v>
      </c>
      <c r="W1937" t="s">
        <v>40</v>
      </c>
      <c r="X1937" t="s">
        <v>8871</v>
      </c>
      <c r="Y1937">
        <v>0</v>
      </c>
      <c r="Z1937">
        <v>7</v>
      </c>
    </row>
    <row r="1938" spans="1:26">
      <c r="A1938" s="1">
        <v>1936</v>
      </c>
      <c r="B1938" t="str">
        <f>HYPERLINK("https://bugs.eclipse.org/bugs/show_bug.cgi?id=67937", "67937")</f>
        <v>67937</v>
      </c>
      <c r="C1938" t="s">
        <v>191</v>
      </c>
      <c r="D1938" t="s">
        <v>192</v>
      </c>
      <c r="E1938" t="s">
        <v>14</v>
      </c>
      <c r="F1938" t="s">
        <v>26</v>
      </c>
      <c r="P1938" t="s">
        <v>8872</v>
      </c>
      <c r="T1938" t="s">
        <v>8873</v>
      </c>
      <c r="U1938" t="s">
        <v>8874</v>
      </c>
      <c r="V1938" t="s">
        <v>8872</v>
      </c>
      <c r="W1938" t="s">
        <v>65</v>
      </c>
      <c r="X1938" t="s">
        <v>8875</v>
      </c>
      <c r="Y1938">
        <v>1</v>
      </c>
      <c r="Z1938">
        <v>5698.041666666667</v>
      </c>
    </row>
    <row r="1939" spans="1:26">
      <c r="A1939" s="1">
        <v>1937</v>
      </c>
      <c r="B1939" t="str">
        <f>HYPERLINK("https://bugs.eclipse.org/bugs/show_bug.cgi?id=67977", "67977")</f>
        <v>67977</v>
      </c>
      <c r="C1939" t="s">
        <v>140</v>
      </c>
      <c r="D1939" t="s">
        <v>10</v>
      </c>
      <c r="E1939" t="s">
        <v>16</v>
      </c>
      <c r="F1939" t="s">
        <v>26</v>
      </c>
      <c r="L1939" t="s">
        <v>8876</v>
      </c>
      <c r="R1939" t="s">
        <v>8876</v>
      </c>
      <c r="T1939" t="s">
        <v>8877</v>
      </c>
      <c r="U1939" t="s">
        <v>8876</v>
      </c>
      <c r="V1939" t="s">
        <v>8876</v>
      </c>
      <c r="W1939" t="s">
        <v>49</v>
      </c>
      <c r="X1939" t="s">
        <v>8878</v>
      </c>
      <c r="Y1939">
        <v>0</v>
      </c>
      <c r="Z1939">
        <v>0</v>
      </c>
    </row>
    <row r="1940" spans="1:26">
      <c r="A1940" s="1">
        <v>1938</v>
      </c>
      <c r="B1940" t="str">
        <f>HYPERLINK("https://bugs.eclipse.org/bugs/show_bug.cgi?id=68067", "68067")</f>
        <v>68067</v>
      </c>
      <c r="C1940" t="s">
        <v>56</v>
      </c>
      <c r="D1940" t="s">
        <v>10</v>
      </c>
      <c r="E1940" t="s">
        <v>14</v>
      </c>
      <c r="F1940" t="s">
        <v>26</v>
      </c>
      <c r="G1940" t="s">
        <v>8879</v>
      </c>
      <c r="L1940" t="s">
        <v>8880</v>
      </c>
      <c r="P1940" t="s">
        <v>8880</v>
      </c>
      <c r="T1940" t="s">
        <v>8881</v>
      </c>
      <c r="U1940" t="s">
        <v>8882</v>
      </c>
      <c r="V1940" t="s">
        <v>8880</v>
      </c>
      <c r="W1940" t="s">
        <v>49</v>
      </c>
      <c r="X1940" t="s">
        <v>8883</v>
      </c>
      <c r="Y1940">
        <v>0</v>
      </c>
      <c r="Z1940">
        <v>1100</v>
      </c>
    </row>
    <row r="1941" spans="1:26">
      <c r="A1941" s="1">
        <v>1939</v>
      </c>
      <c r="B1941" t="str">
        <f>HYPERLINK("https://bugs.eclipse.org/bugs/show_bug.cgi?id=68104", "68104")</f>
        <v>68104</v>
      </c>
      <c r="C1941" t="s">
        <v>140</v>
      </c>
      <c r="D1941" t="s">
        <v>10</v>
      </c>
      <c r="E1941" t="s">
        <v>16</v>
      </c>
      <c r="F1941" t="s">
        <v>26</v>
      </c>
      <c r="L1941" t="s">
        <v>8884</v>
      </c>
      <c r="R1941" t="s">
        <v>8884</v>
      </c>
      <c r="T1941" t="s">
        <v>8885</v>
      </c>
      <c r="U1941" t="s">
        <v>8886</v>
      </c>
      <c r="V1941" t="s">
        <v>8884</v>
      </c>
      <c r="W1941" t="s">
        <v>86</v>
      </c>
      <c r="X1941" t="s">
        <v>8887</v>
      </c>
      <c r="Y1941">
        <v>0</v>
      </c>
      <c r="Z1941">
        <v>0</v>
      </c>
    </row>
    <row r="1942" spans="1:26">
      <c r="A1942" s="1">
        <v>1940</v>
      </c>
      <c r="B1942" t="str">
        <f>HYPERLINK("https://bugs.eclipse.org/bugs/show_bug.cgi?id=68117", "68117")</f>
        <v>68117</v>
      </c>
      <c r="C1942" t="s">
        <v>35</v>
      </c>
      <c r="D1942" t="s">
        <v>11</v>
      </c>
      <c r="E1942" t="s">
        <v>12</v>
      </c>
      <c r="F1942" t="s">
        <v>26</v>
      </c>
      <c r="G1942" t="s">
        <v>8888</v>
      </c>
      <c r="L1942" t="s">
        <v>8889</v>
      </c>
      <c r="M1942" t="s">
        <v>8890</v>
      </c>
      <c r="N1942" t="s">
        <v>8889</v>
      </c>
      <c r="T1942" t="s">
        <v>8891</v>
      </c>
      <c r="U1942" t="s">
        <v>8892</v>
      </c>
      <c r="V1942" t="s">
        <v>8890</v>
      </c>
      <c r="W1942" t="s">
        <v>86</v>
      </c>
      <c r="X1942" t="s">
        <v>8893</v>
      </c>
      <c r="Y1942">
        <v>0</v>
      </c>
      <c r="Z1942">
        <v>73</v>
      </c>
    </row>
    <row r="1943" spans="1:26">
      <c r="A1943" s="1">
        <v>1941</v>
      </c>
      <c r="B1943" t="str">
        <f>HYPERLINK("https://bugs.eclipse.org/bugs/show_bug.cgi?id=68147", "68147")</f>
        <v>68147</v>
      </c>
      <c r="C1943" t="s">
        <v>8894</v>
      </c>
      <c r="D1943" t="s">
        <v>10</v>
      </c>
      <c r="E1943" t="s">
        <v>15</v>
      </c>
      <c r="F1943" t="s">
        <v>26</v>
      </c>
      <c r="L1943" t="s">
        <v>8895</v>
      </c>
      <c r="Q1943" t="s">
        <v>8895</v>
      </c>
      <c r="T1943" t="s">
        <v>8896</v>
      </c>
      <c r="U1943" t="s">
        <v>8897</v>
      </c>
      <c r="V1943" t="s">
        <v>8895</v>
      </c>
      <c r="W1943" t="s">
        <v>851</v>
      </c>
      <c r="X1943" t="s">
        <v>8898</v>
      </c>
      <c r="Y1943">
        <v>0</v>
      </c>
      <c r="Z1943">
        <v>0</v>
      </c>
    </row>
    <row r="1944" spans="1:26">
      <c r="A1944" s="1">
        <v>1942</v>
      </c>
      <c r="B1944" t="str">
        <f>HYPERLINK("https://bugs.eclipse.org/bugs/show_bug.cgi?id=68149", "68149")</f>
        <v>68149</v>
      </c>
      <c r="C1944" t="s">
        <v>25</v>
      </c>
      <c r="D1944" t="s">
        <v>25</v>
      </c>
      <c r="F1944" t="s">
        <v>51</v>
      </c>
      <c r="T1944" t="s">
        <v>8899</v>
      </c>
      <c r="U1944" t="s">
        <v>8900</v>
      </c>
      <c r="V1944" t="s">
        <v>8901</v>
      </c>
      <c r="W1944" t="s">
        <v>851</v>
      </c>
      <c r="X1944" t="s">
        <v>8902</v>
      </c>
      <c r="Y1944">
        <v>0</v>
      </c>
    </row>
    <row r="1945" spans="1:26">
      <c r="A1945" s="1">
        <v>1943</v>
      </c>
      <c r="B1945" t="str">
        <f>HYPERLINK("https://bugs.eclipse.org/bugs/show_bug.cgi?id=68159", "68159")</f>
        <v>68159</v>
      </c>
      <c r="C1945" t="s">
        <v>8903</v>
      </c>
      <c r="D1945" t="s">
        <v>10</v>
      </c>
      <c r="E1945" t="s">
        <v>15</v>
      </c>
      <c r="F1945" t="s">
        <v>26</v>
      </c>
      <c r="L1945" t="s">
        <v>8904</v>
      </c>
      <c r="Q1945" t="s">
        <v>8904</v>
      </c>
      <c r="T1945" t="s">
        <v>8905</v>
      </c>
      <c r="U1945" t="s">
        <v>8906</v>
      </c>
      <c r="V1945" t="s">
        <v>8904</v>
      </c>
      <c r="W1945" t="s">
        <v>86</v>
      </c>
      <c r="X1945" t="s">
        <v>8907</v>
      </c>
      <c r="Y1945">
        <v>0</v>
      </c>
      <c r="Z1945">
        <v>0</v>
      </c>
    </row>
    <row r="1946" spans="1:26">
      <c r="A1946" s="1">
        <v>1944</v>
      </c>
      <c r="B1946" t="str">
        <f>HYPERLINK("https://bugs.eclipse.org/bugs/show_bug.cgi?id=68187", "68187")</f>
        <v>68187</v>
      </c>
      <c r="C1946" t="s">
        <v>149</v>
      </c>
      <c r="D1946" t="s">
        <v>10</v>
      </c>
      <c r="E1946" t="s">
        <v>12</v>
      </c>
      <c r="F1946" t="s">
        <v>26</v>
      </c>
      <c r="L1946" t="s">
        <v>8908</v>
      </c>
      <c r="N1946" t="s">
        <v>8908</v>
      </c>
      <c r="T1946" t="s">
        <v>8909</v>
      </c>
      <c r="U1946" t="s">
        <v>8910</v>
      </c>
      <c r="V1946" t="s">
        <v>8908</v>
      </c>
      <c r="W1946" t="s">
        <v>86</v>
      </c>
      <c r="X1946" t="s">
        <v>8911</v>
      </c>
      <c r="Y1946">
        <v>0</v>
      </c>
      <c r="Z1946">
        <v>78</v>
      </c>
    </row>
    <row r="1947" spans="1:26">
      <c r="A1947" s="1">
        <v>1945</v>
      </c>
      <c r="B1947" t="str">
        <f>HYPERLINK("https://bugs.eclipse.org/bugs/show_bug.cgi?id=68279", "68279")</f>
        <v>68279</v>
      </c>
      <c r="C1947" t="s">
        <v>140</v>
      </c>
      <c r="D1947" t="s">
        <v>10</v>
      </c>
      <c r="E1947" t="s">
        <v>16</v>
      </c>
      <c r="F1947" t="s">
        <v>26</v>
      </c>
      <c r="G1947" t="s">
        <v>8912</v>
      </c>
      <c r="L1947" t="s">
        <v>8913</v>
      </c>
      <c r="R1947" t="s">
        <v>8913</v>
      </c>
      <c r="S1947" t="s">
        <v>8914</v>
      </c>
      <c r="T1947" t="s">
        <v>8915</v>
      </c>
      <c r="U1947" t="s">
        <v>8916</v>
      </c>
      <c r="V1947" t="s">
        <v>8913</v>
      </c>
      <c r="W1947" t="s">
        <v>851</v>
      </c>
      <c r="X1947" t="s">
        <v>8917</v>
      </c>
      <c r="Y1947">
        <v>0</v>
      </c>
      <c r="Z1947">
        <v>313</v>
      </c>
    </row>
    <row r="1948" spans="1:26">
      <c r="A1948" s="1">
        <v>1946</v>
      </c>
      <c r="B1948" t="str">
        <f>HYPERLINK("https://bugs.eclipse.org/bugs/show_bug.cgi?id=68344", "68344")</f>
        <v>68344</v>
      </c>
      <c r="C1948" t="s">
        <v>56</v>
      </c>
      <c r="D1948" t="s">
        <v>10</v>
      </c>
      <c r="E1948" t="s">
        <v>14</v>
      </c>
      <c r="F1948" t="s">
        <v>26</v>
      </c>
      <c r="L1948" t="s">
        <v>8918</v>
      </c>
      <c r="P1948" t="s">
        <v>8918</v>
      </c>
      <c r="T1948" t="s">
        <v>8919</v>
      </c>
      <c r="U1948" t="s">
        <v>8920</v>
      </c>
      <c r="V1948" t="s">
        <v>8918</v>
      </c>
      <c r="W1948" t="s">
        <v>49</v>
      </c>
      <c r="X1948" t="s">
        <v>8921</v>
      </c>
      <c r="Y1948">
        <v>0</v>
      </c>
      <c r="Z1948">
        <v>771</v>
      </c>
    </row>
    <row r="1949" spans="1:26">
      <c r="A1949" s="1">
        <v>1947</v>
      </c>
      <c r="B1949" t="str">
        <f>HYPERLINK("https://bugs.eclipse.org/bugs/show_bug.cgi?id=68504", "68504")</f>
        <v>68504</v>
      </c>
      <c r="C1949" t="s">
        <v>35</v>
      </c>
      <c r="D1949" t="s">
        <v>11</v>
      </c>
      <c r="E1949" t="s">
        <v>12</v>
      </c>
      <c r="F1949" t="s">
        <v>26</v>
      </c>
      <c r="G1949" t="s">
        <v>8922</v>
      </c>
      <c r="L1949" t="s">
        <v>8923</v>
      </c>
      <c r="M1949" t="s">
        <v>8924</v>
      </c>
      <c r="N1949" t="s">
        <v>8923</v>
      </c>
      <c r="T1949" t="s">
        <v>8925</v>
      </c>
      <c r="U1949" t="s">
        <v>8926</v>
      </c>
      <c r="V1949" t="s">
        <v>8924</v>
      </c>
      <c r="W1949" t="s">
        <v>86</v>
      </c>
      <c r="X1949" t="s">
        <v>8927</v>
      </c>
      <c r="Y1949">
        <v>0</v>
      </c>
      <c r="Z1949">
        <v>70</v>
      </c>
    </row>
    <row r="1950" spans="1:26">
      <c r="A1950" s="1">
        <v>1948</v>
      </c>
      <c r="B1950" t="str">
        <f>HYPERLINK("https://bugs.eclipse.org/bugs/show_bug.cgi?id=68574", "68574")</f>
        <v>68574</v>
      </c>
      <c r="C1950" t="s">
        <v>56</v>
      </c>
      <c r="D1950" t="s">
        <v>10</v>
      </c>
      <c r="E1950" t="s">
        <v>14</v>
      </c>
      <c r="F1950" t="s">
        <v>51</v>
      </c>
      <c r="L1950" t="s">
        <v>8928</v>
      </c>
      <c r="P1950" t="s">
        <v>8929</v>
      </c>
      <c r="T1950" t="s">
        <v>8930</v>
      </c>
      <c r="U1950" t="s">
        <v>8931</v>
      </c>
      <c r="V1950" t="s">
        <v>8929</v>
      </c>
      <c r="W1950" t="s">
        <v>80</v>
      </c>
      <c r="X1950" t="s">
        <v>8932</v>
      </c>
      <c r="Y1950">
        <v>0</v>
      </c>
      <c r="Z1950">
        <v>1892</v>
      </c>
    </row>
    <row r="1951" spans="1:26">
      <c r="A1951" s="1">
        <v>1949</v>
      </c>
      <c r="B1951" t="str">
        <f>HYPERLINK("https://bugs.eclipse.org/bugs/show_bug.cgi?id=68584", "68584")</f>
        <v>68584</v>
      </c>
      <c r="C1951" t="s">
        <v>149</v>
      </c>
      <c r="D1951" t="s">
        <v>10</v>
      </c>
      <c r="E1951" t="s">
        <v>12</v>
      </c>
      <c r="F1951" t="s">
        <v>26</v>
      </c>
      <c r="G1951" t="s">
        <v>8933</v>
      </c>
      <c r="L1951" t="s">
        <v>8934</v>
      </c>
      <c r="N1951" t="s">
        <v>8934</v>
      </c>
      <c r="T1951" t="s">
        <v>8935</v>
      </c>
      <c r="U1951" t="s">
        <v>8936</v>
      </c>
      <c r="V1951" t="s">
        <v>8934</v>
      </c>
      <c r="W1951" t="s">
        <v>143</v>
      </c>
      <c r="X1951" t="s">
        <v>8937</v>
      </c>
      <c r="Y1951">
        <v>0</v>
      </c>
      <c r="Z1951">
        <v>130.04166666666671</v>
      </c>
    </row>
    <row r="1952" spans="1:26">
      <c r="A1952" s="1">
        <v>1950</v>
      </c>
      <c r="B1952" t="str">
        <f>HYPERLINK("https://bugs.eclipse.org/bugs/show_bug.cgi?id=68592", "68592")</f>
        <v>68592</v>
      </c>
      <c r="C1952" t="s">
        <v>149</v>
      </c>
      <c r="D1952" t="s">
        <v>10</v>
      </c>
      <c r="E1952" t="s">
        <v>12</v>
      </c>
      <c r="F1952" t="s">
        <v>26</v>
      </c>
      <c r="G1952" t="s">
        <v>8938</v>
      </c>
      <c r="L1952" t="s">
        <v>8939</v>
      </c>
      <c r="N1952" t="s">
        <v>8939</v>
      </c>
      <c r="T1952" t="s">
        <v>8940</v>
      </c>
      <c r="U1952" t="s">
        <v>8941</v>
      </c>
      <c r="V1952" t="s">
        <v>8942</v>
      </c>
      <c r="W1952" t="s">
        <v>851</v>
      </c>
      <c r="X1952" t="s">
        <v>8943</v>
      </c>
      <c r="Y1952">
        <v>0</v>
      </c>
      <c r="Z1952">
        <v>150.04166666666671</v>
      </c>
    </row>
    <row r="1953" spans="1:26">
      <c r="A1953" s="1">
        <v>1951</v>
      </c>
      <c r="B1953" t="str">
        <f>HYPERLINK("https://bugs.eclipse.org/bugs/show_bug.cgi?id=68607", "68607")</f>
        <v>68607</v>
      </c>
      <c r="C1953" t="s">
        <v>140</v>
      </c>
      <c r="D1953" t="s">
        <v>10</v>
      </c>
      <c r="E1953" t="s">
        <v>16</v>
      </c>
      <c r="F1953" t="s">
        <v>26</v>
      </c>
      <c r="L1953" t="s">
        <v>8944</v>
      </c>
      <c r="R1953" t="s">
        <v>8944</v>
      </c>
      <c r="T1953" t="s">
        <v>8945</v>
      </c>
      <c r="U1953" t="s">
        <v>8946</v>
      </c>
      <c r="V1953" t="s">
        <v>8944</v>
      </c>
      <c r="W1953" t="s">
        <v>86</v>
      </c>
      <c r="X1953" t="s">
        <v>8947</v>
      </c>
      <c r="Y1953">
        <v>0</v>
      </c>
      <c r="Z1953">
        <v>649</v>
      </c>
    </row>
    <row r="1954" spans="1:26">
      <c r="A1954" s="1">
        <v>1952</v>
      </c>
      <c r="B1954" t="str">
        <f>HYPERLINK("https://bugs.eclipse.org/bugs/show_bug.cgi?id=68609", "68609")</f>
        <v>68609</v>
      </c>
      <c r="C1954" t="s">
        <v>56</v>
      </c>
      <c r="D1954" t="s">
        <v>10</v>
      </c>
      <c r="E1954" t="s">
        <v>14</v>
      </c>
      <c r="F1954" t="s">
        <v>26</v>
      </c>
      <c r="L1954" t="s">
        <v>8948</v>
      </c>
      <c r="P1954" t="s">
        <v>8949</v>
      </c>
      <c r="T1954" t="s">
        <v>8950</v>
      </c>
      <c r="U1954" t="s">
        <v>8951</v>
      </c>
      <c r="V1954" t="s">
        <v>8949</v>
      </c>
      <c r="W1954" t="s">
        <v>80</v>
      </c>
      <c r="X1954" t="s">
        <v>8952</v>
      </c>
      <c r="Y1954">
        <v>145.04166666666671</v>
      </c>
      <c r="Z1954">
        <v>1892</v>
      </c>
    </row>
    <row r="1955" spans="1:26">
      <c r="A1955" s="1">
        <v>1953</v>
      </c>
      <c r="B1955" t="str">
        <f>HYPERLINK("https://bugs.eclipse.org/bugs/show_bug.cgi?id=68625", "68625")</f>
        <v>68625</v>
      </c>
      <c r="C1955" t="s">
        <v>149</v>
      </c>
      <c r="D1955" t="s">
        <v>10</v>
      </c>
      <c r="E1955" t="s">
        <v>12</v>
      </c>
      <c r="F1955" t="s">
        <v>26</v>
      </c>
      <c r="L1955" t="s">
        <v>8953</v>
      </c>
      <c r="N1955" t="s">
        <v>8953</v>
      </c>
      <c r="T1955" t="s">
        <v>8954</v>
      </c>
      <c r="U1955" t="s">
        <v>8955</v>
      </c>
      <c r="V1955" t="s">
        <v>8953</v>
      </c>
      <c r="W1955" t="s">
        <v>86</v>
      </c>
      <c r="X1955" t="s">
        <v>8956</v>
      </c>
      <c r="Y1955">
        <v>0</v>
      </c>
      <c r="Z1955">
        <v>333</v>
      </c>
    </row>
    <row r="1956" spans="1:26">
      <c r="A1956" s="1">
        <v>1954</v>
      </c>
      <c r="B1956" t="str">
        <f>HYPERLINK("https://bugs.eclipse.org/bugs/show_bug.cgi?id=68708", "68708")</f>
        <v>68708</v>
      </c>
      <c r="C1956" t="s">
        <v>140</v>
      </c>
      <c r="D1956" t="s">
        <v>10</v>
      </c>
      <c r="E1956" t="s">
        <v>16</v>
      </c>
      <c r="F1956" t="s">
        <v>26</v>
      </c>
      <c r="L1956" t="s">
        <v>8957</v>
      </c>
      <c r="R1956" t="s">
        <v>8957</v>
      </c>
      <c r="T1956" t="s">
        <v>8958</v>
      </c>
      <c r="U1956" t="s">
        <v>8957</v>
      </c>
      <c r="V1956" t="s">
        <v>8957</v>
      </c>
      <c r="W1956" t="s">
        <v>86</v>
      </c>
      <c r="X1956" t="s">
        <v>8959</v>
      </c>
      <c r="Y1956">
        <v>0</v>
      </c>
      <c r="Z1956">
        <v>0</v>
      </c>
    </row>
    <row r="1957" spans="1:26">
      <c r="A1957" s="1">
        <v>1955</v>
      </c>
      <c r="B1957" t="str">
        <f>HYPERLINK("https://bugs.eclipse.org/bugs/show_bug.cgi?id=68755", "68755")</f>
        <v>68755</v>
      </c>
      <c r="C1957" t="s">
        <v>56</v>
      </c>
      <c r="D1957" t="s">
        <v>10</v>
      </c>
      <c r="E1957" t="s">
        <v>14</v>
      </c>
      <c r="F1957" t="s">
        <v>26</v>
      </c>
      <c r="L1957" t="s">
        <v>8960</v>
      </c>
      <c r="P1957" t="s">
        <v>8960</v>
      </c>
      <c r="T1957" t="s">
        <v>8961</v>
      </c>
      <c r="U1957" t="s">
        <v>8962</v>
      </c>
      <c r="V1957" t="s">
        <v>8960</v>
      </c>
      <c r="W1957" t="s">
        <v>49</v>
      </c>
      <c r="X1957" t="s">
        <v>8963</v>
      </c>
      <c r="Y1957">
        <v>0</v>
      </c>
      <c r="Z1957">
        <v>717</v>
      </c>
    </row>
    <row r="1958" spans="1:26">
      <c r="A1958" s="1">
        <v>1956</v>
      </c>
      <c r="B1958" t="str">
        <f>HYPERLINK("https://bugs.eclipse.org/bugs/show_bug.cgi?id=68829", "68829")</f>
        <v>68829</v>
      </c>
      <c r="C1958" t="s">
        <v>8964</v>
      </c>
      <c r="D1958" t="s">
        <v>10</v>
      </c>
      <c r="E1958" t="s">
        <v>15</v>
      </c>
      <c r="F1958" t="s">
        <v>26</v>
      </c>
      <c r="L1958" t="s">
        <v>8965</v>
      </c>
      <c r="Q1958" t="s">
        <v>8965</v>
      </c>
      <c r="R1958" t="s">
        <v>8966</v>
      </c>
      <c r="S1958" t="s">
        <v>8967</v>
      </c>
      <c r="T1958" t="s">
        <v>8968</v>
      </c>
      <c r="U1958" t="s">
        <v>8969</v>
      </c>
      <c r="V1958" t="s">
        <v>8965</v>
      </c>
      <c r="W1958" t="s">
        <v>86</v>
      </c>
      <c r="X1958" t="s">
        <v>8970</v>
      </c>
      <c r="Y1958">
        <v>1</v>
      </c>
      <c r="Z1958">
        <v>3</v>
      </c>
    </row>
    <row r="1959" spans="1:26">
      <c r="A1959" s="1">
        <v>1957</v>
      </c>
      <c r="B1959" t="str">
        <f>HYPERLINK("https://bugs.eclipse.org/bugs/show_bug.cgi?id=68846", "68846")</f>
        <v>68846</v>
      </c>
      <c r="C1959" t="s">
        <v>25</v>
      </c>
      <c r="D1959" t="s">
        <v>25</v>
      </c>
      <c r="F1959" t="s">
        <v>26</v>
      </c>
      <c r="T1959" t="s">
        <v>8971</v>
      </c>
      <c r="U1959" t="s">
        <v>8972</v>
      </c>
      <c r="V1959" t="s">
        <v>8973</v>
      </c>
      <c r="W1959" t="s">
        <v>851</v>
      </c>
      <c r="X1959" t="s">
        <v>8974</v>
      </c>
      <c r="Y1959">
        <v>0</v>
      </c>
    </row>
    <row r="1960" spans="1:26">
      <c r="A1960" s="1">
        <v>1958</v>
      </c>
      <c r="B1960" t="str">
        <f>HYPERLINK("https://bugs.eclipse.org/bugs/show_bug.cgi?id=68882", "68882")</f>
        <v>68882</v>
      </c>
      <c r="C1960" t="s">
        <v>140</v>
      </c>
      <c r="D1960" t="s">
        <v>10</v>
      </c>
      <c r="E1960" t="s">
        <v>16</v>
      </c>
      <c r="F1960" t="s">
        <v>26</v>
      </c>
      <c r="L1960" t="s">
        <v>8975</v>
      </c>
      <c r="R1960" t="s">
        <v>8975</v>
      </c>
      <c r="T1960" t="s">
        <v>8976</v>
      </c>
      <c r="U1960" t="s">
        <v>8977</v>
      </c>
      <c r="V1960" t="s">
        <v>8975</v>
      </c>
      <c r="W1960" t="s">
        <v>86</v>
      </c>
      <c r="X1960" t="s">
        <v>8978</v>
      </c>
      <c r="Y1960">
        <v>0</v>
      </c>
      <c r="Z1960">
        <v>1</v>
      </c>
    </row>
    <row r="1961" spans="1:26">
      <c r="A1961" s="1">
        <v>1959</v>
      </c>
      <c r="B1961" t="str">
        <f>HYPERLINK("https://bugs.eclipse.org/bugs/show_bug.cgi?id=68902", "68902")</f>
        <v>68902</v>
      </c>
      <c r="C1961" t="s">
        <v>191</v>
      </c>
      <c r="D1961" t="s">
        <v>192</v>
      </c>
      <c r="E1961" t="s">
        <v>14</v>
      </c>
      <c r="F1961" t="s">
        <v>26</v>
      </c>
      <c r="G1961" t="s">
        <v>8979</v>
      </c>
      <c r="T1961" t="s">
        <v>8980</v>
      </c>
      <c r="U1961" t="s">
        <v>8981</v>
      </c>
      <c r="V1961" t="s">
        <v>8982</v>
      </c>
      <c r="W1961" t="s">
        <v>65</v>
      </c>
      <c r="X1961" t="s">
        <v>8983</v>
      </c>
      <c r="Y1961">
        <v>1</v>
      </c>
      <c r="Z1961">
        <v>5242.041666666667</v>
      </c>
    </row>
    <row r="1962" spans="1:26">
      <c r="A1962" s="1">
        <v>1960</v>
      </c>
      <c r="B1962" t="str">
        <f>HYPERLINK("https://bugs.eclipse.org/bugs/show_bug.cgi?id=68903", "68903")</f>
        <v>68903</v>
      </c>
      <c r="C1962" t="s">
        <v>56</v>
      </c>
      <c r="D1962" t="s">
        <v>10</v>
      </c>
      <c r="E1962" t="s">
        <v>14</v>
      </c>
      <c r="F1962" t="s">
        <v>51</v>
      </c>
      <c r="L1962" t="s">
        <v>8984</v>
      </c>
      <c r="P1962" t="s">
        <v>8985</v>
      </c>
      <c r="T1962" t="s">
        <v>8986</v>
      </c>
      <c r="U1962" t="s">
        <v>8984</v>
      </c>
      <c r="V1962" t="s">
        <v>8985</v>
      </c>
      <c r="W1962" t="s">
        <v>75</v>
      </c>
      <c r="X1962" t="s">
        <v>8987</v>
      </c>
      <c r="Y1962">
        <v>1</v>
      </c>
      <c r="Z1962">
        <v>1888</v>
      </c>
    </row>
    <row r="1963" spans="1:26">
      <c r="A1963" s="1">
        <v>1961</v>
      </c>
      <c r="B1963" t="str">
        <f>HYPERLINK("https://bugs.eclipse.org/bugs/show_bug.cgi?id=68905", "68905")</f>
        <v>68905</v>
      </c>
      <c r="C1963" t="s">
        <v>8988</v>
      </c>
      <c r="D1963" t="s">
        <v>10</v>
      </c>
      <c r="E1963" t="s">
        <v>15</v>
      </c>
      <c r="F1963" t="s">
        <v>26</v>
      </c>
      <c r="L1963" t="s">
        <v>8989</v>
      </c>
      <c r="Q1963" t="s">
        <v>8989</v>
      </c>
      <c r="T1963" t="s">
        <v>8990</v>
      </c>
      <c r="U1963" t="s">
        <v>8991</v>
      </c>
      <c r="V1963" t="s">
        <v>8989</v>
      </c>
      <c r="W1963" t="s">
        <v>86</v>
      </c>
      <c r="X1963" t="s">
        <v>8992</v>
      </c>
      <c r="Y1963">
        <v>0</v>
      </c>
      <c r="Z1963">
        <v>48</v>
      </c>
    </row>
    <row r="1964" spans="1:26">
      <c r="A1964" s="1">
        <v>1962</v>
      </c>
      <c r="B1964" t="str">
        <f>HYPERLINK("https://bugs.eclipse.org/bugs/show_bug.cgi?id=68909", "68909")</f>
        <v>68909</v>
      </c>
      <c r="C1964" t="s">
        <v>56</v>
      </c>
      <c r="D1964" t="s">
        <v>10</v>
      </c>
      <c r="E1964" t="s">
        <v>14</v>
      </c>
      <c r="F1964" t="s">
        <v>51</v>
      </c>
      <c r="L1964" t="s">
        <v>8993</v>
      </c>
      <c r="P1964" t="s">
        <v>6100</v>
      </c>
      <c r="T1964" t="s">
        <v>8994</v>
      </c>
      <c r="U1964" t="s">
        <v>8993</v>
      </c>
      <c r="V1964" t="s">
        <v>6100</v>
      </c>
      <c r="W1964" t="s">
        <v>80</v>
      </c>
      <c r="X1964" t="s">
        <v>8995</v>
      </c>
      <c r="Y1964">
        <v>1</v>
      </c>
      <c r="Z1964">
        <v>1888</v>
      </c>
    </row>
    <row r="1965" spans="1:26">
      <c r="A1965" s="1">
        <v>1963</v>
      </c>
      <c r="B1965" t="str">
        <f>HYPERLINK("https://bugs.eclipse.org/bugs/show_bug.cgi?id=68975", "68975")</f>
        <v>68975</v>
      </c>
      <c r="C1965" t="s">
        <v>56</v>
      </c>
      <c r="D1965" t="s">
        <v>10</v>
      </c>
      <c r="E1965" t="s">
        <v>14</v>
      </c>
      <c r="F1965" t="s">
        <v>51</v>
      </c>
      <c r="L1965" t="s">
        <v>8996</v>
      </c>
      <c r="P1965" t="s">
        <v>5119</v>
      </c>
      <c r="T1965" t="s">
        <v>8997</v>
      </c>
      <c r="U1965" t="s">
        <v>8996</v>
      </c>
      <c r="V1965" t="s">
        <v>5119</v>
      </c>
      <c r="W1965" t="s">
        <v>75</v>
      </c>
      <c r="X1965" t="s">
        <v>8998</v>
      </c>
      <c r="Y1965">
        <v>0</v>
      </c>
      <c r="Z1965">
        <v>1887</v>
      </c>
    </row>
    <row r="1966" spans="1:26">
      <c r="A1966" s="1">
        <v>1964</v>
      </c>
      <c r="B1966" t="str">
        <f>HYPERLINK("https://bugs.eclipse.org/bugs/show_bug.cgi?id=68983", "68983")</f>
        <v>68983</v>
      </c>
      <c r="C1966" t="s">
        <v>149</v>
      </c>
      <c r="D1966" t="s">
        <v>10</v>
      </c>
      <c r="E1966" t="s">
        <v>12</v>
      </c>
      <c r="F1966" t="s">
        <v>26</v>
      </c>
      <c r="L1966" t="s">
        <v>8999</v>
      </c>
      <c r="N1966" t="s">
        <v>8999</v>
      </c>
      <c r="T1966" t="s">
        <v>9000</v>
      </c>
      <c r="U1966" t="s">
        <v>9001</v>
      </c>
      <c r="V1966" t="s">
        <v>8999</v>
      </c>
      <c r="W1966" t="s">
        <v>2668</v>
      </c>
      <c r="X1966" t="s">
        <v>9002</v>
      </c>
      <c r="Y1966">
        <v>0</v>
      </c>
      <c r="Z1966">
        <v>306</v>
      </c>
    </row>
    <row r="1967" spans="1:26">
      <c r="A1967" s="1">
        <v>1965</v>
      </c>
      <c r="B1967" t="str">
        <f>HYPERLINK("https://bugs.eclipse.org/bugs/show_bug.cgi?id=69004", "69004")</f>
        <v>69004</v>
      </c>
      <c r="C1967" t="s">
        <v>35</v>
      </c>
      <c r="D1967" t="s">
        <v>11</v>
      </c>
      <c r="E1967" t="s">
        <v>12</v>
      </c>
      <c r="F1967" t="s">
        <v>26</v>
      </c>
      <c r="L1967" t="s">
        <v>9003</v>
      </c>
      <c r="M1967" t="s">
        <v>9004</v>
      </c>
      <c r="N1967" t="s">
        <v>9003</v>
      </c>
      <c r="T1967" t="s">
        <v>9005</v>
      </c>
      <c r="U1967" t="s">
        <v>9006</v>
      </c>
      <c r="V1967" t="s">
        <v>9004</v>
      </c>
      <c r="W1967" t="s">
        <v>851</v>
      </c>
      <c r="X1967" t="s">
        <v>9007</v>
      </c>
      <c r="Y1967">
        <v>1</v>
      </c>
      <c r="Z1967">
        <v>42</v>
      </c>
    </row>
    <row r="1968" spans="1:26">
      <c r="A1968" s="1">
        <v>1966</v>
      </c>
      <c r="B1968" t="str">
        <f>HYPERLINK("https://bugs.eclipse.org/bugs/show_bug.cgi?id=69020", "69020")</f>
        <v>69020</v>
      </c>
      <c r="C1968" t="s">
        <v>149</v>
      </c>
      <c r="D1968" t="s">
        <v>10</v>
      </c>
      <c r="E1968" t="s">
        <v>12</v>
      </c>
      <c r="F1968" t="s">
        <v>26</v>
      </c>
      <c r="L1968" t="s">
        <v>9008</v>
      </c>
      <c r="N1968" t="s">
        <v>9008</v>
      </c>
      <c r="T1968" t="s">
        <v>9009</v>
      </c>
      <c r="U1968" t="s">
        <v>9010</v>
      </c>
      <c r="V1968" t="s">
        <v>9008</v>
      </c>
      <c r="W1968" t="s">
        <v>851</v>
      </c>
      <c r="X1968" t="s">
        <v>9011</v>
      </c>
      <c r="Y1968">
        <v>1</v>
      </c>
      <c r="Z1968">
        <v>6</v>
      </c>
    </row>
    <row r="1969" spans="1:26">
      <c r="A1969" s="1">
        <v>1967</v>
      </c>
      <c r="B1969" t="str">
        <f>HYPERLINK("https://bugs.eclipse.org/bugs/show_bug.cgi?id=69038", "69038")</f>
        <v>69038</v>
      </c>
      <c r="C1969" t="s">
        <v>56</v>
      </c>
      <c r="D1969" t="s">
        <v>10</v>
      </c>
      <c r="E1969" t="s">
        <v>14</v>
      </c>
      <c r="F1969" t="s">
        <v>26</v>
      </c>
      <c r="L1969" t="s">
        <v>9012</v>
      </c>
      <c r="P1969" t="s">
        <v>9013</v>
      </c>
      <c r="T1969" t="s">
        <v>9014</v>
      </c>
      <c r="U1969" t="s">
        <v>9012</v>
      </c>
      <c r="V1969" t="s">
        <v>9013</v>
      </c>
      <c r="W1969" t="s">
        <v>80</v>
      </c>
      <c r="X1969" t="s">
        <v>9015</v>
      </c>
      <c r="Y1969">
        <v>0</v>
      </c>
      <c r="Z1969">
        <v>1887</v>
      </c>
    </row>
    <row r="1970" spans="1:26">
      <c r="A1970" s="1">
        <v>1968</v>
      </c>
      <c r="B1970" t="str">
        <f>HYPERLINK("https://bugs.eclipse.org/bugs/show_bug.cgi?id=69241", "69241")</f>
        <v>69241</v>
      </c>
      <c r="C1970" t="s">
        <v>9016</v>
      </c>
      <c r="D1970" t="s">
        <v>10</v>
      </c>
      <c r="E1970" t="s">
        <v>15</v>
      </c>
      <c r="F1970" t="s">
        <v>26</v>
      </c>
      <c r="L1970" t="s">
        <v>9017</v>
      </c>
      <c r="Q1970" t="s">
        <v>9017</v>
      </c>
      <c r="T1970" t="s">
        <v>9018</v>
      </c>
      <c r="U1970" t="s">
        <v>9019</v>
      </c>
      <c r="V1970" t="s">
        <v>9017</v>
      </c>
      <c r="W1970" t="s">
        <v>851</v>
      </c>
      <c r="X1970" t="s">
        <v>9020</v>
      </c>
      <c r="Y1970">
        <v>0</v>
      </c>
      <c r="Z1970">
        <v>2</v>
      </c>
    </row>
    <row r="1971" spans="1:26">
      <c r="A1971" s="1">
        <v>1969</v>
      </c>
      <c r="B1971" t="str">
        <f>HYPERLINK("https://bugs.eclipse.org/bugs/show_bug.cgi?id=69293", "69293")</f>
        <v>69293</v>
      </c>
      <c r="C1971" t="s">
        <v>88</v>
      </c>
      <c r="D1971" t="s">
        <v>10</v>
      </c>
      <c r="E1971" t="s">
        <v>13</v>
      </c>
      <c r="F1971" t="s">
        <v>26</v>
      </c>
      <c r="L1971" t="s">
        <v>9021</v>
      </c>
      <c r="O1971" t="s">
        <v>9021</v>
      </c>
      <c r="S1971" t="s">
        <v>9022</v>
      </c>
      <c r="T1971" t="s">
        <v>9023</v>
      </c>
      <c r="U1971" t="s">
        <v>9024</v>
      </c>
      <c r="V1971" t="s">
        <v>9021</v>
      </c>
      <c r="W1971" t="s">
        <v>9025</v>
      </c>
      <c r="X1971" t="s">
        <v>9026</v>
      </c>
      <c r="Y1971">
        <v>1</v>
      </c>
      <c r="Z1971">
        <v>7</v>
      </c>
    </row>
    <row r="1972" spans="1:26">
      <c r="A1972" s="1">
        <v>1970</v>
      </c>
      <c r="B1972" t="str">
        <f>HYPERLINK("https://bugs.eclipse.org/bugs/show_bug.cgi?id=69301", "69301")</f>
        <v>69301</v>
      </c>
      <c r="C1972" t="s">
        <v>56</v>
      </c>
      <c r="D1972" t="s">
        <v>10</v>
      </c>
      <c r="E1972" t="s">
        <v>14</v>
      </c>
      <c r="F1972" t="s">
        <v>26</v>
      </c>
      <c r="L1972" t="s">
        <v>9027</v>
      </c>
      <c r="P1972" t="s">
        <v>1935</v>
      </c>
      <c r="T1972" t="s">
        <v>9028</v>
      </c>
      <c r="U1972" t="s">
        <v>9029</v>
      </c>
      <c r="V1972" t="s">
        <v>1935</v>
      </c>
      <c r="W1972" t="s">
        <v>75</v>
      </c>
      <c r="X1972" t="s">
        <v>9030</v>
      </c>
      <c r="Y1972">
        <v>0</v>
      </c>
      <c r="Z1972">
        <v>1882</v>
      </c>
    </row>
    <row r="1973" spans="1:26">
      <c r="A1973" s="1">
        <v>1971</v>
      </c>
      <c r="B1973" t="str">
        <f>HYPERLINK("https://bugs.eclipse.org/bugs/show_bug.cgi?id=69307", "69307")</f>
        <v>69307</v>
      </c>
      <c r="C1973" t="s">
        <v>149</v>
      </c>
      <c r="D1973" t="s">
        <v>10</v>
      </c>
      <c r="E1973" t="s">
        <v>12</v>
      </c>
      <c r="F1973" t="s">
        <v>460</v>
      </c>
      <c r="G1973" t="s">
        <v>9031</v>
      </c>
      <c r="L1973" t="s">
        <v>9032</v>
      </c>
      <c r="N1973" t="s">
        <v>9032</v>
      </c>
      <c r="S1973" t="s">
        <v>9033</v>
      </c>
      <c r="T1973" t="s">
        <v>9034</v>
      </c>
      <c r="U1973" t="s">
        <v>9035</v>
      </c>
      <c r="V1973" t="s">
        <v>9032</v>
      </c>
      <c r="W1973" t="s">
        <v>86</v>
      </c>
      <c r="X1973" t="s">
        <v>9036</v>
      </c>
      <c r="Y1973">
        <v>0</v>
      </c>
      <c r="Z1973">
        <v>21</v>
      </c>
    </row>
    <row r="1974" spans="1:26">
      <c r="A1974" s="1">
        <v>1972</v>
      </c>
      <c r="B1974" t="str">
        <f>HYPERLINK("https://bugs.eclipse.org/bugs/show_bug.cgi?id=69336", "69336")</f>
        <v>69336</v>
      </c>
      <c r="C1974" t="s">
        <v>4692</v>
      </c>
      <c r="D1974" t="s">
        <v>4692</v>
      </c>
      <c r="F1974" t="s">
        <v>26</v>
      </c>
      <c r="T1974" t="s">
        <v>9037</v>
      </c>
      <c r="U1974" t="s">
        <v>9038</v>
      </c>
      <c r="V1974" t="s">
        <v>9039</v>
      </c>
      <c r="W1974" t="s">
        <v>65</v>
      </c>
      <c r="X1974" t="s">
        <v>9040</v>
      </c>
      <c r="Y1974">
        <v>0</v>
      </c>
    </row>
    <row r="1975" spans="1:26">
      <c r="A1975" s="1">
        <v>1973</v>
      </c>
      <c r="B1975" t="str">
        <f>HYPERLINK("https://bugs.eclipse.org/bugs/show_bug.cgi?id=69450", "69450")</f>
        <v>69450</v>
      </c>
      <c r="C1975" t="s">
        <v>149</v>
      </c>
      <c r="D1975" t="s">
        <v>10</v>
      </c>
      <c r="E1975" t="s">
        <v>12</v>
      </c>
      <c r="F1975" t="s">
        <v>26</v>
      </c>
      <c r="L1975" t="s">
        <v>9041</v>
      </c>
      <c r="N1975" t="s">
        <v>9042</v>
      </c>
      <c r="P1975" t="s">
        <v>9043</v>
      </c>
      <c r="T1975" t="s">
        <v>9044</v>
      </c>
      <c r="U1975" t="s">
        <v>9045</v>
      </c>
      <c r="V1975" t="s">
        <v>9042</v>
      </c>
      <c r="W1975" t="s">
        <v>143</v>
      </c>
      <c r="X1975" t="s">
        <v>9046</v>
      </c>
      <c r="Y1975">
        <v>0</v>
      </c>
      <c r="Z1975">
        <v>3108.041666666667</v>
      </c>
    </row>
    <row r="1976" spans="1:26">
      <c r="A1976" s="1">
        <v>1974</v>
      </c>
      <c r="B1976" t="str">
        <f>HYPERLINK("https://bugs.eclipse.org/bugs/show_bug.cgi?id=69483", "69483")</f>
        <v>69483</v>
      </c>
      <c r="C1976" t="s">
        <v>9047</v>
      </c>
      <c r="D1976" t="s">
        <v>10</v>
      </c>
      <c r="E1976" t="s">
        <v>15</v>
      </c>
      <c r="F1976" t="s">
        <v>26</v>
      </c>
      <c r="L1976" t="s">
        <v>9048</v>
      </c>
      <c r="Q1976" t="s">
        <v>9048</v>
      </c>
      <c r="S1976" t="s">
        <v>9049</v>
      </c>
      <c r="T1976" t="s">
        <v>9050</v>
      </c>
      <c r="U1976" t="s">
        <v>9051</v>
      </c>
      <c r="V1976" t="s">
        <v>9048</v>
      </c>
      <c r="W1976" t="s">
        <v>86</v>
      </c>
      <c r="X1976" t="s">
        <v>9052</v>
      </c>
      <c r="Y1976">
        <v>0</v>
      </c>
      <c r="Z1976">
        <v>5</v>
      </c>
    </row>
    <row r="1977" spans="1:26">
      <c r="A1977" s="1">
        <v>1975</v>
      </c>
      <c r="B1977" t="str">
        <f>HYPERLINK("https://bugs.eclipse.org/bugs/show_bug.cgi?id=69499", "69499")</f>
        <v>69499</v>
      </c>
      <c r="C1977" t="s">
        <v>88</v>
      </c>
      <c r="D1977" t="s">
        <v>10</v>
      </c>
      <c r="E1977" t="s">
        <v>13</v>
      </c>
      <c r="F1977" t="s">
        <v>26</v>
      </c>
      <c r="L1977" t="s">
        <v>9053</v>
      </c>
      <c r="O1977" t="s">
        <v>9053</v>
      </c>
      <c r="T1977" t="s">
        <v>9054</v>
      </c>
      <c r="U1977" t="s">
        <v>9053</v>
      </c>
      <c r="V1977" t="s">
        <v>9053</v>
      </c>
      <c r="W1977" t="s">
        <v>86</v>
      </c>
      <c r="X1977" t="s">
        <v>9055</v>
      </c>
      <c r="Y1977">
        <v>1</v>
      </c>
      <c r="Z1977">
        <v>1</v>
      </c>
    </row>
    <row r="1978" spans="1:26">
      <c r="A1978" s="1">
        <v>1976</v>
      </c>
      <c r="B1978" t="str">
        <f>HYPERLINK("https://bugs.eclipse.org/bugs/show_bug.cgi?id=69520", "69520")</f>
        <v>69520</v>
      </c>
      <c r="C1978" t="s">
        <v>56</v>
      </c>
      <c r="D1978" t="s">
        <v>10</v>
      </c>
      <c r="E1978" t="s">
        <v>14</v>
      </c>
      <c r="F1978" t="s">
        <v>26</v>
      </c>
      <c r="L1978" t="s">
        <v>9056</v>
      </c>
      <c r="P1978" t="s">
        <v>9057</v>
      </c>
      <c r="T1978" t="s">
        <v>9058</v>
      </c>
      <c r="U1978" t="s">
        <v>9056</v>
      </c>
      <c r="V1978" t="s">
        <v>9057</v>
      </c>
      <c r="W1978" t="s">
        <v>80</v>
      </c>
      <c r="X1978" t="s">
        <v>9059</v>
      </c>
      <c r="Y1978">
        <v>1</v>
      </c>
      <c r="Z1978">
        <v>1880</v>
      </c>
    </row>
    <row r="1979" spans="1:26">
      <c r="A1979" s="1">
        <v>1977</v>
      </c>
      <c r="B1979" t="str">
        <f>HYPERLINK("https://bugs.eclipse.org/bugs/show_bug.cgi?id=69590", "69590")</f>
        <v>69590</v>
      </c>
      <c r="C1979" t="s">
        <v>140</v>
      </c>
      <c r="D1979" t="s">
        <v>10</v>
      </c>
      <c r="E1979" t="s">
        <v>16</v>
      </c>
      <c r="F1979" t="s">
        <v>26</v>
      </c>
      <c r="L1979" t="s">
        <v>9060</v>
      </c>
      <c r="R1979" t="s">
        <v>9060</v>
      </c>
      <c r="T1979" t="s">
        <v>9061</v>
      </c>
      <c r="U1979" t="s">
        <v>9062</v>
      </c>
      <c r="V1979" t="s">
        <v>9060</v>
      </c>
      <c r="W1979" t="s">
        <v>86</v>
      </c>
      <c r="X1979" t="s">
        <v>9063</v>
      </c>
      <c r="Y1979">
        <v>4</v>
      </c>
      <c r="Z1979">
        <v>636</v>
      </c>
    </row>
    <row r="1980" spans="1:26">
      <c r="A1980" s="1">
        <v>1978</v>
      </c>
      <c r="B1980" t="str">
        <f>HYPERLINK("https://bugs.eclipse.org/bugs/show_bug.cgi?id=69685", "69685")</f>
        <v>69685</v>
      </c>
      <c r="C1980" t="s">
        <v>4692</v>
      </c>
      <c r="D1980" t="s">
        <v>4692</v>
      </c>
      <c r="F1980" t="s">
        <v>26</v>
      </c>
      <c r="T1980" t="s">
        <v>9064</v>
      </c>
      <c r="U1980" t="s">
        <v>9065</v>
      </c>
      <c r="V1980" t="s">
        <v>9066</v>
      </c>
      <c r="W1980" t="s">
        <v>49</v>
      </c>
      <c r="X1980" t="s">
        <v>9067</v>
      </c>
      <c r="Y1980">
        <v>9</v>
      </c>
    </row>
    <row r="1981" spans="1:26">
      <c r="A1981" s="1">
        <v>1979</v>
      </c>
      <c r="B1981" t="str">
        <f>HYPERLINK("https://bugs.eclipse.org/bugs/show_bug.cgi?id=69689", "69689")</f>
        <v>69689</v>
      </c>
      <c r="C1981" t="s">
        <v>149</v>
      </c>
      <c r="D1981" t="s">
        <v>10</v>
      </c>
      <c r="E1981" t="s">
        <v>12</v>
      </c>
      <c r="F1981" t="s">
        <v>26</v>
      </c>
      <c r="L1981" t="s">
        <v>9068</v>
      </c>
      <c r="N1981" t="s">
        <v>9068</v>
      </c>
      <c r="T1981" t="s">
        <v>9069</v>
      </c>
      <c r="U1981" t="s">
        <v>9070</v>
      </c>
      <c r="V1981" t="s">
        <v>9068</v>
      </c>
      <c r="W1981" t="s">
        <v>851</v>
      </c>
      <c r="X1981" t="s">
        <v>9071</v>
      </c>
      <c r="Y1981">
        <v>4</v>
      </c>
      <c r="Z1981">
        <v>46</v>
      </c>
    </row>
    <row r="1982" spans="1:26">
      <c r="A1982" s="1">
        <v>1980</v>
      </c>
      <c r="B1982" t="str">
        <f>HYPERLINK("https://bugs.eclipse.org/bugs/show_bug.cgi?id=69696", "69696")</f>
        <v>69696</v>
      </c>
      <c r="C1982" t="s">
        <v>88</v>
      </c>
      <c r="D1982" t="s">
        <v>10</v>
      </c>
      <c r="E1982" t="s">
        <v>13</v>
      </c>
      <c r="F1982" t="s">
        <v>26</v>
      </c>
      <c r="L1982" t="s">
        <v>9072</v>
      </c>
      <c r="O1982" t="s">
        <v>9072</v>
      </c>
      <c r="T1982" t="s">
        <v>9073</v>
      </c>
      <c r="U1982" t="s">
        <v>9072</v>
      </c>
      <c r="V1982" t="s">
        <v>9072</v>
      </c>
      <c r="W1982" t="s">
        <v>86</v>
      </c>
      <c r="X1982" t="s">
        <v>9074</v>
      </c>
      <c r="Y1982">
        <v>3</v>
      </c>
      <c r="Z1982">
        <v>3</v>
      </c>
    </row>
    <row r="1983" spans="1:26">
      <c r="A1983" s="1">
        <v>1981</v>
      </c>
      <c r="B1983" t="str">
        <f>HYPERLINK("https://bugs.eclipse.org/bugs/show_bug.cgi?id=69700", "69700")</f>
        <v>69700</v>
      </c>
      <c r="C1983" t="s">
        <v>56</v>
      </c>
      <c r="D1983" t="s">
        <v>10</v>
      </c>
      <c r="E1983" t="s">
        <v>14</v>
      </c>
      <c r="F1983" t="s">
        <v>26</v>
      </c>
      <c r="L1983" t="s">
        <v>9075</v>
      </c>
      <c r="P1983" t="s">
        <v>9075</v>
      </c>
      <c r="T1983" t="s">
        <v>9076</v>
      </c>
      <c r="U1983" t="s">
        <v>9077</v>
      </c>
      <c r="V1983" t="s">
        <v>9075</v>
      </c>
      <c r="W1983" t="s">
        <v>2668</v>
      </c>
      <c r="X1983" t="s">
        <v>9078</v>
      </c>
      <c r="Y1983">
        <v>3</v>
      </c>
      <c r="Z1983">
        <v>320</v>
      </c>
    </row>
    <row r="1984" spans="1:26">
      <c r="A1984" s="1">
        <v>1982</v>
      </c>
      <c r="B1984" t="str">
        <f>HYPERLINK("https://bugs.eclipse.org/bugs/show_bug.cgi?id=69765", "69765")</f>
        <v>69765</v>
      </c>
      <c r="C1984" t="s">
        <v>56</v>
      </c>
      <c r="D1984" t="s">
        <v>10</v>
      </c>
      <c r="E1984" t="s">
        <v>14</v>
      </c>
      <c r="F1984" t="s">
        <v>51</v>
      </c>
      <c r="L1984" t="s">
        <v>9079</v>
      </c>
      <c r="P1984" t="s">
        <v>9080</v>
      </c>
      <c r="T1984" t="s">
        <v>9081</v>
      </c>
      <c r="U1984" t="s">
        <v>9082</v>
      </c>
      <c r="V1984" t="s">
        <v>9080</v>
      </c>
      <c r="W1984" t="s">
        <v>75</v>
      </c>
      <c r="X1984" t="s">
        <v>9083</v>
      </c>
      <c r="Y1984">
        <v>0</v>
      </c>
      <c r="Z1984">
        <v>1878</v>
      </c>
    </row>
    <row r="1985" spans="1:26">
      <c r="A1985" s="1">
        <v>1983</v>
      </c>
      <c r="B1985" t="str">
        <f>HYPERLINK("https://bugs.eclipse.org/bugs/show_bug.cgi?id=69802", "69802")</f>
        <v>69802</v>
      </c>
      <c r="C1985" t="s">
        <v>56</v>
      </c>
      <c r="D1985" t="s">
        <v>10</v>
      </c>
      <c r="E1985" t="s">
        <v>14</v>
      </c>
      <c r="F1985" t="s">
        <v>51</v>
      </c>
      <c r="L1985" t="s">
        <v>9084</v>
      </c>
      <c r="P1985" t="s">
        <v>9085</v>
      </c>
      <c r="T1985" t="s">
        <v>9086</v>
      </c>
      <c r="U1985" t="s">
        <v>9087</v>
      </c>
      <c r="V1985" t="s">
        <v>9085</v>
      </c>
      <c r="W1985" t="s">
        <v>75</v>
      </c>
      <c r="X1985" t="s">
        <v>9088</v>
      </c>
      <c r="Y1985">
        <v>1</v>
      </c>
      <c r="Z1985">
        <v>1876</v>
      </c>
    </row>
    <row r="1986" spans="1:26">
      <c r="A1986" s="1">
        <v>1984</v>
      </c>
      <c r="B1986" t="str">
        <f>HYPERLINK("https://bugs.eclipse.org/bugs/show_bug.cgi?id=69817", "69817")</f>
        <v>69817</v>
      </c>
      <c r="C1986" t="s">
        <v>149</v>
      </c>
      <c r="D1986" t="s">
        <v>10</v>
      </c>
      <c r="E1986" t="s">
        <v>12</v>
      </c>
      <c r="F1986" t="s">
        <v>26</v>
      </c>
      <c r="L1986" t="s">
        <v>9089</v>
      </c>
      <c r="N1986" t="s">
        <v>9089</v>
      </c>
      <c r="T1986" t="s">
        <v>9090</v>
      </c>
      <c r="U1986" t="s">
        <v>9091</v>
      </c>
      <c r="V1986" t="s">
        <v>9089</v>
      </c>
      <c r="W1986" t="s">
        <v>49</v>
      </c>
      <c r="X1986" t="s">
        <v>9092</v>
      </c>
      <c r="Y1986">
        <v>0</v>
      </c>
      <c r="Z1986">
        <v>94</v>
      </c>
    </row>
    <row r="1987" spans="1:26">
      <c r="A1987" s="1">
        <v>1985</v>
      </c>
      <c r="B1987" t="str">
        <f>HYPERLINK("https://bugs.eclipse.org/bugs/show_bug.cgi?id=69964", "69964")</f>
        <v>69964</v>
      </c>
      <c r="C1987" t="s">
        <v>9016</v>
      </c>
      <c r="D1987" t="s">
        <v>10</v>
      </c>
      <c r="E1987" t="s">
        <v>15</v>
      </c>
      <c r="F1987" t="s">
        <v>26</v>
      </c>
      <c r="L1987" t="s">
        <v>9093</v>
      </c>
      <c r="Q1987" t="s">
        <v>9093</v>
      </c>
      <c r="T1987" t="s">
        <v>9094</v>
      </c>
      <c r="U1987" t="s">
        <v>9095</v>
      </c>
      <c r="V1987" t="s">
        <v>9093</v>
      </c>
      <c r="W1987" t="s">
        <v>851</v>
      </c>
      <c r="X1987" t="s">
        <v>9096</v>
      </c>
      <c r="Y1987">
        <v>0</v>
      </c>
      <c r="Z1987">
        <v>8</v>
      </c>
    </row>
    <row r="1988" spans="1:26">
      <c r="A1988" s="1">
        <v>1986</v>
      </c>
      <c r="B1988" t="str">
        <f>HYPERLINK("https://bugs.eclipse.org/bugs/show_bug.cgi?id=70135", "70135")</f>
        <v>70135</v>
      </c>
      <c r="C1988" t="s">
        <v>149</v>
      </c>
      <c r="D1988" t="s">
        <v>10</v>
      </c>
      <c r="E1988" t="s">
        <v>12</v>
      </c>
      <c r="F1988" t="s">
        <v>26</v>
      </c>
      <c r="L1988" t="s">
        <v>9097</v>
      </c>
      <c r="N1988" t="s">
        <v>9097</v>
      </c>
      <c r="S1988" t="s">
        <v>9098</v>
      </c>
      <c r="T1988" t="s">
        <v>9099</v>
      </c>
      <c r="U1988" t="s">
        <v>9100</v>
      </c>
      <c r="V1988" t="s">
        <v>9097</v>
      </c>
      <c r="W1988" t="s">
        <v>851</v>
      </c>
      <c r="X1988" t="s">
        <v>9101</v>
      </c>
      <c r="Y1988">
        <v>1</v>
      </c>
      <c r="Z1988">
        <v>537.04166666666663</v>
      </c>
    </row>
    <row r="1989" spans="1:26">
      <c r="A1989" s="1">
        <v>1987</v>
      </c>
      <c r="B1989" t="str">
        <f>HYPERLINK("https://bugs.eclipse.org/bugs/show_bug.cgi?id=70151", "70151")</f>
        <v>70151</v>
      </c>
      <c r="C1989" t="s">
        <v>191</v>
      </c>
      <c r="D1989" t="s">
        <v>192</v>
      </c>
      <c r="E1989" t="s">
        <v>14</v>
      </c>
      <c r="F1989" t="s">
        <v>51</v>
      </c>
      <c r="G1989" t="s">
        <v>9102</v>
      </c>
      <c r="P1989" t="s">
        <v>9103</v>
      </c>
      <c r="T1989" t="s">
        <v>9104</v>
      </c>
      <c r="U1989" t="s">
        <v>9105</v>
      </c>
      <c r="V1989" t="s">
        <v>9103</v>
      </c>
      <c r="W1989" t="s">
        <v>65</v>
      </c>
      <c r="X1989" t="s">
        <v>9106</v>
      </c>
      <c r="Y1989">
        <v>4</v>
      </c>
      <c r="Z1989">
        <v>5671.041666666667</v>
      </c>
    </row>
    <row r="1990" spans="1:26">
      <c r="A1990" s="1">
        <v>1988</v>
      </c>
      <c r="B1990" t="str">
        <f>HYPERLINK("https://bugs.eclipse.org/bugs/show_bug.cgi?id=70181", "70181")</f>
        <v>70181</v>
      </c>
      <c r="C1990" t="s">
        <v>9016</v>
      </c>
      <c r="D1990" t="s">
        <v>10</v>
      </c>
      <c r="E1990" t="s">
        <v>15</v>
      </c>
      <c r="F1990" t="s">
        <v>26</v>
      </c>
      <c r="L1990" t="s">
        <v>9107</v>
      </c>
      <c r="Q1990" t="s">
        <v>9107</v>
      </c>
      <c r="T1990" t="s">
        <v>9108</v>
      </c>
      <c r="U1990" t="s">
        <v>9109</v>
      </c>
      <c r="V1990" t="s">
        <v>9107</v>
      </c>
      <c r="W1990" t="s">
        <v>851</v>
      </c>
      <c r="X1990" t="s">
        <v>9110</v>
      </c>
      <c r="Y1990">
        <v>3</v>
      </c>
      <c r="Z1990">
        <v>3</v>
      </c>
    </row>
    <row r="1991" spans="1:26">
      <c r="A1991" s="1">
        <v>1989</v>
      </c>
      <c r="B1991" t="str">
        <f>HYPERLINK("https://bugs.eclipse.org/bugs/show_bug.cgi?id=70346", "70346")</f>
        <v>70346</v>
      </c>
      <c r="C1991" t="s">
        <v>56</v>
      </c>
      <c r="D1991" t="s">
        <v>10</v>
      </c>
      <c r="E1991" t="s">
        <v>14</v>
      </c>
      <c r="F1991" t="s">
        <v>26</v>
      </c>
      <c r="L1991" t="s">
        <v>9111</v>
      </c>
      <c r="P1991" t="s">
        <v>733</v>
      </c>
      <c r="T1991" t="s">
        <v>9112</v>
      </c>
      <c r="U1991" t="s">
        <v>9113</v>
      </c>
      <c r="V1991" t="s">
        <v>733</v>
      </c>
      <c r="W1991" t="s">
        <v>80</v>
      </c>
      <c r="X1991" t="s">
        <v>9114</v>
      </c>
      <c r="Y1991">
        <v>0</v>
      </c>
      <c r="Z1991">
        <v>1868</v>
      </c>
    </row>
    <row r="1992" spans="1:26">
      <c r="A1992" s="1">
        <v>1990</v>
      </c>
      <c r="B1992" t="str">
        <f>HYPERLINK("https://bugs.eclipse.org/bugs/show_bug.cgi?id=70388", "70388")</f>
        <v>70388</v>
      </c>
      <c r="C1992" t="s">
        <v>140</v>
      </c>
      <c r="D1992" t="s">
        <v>10</v>
      </c>
      <c r="E1992" t="s">
        <v>16</v>
      </c>
      <c r="F1992" t="s">
        <v>26</v>
      </c>
      <c r="L1992" t="s">
        <v>9115</v>
      </c>
      <c r="R1992" t="s">
        <v>9115</v>
      </c>
      <c r="T1992" t="s">
        <v>9116</v>
      </c>
      <c r="U1992" t="s">
        <v>9117</v>
      </c>
      <c r="V1992" t="s">
        <v>9115</v>
      </c>
      <c r="W1992" t="s">
        <v>851</v>
      </c>
      <c r="X1992" t="s">
        <v>9118</v>
      </c>
      <c r="Y1992">
        <v>1</v>
      </c>
      <c r="Z1992">
        <v>1</v>
      </c>
    </row>
    <row r="1993" spans="1:26">
      <c r="A1993" s="1">
        <v>1991</v>
      </c>
      <c r="B1993" t="str">
        <f>HYPERLINK("https://bugs.eclipse.org/bugs/show_bug.cgi?id=70497", "70497")</f>
        <v>70497</v>
      </c>
      <c r="C1993" t="s">
        <v>149</v>
      </c>
      <c r="D1993" t="s">
        <v>10</v>
      </c>
      <c r="E1993" t="s">
        <v>12</v>
      </c>
      <c r="F1993" t="s">
        <v>26</v>
      </c>
      <c r="L1993" t="s">
        <v>9119</v>
      </c>
      <c r="N1993" t="s">
        <v>9119</v>
      </c>
      <c r="T1993" t="s">
        <v>9120</v>
      </c>
      <c r="U1993" t="s">
        <v>9121</v>
      </c>
      <c r="V1993" t="s">
        <v>9119</v>
      </c>
      <c r="W1993" t="s">
        <v>86</v>
      </c>
      <c r="X1993" t="s">
        <v>9122</v>
      </c>
      <c r="Y1993">
        <v>1</v>
      </c>
      <c r="Z1993">
        <v>6</v>
      </c>
    </row>
    <row r="1994" spans="1:26">
      <c r="A1994" s="1">
        <v>1992</v>
      </c>
      <c r="B1994" t="str">
        <f>HYPERLINK("https://bugs.eclipse.org/bugs/show_bug.cgi?id=70804", "70804")</f>
        <v>70804</v>
      </c>
      <c r="C1994" t="s">
        <v>56</v>
      </c>
      <c r="D1994" t="s">
        <v>10</v>
      </c>
      <c r="E1994" t="s">
        <v>14</v>
      </c>
      <c r="F1994" t="s">
        <v>26</v>
      </c>
      <c r="L1994" t="s">
        <v>9123</v>
      </c>
      <c r="P1994" t="s">
        <v>9123</v>
      </c>
      <c r="T1994" t="s">
        <v>9124</v>
      </c>
      <c r="U1994" t="s">
        <v>9125</v>
      </c>
      <c r="V1994" t="s">
        <v>9123</v>
      </c>
      <c r="W1994" t="s">
        <v>49</v>
      </c>
      <c r="X1994" t="s">
        <v>9126</v>
      </c>
      <c r="Y1994">
        <v>715</v>
      </c>
      <c r="Z1994">
        <v>724</v>
      </c>
    </row>
    <row r="1995" spans="1:26">
      <c r="A1995" s="1">
        <v>1993</v>
      </c>
      <c r="B1995" t="str">
        <f>HYPERLINK("https://bugs.eclipse.org/bugs/show_bug.cgi?id=70813", "70813")</f>
        <v>70813</v>
      </c>
      <c r="C1995" t="s">
        <v>88</v>
      </c>
      <c r="D1995" t="s">
        <v>10</v>
      </c>
      <c r="E1995" t="s">
        <v>13</v>
      </c>
      <c r="F1995" t="s">
        <v>26</v>
      </c>
      <c r="L1995" t="s">
        <v>9127</v>
      </c>
      <c r="O1995" t="s">
        <v>9128</v>
      </c>
      <c r="T1995" t="s">
        <v>9129</v>
      </c>
      <c r="U1995" t="s">
        <v>9130</v>
      </c>
      <c r="V1995" t="s">
        <v>9128</v>
      </c>
      <c r="W1995" t="s">
        <v>75</v>
      </c>
      <c r="X1995" t="s">
        <v>9131</v>
      </c>
      <c r="Y1995">
        <v>0</v>
      </c>
      <c r="Z1995">
        <v>1861</v>
      </c>
    </row>
    <row r="1996" spans="1:26">
      <c r="A1996" s="1">
        <v>1994</v>
      </c>
      <c r="B1996" t="str">
        <f>HYPERLINK("https://bugs.eclipse.org/bugs/show_bug.cgi?id=70823", "70823")</f>
        <v>70823</v>
      </c>
      <c r="C1996" t="s">
        <v>56</v>
      </c>
      <c r="D1996" t="s">
        <v>10</v>
      </c>
      <c r="E1996" t="s">
        <v>14</v>
      </c>
      <c r="F1996" t="s">
        <v>26</v>
      </c>
      <c r="L1996" t="s">
        <v>9132</v>
      </c>
      <c r="P1996" t="s">
        <v>9132</v>
      </c>
      <c r="T1996" t="s">
        <v>9133</v>
      </c>
      <c r="U1996" t="s">
        <v>9134</v>
      </c>
      <c r="V1996" t="s">
        <v>9132</v>
      </c>
      <c r="W1996" t="s">
        <v>49</v>
      </c>
      <c r="X1996" t="s">
        <v>9135</v>
      </c>
      <c r="Y1996">
        <v>1</v>
      </c>
      <c r="Z1996">
        <v>171.04166666666671</v>
      </c>
    </row>
    <row r="1997" spans="1:26">
      <c r="A1997" s="1">
        <v>1995</v>
      </c>
      <c r="B1997" t="str">
        <f>HYPERLINK("https://bugs.eclipse.org/bugs/show_bug.cgi?id=70922", "70922")</f>
        <v>70922</v>
      </c>
      <c r="C1997" t="s">
        <v>149</v>
      </c>
      <c r="D1997" t="s">
        <v>10</v>
      </c>
      <c r="E1997" t="s">
        <v>12</v>
      </c>
      <c r="F1997" t="s">
        <v>26</v>
      </c>
      <c r="G1997" t="s">
        <v>9136</v>
      </c>
      <c r="L1997" t="s">
        <v>9137</v>
      </c>
      <c r="N1997" t="s">
        <v>9137</v>
      </c>
      <c r="T1997" t="s">
        <v>9138</v>
      </c>
      <c r="U1997" t="s">
        <v>9139</v>
      </c>
      <c r="V1997" t="s">
        <v>9137</v>
      </c>
      <c r="W1997" t="s">
        <v>86</v>
      </c>
      <c r="X1997" t="s">
        <v>9140</v>
      </c>
      <c r="Y1997">
        <v>9</v>
      </c>
      <c r="Z1997">
        <v>27</v>
      </c>
    </row>
    <row r="1998" spans="1:26">
      <c r="A1998" s="1">
        <v>1996</v>
      </c>
      <c r="B1998" t="str">
        <f>HYPERLINK("https://bugs.eclipse.org/bugs/show_bug.cgi?id=71140", "71140")</f>
        <v>71140</v>
      </c>
      <c r="C1998" t="s">
        <v>9016</v>
      </c>
      <c r="D1998" t="s">
        <v>10</v>
      </c>
      <c r="E1998" t="s">
        <v>15</v>
      </c>
      <c r="F1998" t="s">
        <v>26</v>
      </c>
      <c r="L1998" t="s">
        <v>9141</v>
      </c>
      <c r="Q1998" t="s">
        <v>9141</v>
      </c>
      <c r="T1998" t="s">
        <v>9142</v>
      </c>
      <c r="U1998" t="s">
        <v>9143</v>
      </c>
      <c r="V1998" t="s">
        <v>9141</v>
      </c>
      <c r="W1998" t="s">
        <v>851</v>
      </c>
      <c r="X1998" t="s">
        <v>9144</v>
      </c>
      <c r="Y1998">
        <v>12</v>
      </c>
      <c r="Z1998">
        <v>13</v>
      </c>
    </row>
    <row r="1999" spans="1:26">
      <c r="A1999" s="1">
        <v>1997</v>
      </c>
      <c r="B1999" t="str">
        <f>HYPERLINK("https://bugs.eclipse.org/bugs/show_bug.cgi?id=71199", "71199")</f>
        <v>71199</v>
      </c>
      <c r="C1999" t="s">
        <v>149</v>
      </c>
      <c r="D1999" t="s">
        <v>10</v>
      </c>
      <c r="E1999" t="s">
        <v>12</v>
      </c>
      <c r="F1999" t="s">
        <v>26</v>
      </c>
      <c r="L1999" t="s">
        <v>9145</v>
      </c>
      <c r="N1999" t="s">
        <v>9145</v>
      </c>
      <c r="T1999" t="s">
        <v>9146</v>
      </c>
      <c r="U1999" t="s">
        <v>9147</v>
      </c>
      <c r="V1999" t="s">
        <v>9145</v>
      </c>
      <c r="W1999" t="s">
        <v>86</v>
      </c>
      <c r="X1999" t="s">
        <v>9148</v>
      </c>
      <c r="Y1999">
        <v>0</v>
      </c>
      <c r="Z1999">
        <v>1</v>
      </c>
    </row>
    <row r="2000" spans="1:26">
      <c r="A2000" s="1">
        <v>1998</v>
      </c>
      <c r="B2000" t="str">
        <f>HYPERLINK("https://bugs.eclipse.org/bugs/show_bug.cgi?id=71201", "71201")</f>
        <v>71201</v>
      </c>
      <c r="C2000" t="s">
        <v>140</v>
      </c>
      <c r="D2000" t="s">
        <v>10</v>
      </c>
      <c r="E2000" t="s">
        <v>16</v>
      </c>
      <c r="F2000" t="s">
        <v>26</v>
      </c>
      <c r="L2000" t="s">
        <v>9149</v>
      </c>
      <c r="R2000" t="s">
        <v>9149</v>
      </c>
      <c r="T2000" t="s">
        <v>9150</v>
      </c>
      <c r="U2000" t="s">
        <v>9151</v>
      </c>
      <c r="V2000" t="s">
        <v>9149</v>
      </c>
      <c r="W2000" t="s">
        <v>49</v>
      </c>
      <c r="X2000" t="s">
        <v>9152</v>
      </c>
      <c r="Y2000">
        <v>1</v>
      </c>
      <c r="Z2000">
        <v>733</v>
      </c>
    </row>
    <row r="2001" spans="1:26">
      <c r="A2001" s="1">
        <v>1999</v>
      </c>
      <c r="B2001" t="str">
        <f>HYPERLINK("https://bugs.eclipse.org/bugs/show_bug.cgi?id=71204", "71204")</f>
        <v>71204</v>
      </c>
      <c r="C2001" t="s">
        <v>25</v>
      </c>
      <c r="D2001" t="s">
        <v>25</v>
      </c>
      <c r="F2001" t="s">
        <v>26</v>
      </c>
      <c r="T2001" t="s">
        <v>9153</v>
      </c>
      <c r="U2001" t="s">
        <v>9154</v>
      </c>
      <c r="V2001" t="s">
        <v>9155</v>
      </c>
      <c r="W2001" t="s">
        <v>49</v>
      </c>
      <c r="X2001" t="s">
        <v>9156</v>
      </c>
      <c r="Y2001">
        <v>1</v>
      </c>
    </row>
    <row r="2002" spans="1:26">
      <c r="A2002" s="1">
        <v>2000</v>
      </c>
      <c r="B2002" t="str">
        <f>HYPERLINK("https://bugs.eclipse.org/bugs/show_bug.cgi?id=71226", "71226")</f>
        <v>71226</v>
      </c>
      <c r="C2002" t="s">
        <v>9157</v>
      </c>
      <c r="D2002" t="s">
        <v>10</v>
      </c>
      <c r="E2002" t="s">
        <v>15</v>
      </c>
      <c r="F2002" t="s">
        <v>26</v>
      </c>
      <c r="L2002" t="s">
        <v>9158</v>
      </c>
      <c r="Q2002" t="s">
        <v>9158</v>
      </c>
      <c r="T2002" t="s">
        <v>9159</v>
      </c>
      <c r="U2002" t="s">
        <v>9158</v>
      </c>
      <c r="V2002" t="s">
        <v>9158</v>
      </c>
      <c r="W2002" t="s">
        <v>86</v>
      </c>
      <c r="X2002" t="s">
        <v>9160</v>
      </c>
      <c r="Y2002">
        <v>0</v>
      </c>
      <c r="Z2002">
        <v>0</v>
      </c>
    </row>
    <row r="2003" spans="1:26">
      <c r="A2003" s="1">
        <v>2001</v>
      </c>
      <c r="B2003" t="str">
        <f>HYPERLINK("https://bugs.eclipse.org/bugs/show_bug.cgi?id=71280", "71280")</f>
        <v>71280</v>
      </c>
      <c r="C2003" t="s">
        <v>56</v>
      </c>
      <c r="D2003" t="s">
        <v>10</v>
      </c>
      <c r="E2003" t="s">
        <v>14</v>
      </c>
      <c r="F2003" t="s">
        <v>460</v>
      </c>
      <c r="L2003" t="s">
        <v>9161</v>
      </c>
      <c r="P2003" t="s">
        <v>9162</v>
      </c>
      <c r="T2003" t="s">
        <v>9163</v>
      </c>
      <c r="U2003" t="s">
        <v>9161</v>
      </c>
      <c r="V2003" t="s">
        <v>9162</v>
      </c>
      <c r="W2003" t="s">
        <v>80</v>
      </c>
      <c r="X2003" t="s">
        <v>9164</v>
      </c>
      <c r="Y2003">
        <v>0</v>
      </c>
      <c r="Z2003">
        <v>1853</v>
      </c>
    </row>
    <row r="2004" spans="1:26">
      <c r="A2004" s="1">
        <v>2002</v>
      </c>
      <c r="B2004" t="str">
        <f>HYPERLINK("https://bugs.eclipse.org/bugs/show_bug.cgi?id=71491", "71491")</f>
        <v>71491</v>
      </c>
      <c r="C2004" t="s">
        <v>149</v>
      </c>
      <c r="D2004" t="s">
        <v>10</v>
      </c>
      <c r="E2004" t="s">
        <v>12</v>
      </c>
      <c r="F2004" t="s">
        <v>26</v>
      </c>
      <c r="L2004" t="s">
        <v>9165</v>
      </c>
      <c r="N2004" t="s">
        <v>9165</v>
      </c>
      <c r="T2004" t="s">
        <v>9166</v>
      </c>
      <c r="U2004" t="s">
        <v>9167</v>
      </c>
      <c r="V2004" t="s">
        <v>9165</v>
      </c>
      <c r="W2004" t="s">
        <v>49</v>
      </c>
      <c r="X2004" t="s">
        <v>9168</v>
      </c>
      <c r="Y2004">
        <v>0</v>
      </c>
      <c r="Z2004">
        <v>728</v>
      </c>
    </row>
    <row r="2005" spans="1:26">
      <c r="A2005" s="1">
        <v>2003</v>
      </c>
      <c r="B2005" t="str">
        <f>HYPERLINK("https://bugs.eclipse.org/bugs/show_bug.cgi?id=71496", "71496")</f>
        <v>71496</v>
      </c>
      <c r="C2005" t="s">
        <v>56</v>
      </c>
      <c r="D2005" t="s">
        <v>10</v>
      </c>
      <c r="E2005" t="s">
        <v>14</v>
      </c>
      <c r="F2005" t="s">
        <v>26</v>
      </c>
      <c r="L2005" t="s">
        <v>9169</v>
      </c>
      <c r="P2005" t="s">
        <v>9169</v>
      </c>
      <c r="T2005" t="s">
        <v>9170</v>
      </c>
      <c r="U2005" t="s">
        <v>9171</v>
      </c>
      <c r="V2005" t="s">
        <v>9169</v>
      </c>
      <c r="W2005" t="s">
        <v>49</v>
      </c>
      <c r="X2005" t="s">
        <v>9172</v>
      </c>
      <c r="Y2005">
        <v>0</v>
      </c>
      <c r="Z2005">
        <v>679</v>
      </c>
    </row>
    <row r="2006" spans="1:26">
      <c r="A2006" s="1">
        <v>2004</v>
      </c>
      <c r="B2006" t="str">
        <f>HYPERLINK("https://bugs.eclipse.org/bugs/show_bug.cgi?id=71510", "71510")</f>
        <v>71510</v>
      </c>
      <c r="C2006" t="s">
        <v>4692</v>
      </c>
      <c r="D2006" t="s">
        <v>4692</v>
      </c>
      <c r="F2006" t="s">
        <v>26</v>
      </c>
      <c r="T2006" t="s">
        <v>9173</v>
      </c>
      <c r="U2006" t="s">
        <v>9174</v>
      </c>
      <c r="V2006" t="s">
        <v>9175</v>
      </c>
      <c r="W2006" t="s">
        <v>49</v>
      </c>
      <c r="X2006" t="s">
        <v>9176</v>
      </c>
      <c r="Y2006">
        <v>0</v>
      </c>
    </row>
    <row r="2007" spans="1:26">
      <c r="A2007" s="1">
        <v>2005</v>
      </c>
      <c r="B2007" t="str">
        <f>HYPERLINK("https://bugs.eclipse.org/bugs/show_bug.cgi?id=71575", "71575")</f>
        <v>71575</v>
      </c>
      <c r="C2007" t="s">
        <v>9177</v>
      </c>
      <c r="D2007" t="s">
        <v>192</v>
      </c>
      <c r="E2007" t="s">
        <v>15</v>
      </c>
      <c r="F2007" t="s">
        <v>26</v>
      </c>
      <c r="Q2007" t="s">
        <v>9178</v>
      </c>
      <c r="T2007" t="s">
        <v>9179</v>
      </c>
      <c r="U2007" t="s">
        <v>9180</v>
      </c>
      <c r="V2007" t="s">
        <v>9178</v>
      </c>
      <c r="W2007" t="s">
        <v>9181</v>
      </c>
      <c r="X2007" t="s">
        <v>9182</v>
      </c>
      <c r="Y2007">
        <v>0</v>
      </c>
      <c r="Z2007">
        <v>3353</v>
      </c>
    </row>
    <row r="2008" spans="1:26">
      <c r="A2008" s="1">
        <v>2006</v>
      </c>
      <c r="B2008" t="str">
        <f>HYPERLINK("https://bugs.eclipse.org/bugs/show_bug.cgi?id=71613", "71613")</f>
        <v>71613</v>
      </c>
      <c r="C2008" t="s">
        <v>9157</v>
      </c>
      <c r="D2008" t="s">
        <v>10</v>
      </c>
      <c r="E2008" t="s">
        <v>15</v>
      </c>
      <c r="F2008" t="s">
        <v>26</v>
      </c>
      <c r="L2008" t="s">
        <v>9183</v>
      </c>
      <c r="Q2008" t="s">
        <v>9183</v>
      </c>
      <c r="T2008" t="s">
        <v>9184</v>
      </c>
      <c r="U2008" t="s">
        <v>9183</v>
      </c>
      <c r="V2008" t="s">
        <v>9183</v>
      </c>
      <c r="W2008" t="s">
        <v>851</v>
      </c>
      <c r="X2008" t="s">
        <v>9185</v>
      </c>
      <c r="Y2008">
        <v>2</v>
      </c>
      <c r="Z2008">
        <v>2</v>
      </c>
    </row>
    <row r="2009" spans="1:26">
      <c r="A2009" s="1">
        <v>2007</v>
      </c>
      <c r="B2009" t="str">
        <f>HYPERLINK("https://bugs.eclipse.org/bugs/show_bug.cgi?id=71627", "71627")</f>
        <v>71627</v>
      </c>
      <c r="C2009" t="s">
        <v>149</v>
      </c>
      <c r="D2009" t="s">
        <v>10</v>
      </c>
      <c r="E2009" t="s">
        <v>12</v>
      </c>
      <c r="F2009" t="s">
        <v>26</v>
      </c>
      <c r="G2009" t="s">
        <v>9186</v>
      </c>
      <c r="L2009" t="s">
        <v>9187</v>
      </c>
      <c r="N2009" t="s">
        <v>9187</v>
      </c>
      <c r="P2009" t="s">
        <v>9188</v>
      </c>
      <c r="S2009" t="s">
        <v>9189</v>
      </c>
      <c r="T2009" t="s">
        <v>9190</v>
      </c>
      <c r="U2009" t="s">
        <v>9191</v>
      </c>
      <c r="V2009" t="s">
        <v>9187</v>
      </c>
      <c r="W2009" t="s">
        <v>9181</v>
      </c>
      <c r="X2009" t="s">
        <v>9192</v>
      </c>
      <c r="Y2009">
        <v>3</v>
      </c>
      <c r="Z2009">
        <v>3633</v>
      </c>
    </row>
    <row r="2010" spans="1:26">
      <c r="A2010" s="1">
        <v>2008</v>
      </c>
      <c r="B2010" t="str">
        <f>HYPERLINK("https://bugs.eclipse.org/bugs/show_bug.cgi?id=71662", "71662")</f>
        <v>71662</v>
      </c>
      <c r="C2010" t="s">
        <v>3805</v>
      </c>
      <c r="D2010" t="s">
        <v>10</v>
      </c>
      <c r="E2010" t="s">
        <v>15</v>
      </c>
      <c r="F2010" t="s">
        <v>26</v>
      </c>
      <c r="L2010" t="s">
        <v>9193</v>
      </c>
      <c r="Q2010" t="s">
        <v>9193</v>
      </c>
      <c r="R2010" t="s">
        <v>9194</v>
      </c>
      <c r="S2010" t="s">
        <v>9195</v>
      </c>
      <c r="T2010" t="s">
        <v>9196</v>
      </c>
      <c r="U2010" t="s">
        <v>9197</v>
      </c>
      <c r="V2010" t="s">
        <v>9193</v>
      </c>
      <c r="W2010" t="s">
        <v>851</v>
      </c>
      <c r="X2010" t="s">
        <v>9198</v>
      </c>
      <c r="Y2010">
        <v>1</v>
      </c>
      <c r="Z2010">
        <v>108.0416666666667</v>
      </c>
    </row>
    <row r="2011" spans="1:26">
      <c r="A2011" s="1">
        <v>2009</v>
      </c>
      <c r="B2011" t="str">
        <f>HYPERLINK("https://bugs.eclipse.org/bugs/show_bug.cgi?id=71762", "71762")</f>
        <v>71762</v>
      </c>
      <c r="C2011" t="s">
        <v>5136</v>
      </c>
      <c r="D2011" t="s">
        <v>10</v>
      </c>
      <c r="E2011" t="s">
        <v>15</v>
      </c>
      <c r="F2011" t="s">
        <v>26</v>
      </c>
      <c r="L2011" t="s">
        <v>9199</v>
      </c>
      <c r="Q2011" t="s">
        <v>9199</v>
      </c>
      <c r="T2011" t="s">
        <v>9200</v>
      </c>
      <c r="U2011" t="s">
        <v>9201</v>
      </c>
      <c r="V2011" t="s">
        <v>9199</v>
      </c>
      <c r="W2011" t="s">
        <v>851</v>
      </c>
      <c r="X2011" t="s">
        <v>9202</v>
      </c>
      <c r="Y2011">
        <v>0</v>
      </c>
      <c r="Z2011">
        <v>0</v>
      </c>
    </row>
    <row r="2012" spans="1:26">
      <c r="A2012" s="1">
        <v>2010</v>
      </c>
      <c r="B2012" t="str">
        <f>HYPERLINK("https://bugs.eclipse.org/bugs/show_bug.cgi?id=71772", "71772")</f>
        <v>71772</v>
      </c>
      <c r="C2012" t="s">
        <v>56</v>
      </c>
      <c r="D2012" t="s">
        <v>10</v>
      </c>
      <c r="E2012" t="s">
        <v>14</v>
      </c>
      <c r="F2012" t="s">
        <v>26</v>
      </c>
      <c r="L2012" t="s">
        <v>9203</v>
      </c>
      <c r="P2012" t="s">
        <v>9204</v>
      </c>
      <c r="T2012" t="s">
        <v>9205</v>
      </c>
      <c r="U2012" t="s">
        <v>9206</v>
      </c>
      <c r="V2012" t="s">
        <v>9204</v>
      </c>
      <c r="W2012" t="s">
        <v>75</v>
      </c>
      <c r="X2012" t="s">
        <v>9207</v>
      </c>
      <c r="Y2012">
        <v>0</v>
      </c>
      <c r="Z2012">
        <v>1845</v>
      </c>
    </row>
    <row r="2013" spans="1:26">
      <c r="A2013" s="1">
        <v>2011</v>
      </c>
      <c r="B2013" t="str">
        <f>HYPERLINK("https://bugs.eclipse.org/bugs/show_bug.cgi?id=71875", "71875")</f>
        <v>71875</v>
      </c>
      <c r="C2013" t="s">
        <v>9016</v>
      </c>
      <c r="D2013" t="s">
        <v>10</v>
      </c>
      <c r="E2013" t="s">
        <v>15</v>
      </c>
      <c r="F2013" t="s">
        <v>26</v>
      </c>
      <c r="L2013" t="s">
        <v>9208</v>
      </c>
      <c r="Q2013" t="s">
        <v>9208</v>
      </c>
      <c r="T2013" t="s">
        <v>9209</v>
      </c>
      <c r="U2013" t="s">
        <v>9208</v>
      </c>
      <c r="V2013" t="s">
        <v>9208</v>
      </c>
      <c r="W2013" t="s">
        <v>851</v>
      </c>
      <c r="X2013" t="s">
        <v>9210</v>
      </c>
      <c r="Y2013">
        <v>0</v>
      </c>
      <c r="Z2013">
        <v>0</v>
      </c>
    </row>
    <row r="2014" spans="1:26">
      <c r="A2014" s="1">
        <v>2012</v>
      </c>
      <c r="B2014" t="str">
        <f>HYPERLINK("https://bugs.eclipse.org/bugs/show_bug.cgi?id=72008", "72008")</f>
        <v>72008</v>
      </c>
      <c r="C2014" t="s">
        <v>149</v>
      </c>
      <c r="D2014" t="s">
        <v>10</v>
      </c>
      <c r="E2014" t="s">
        <v>12</v>
      </c>
      <c r="F2014" t="s">
        <v>26</v>
      </c>
      <c r="G2014" t="s">
        <v>9211</v>
      </c>
      <c r="L2014" t="s">
        <v>9212</v>
      </c>
      <c r="N2014" t="s">
        <v>9212</v>
      </c>
      <c r="T2014" t="s">
        <v>9213</v>
      </c>
      <c r="U2014" t="s">
        <v>7923</v>
      </c>
      <c r="V2014" t="s">
        <v>9212</v>
      </c>
      <c r="W2014" t="s">
        <v>86</v>
      </c>
      <c r="X2014" t="s">
        <v>9214</v>
      </c>
      <c r="Y2014">
        <v>30</v>
      </c>
      <c r="Z2014">
        <v>258</v>
      </c>
    </row>
    <row r="2015" spans="1:26">
      <c r="A2015" s="1">
        <v>2013</v>
      </c>
      <c r="B2015" t="str">
        <f>HYPERLINK("https://bugs.eclipse.org/bugs/show_bug.cgi?id=72017", "72017")</f>
        <v>72017</v>
      </c>
      <c r="C2015" t="s">
        <v>9215</v>
      </c>
      <c r="D2015" t="s">
        <v>192</v>
      </c>
      <c r="E2015" t="s">
        <v>15</v>
      </c>
      <c r="F2015" t="s">
        <v>26</v>
      </c>
      <c r="L2015" t="s">
        <v>9216</v>
      </c>
      <c r="M2015" t="s">
        <v>9217</v>
      </c>
      <c r="Q2015" t="s">
        <v>9216</v>
      </c>
      <c r="T2015" t="s">
        <v>9218</v>
      </c>
      <c r="U2015" t="s">
        <v>9216</v>
      </c>
      <c r="V2015" t="s">
        <v>9219</v>
      </c>
      <c r="W2015" t="s">
        <v>9220</v>
      </c>
      <c r="X2015" t="s">
        <v>9221</v>
      </c>
      <c r="Y2015">
        <v>30</v>
      </c>
      <c r="Z2015">
        <v>31</v>
      </c>
    </row>
    <row r="2016" spans="1:26">
      <c r="A2016" s="1">
        <v>2014</v>
      </c>
      <c r="B2016" t="str">
        <f>HYPERLINK("https://bugs.eclipse.org/bugs/show_bug.cgi?id=72024", "72024")</f>
        <v>72024</v>
      </c>
      <c r="C2016" t="s">
        <v>35</v>
      </c>
      <c r="D2016" t="s">
        <v>11</v>
      </c>
      <c r="E2016" t="s">
        <v>12</v>
      </c>
      <c r="F2016" t="s">
        <v>26</v>
      </c>
      <c r="L2016" t="s">
        <v>9222</v>
      </c>
      <c r="M2016" t="s">
        <v>9223</v>
      </c>
      <c r="N2016" t="s">
        <v>9222</v>
      </c>
      <c r="T2016" t="s">
        <v>9224</v>
      </c>
      <c r="U2016" t="s">
        <v>9225</v>
      </c>
      <c r="V2016" t="s">
        <v>9223</v>
      </c>
      <c r="W2016" t="s">
        <v>851</v>
      </c>
      <c r="X2016" t="s">
        <v>9226</v>
      </c>
      <c r="Y2016">
        <v>0</v>
      </c>
      <c r="Z2016">
        <v>17</v>
      </c>
    </row>
    <row r="2017" spans="1:26">
      <c r="A2017" s="1">
        <v>2015</v>
      </c>
      <c r="B2017" t="str">
        <f>HYPERLINK("https://bugs.eclipse.org/bugs/show_bug.cgi?id=72112", "72112")</f>
        <v>72112</v>
      </c>
      <c r="C2017" t="s">
        <v>9227</v>
      </c>
      <c r="D2017" t="s">
        <v>10</v>
      </c>
      <c r="E2017" t="s">
        <v>15</v>
      </c>
      <c r="F2017" t="s">
        <v>26</v>
      </c>
      <c r="G2017" t="s">
        <v>9228</v>
      </c>
      <c r="L2017" t="s">
        <v>9229</v>
      </c>
      <c r="Q2017" t="s">
        <v>9229</v>
      </c>
      <c r="T2017" t="s">
        <v>9230</v>
      </c>
      <c r="U2017" t="s">
        <v>9231</v>
      </c>
      <c r="V2017" t="s">
        <v>9229</v>
      </c>
      <c r="W2017" t="s">
        <v>86</v>
      </c>
      <c r="X2017" t="s">
        <v>9232</v>
      </c>
      <c r="Y2017">
        <v>1</v>
      </c>
      <c r="Z2017">
        <v>76.041666666666671</v>
      </c>
    </row>
    <row r="2018" spans="1:26">
      <c r="A2018" s="1">
        <v>2016</v>
      </c>
      <c r="B2018" t="str">
        <f>HYPERLINK("https://bugs.eclipse.org/bugs/show_bug.cgi?id=72113", "72113")</f>
        <v>72113</v>
      </c>
      <c r="C2018" t="s">
        <v>9233</v>
      </c>
      <c r="D2018" t="s">
        <v>10</v>
      </c>
      <c r="E2018" t="s">
        <v>15</v>
      </c>
      <c r="F2018" t="s">
        <v>26</v>
      </c>
      <c r="L2018" t="s">
        <v>9234</v>
      </c>
      <c r="Q2018" t="s">
        <v>9234</v>
      </c>
      <c r="T2018" t="s">
        <v>9235</v>
      </c>
      <c r="U2018" t="s">
        <v>9234</v>
      </c>
      <c r="V2018" t="s">
        <v>9234</v>
      </c>
      <c r="W2018" t="s">
        <v>2668</v>
      </c>
      <c r="X2018" t="s">
        <v>9236</v>
      </c>
      <c r="Y2018">
        <v>0</v>
      </c>
      <c r="Z2018">
        <v>0</v>
      </c>
    </row>
    <row r="2019" spans="1:26">
      <c r="A2019" s="1">
        <v>2017</v>
      </c>
      <c r="B2019" t="str">
        <f>HYPERLINK("https://bugs.eclipse.org/bugs/show_bug.cgi?id=72148", "72148")</f>
        <v>72148</v>
      </c>
      <c r="C2019" t="s">
        <v>9237</v>
      </c>
      <c r="D2019" t="s">
        <v>10</v>
      </c>
      <c r="E2019" t="s">
        <v>15</v>
      </c>
      <c r="F2019" t="s">
        <v>26</v>
      </c>
      <c r="L2019" t="s">
        <v>9238</v>
      </c>
      <c r="Q2019" t="s">
        <v>9238</v>
      </c>
      <c r="T2019" t="s">
        <v>9239</v>
      </c>
      <c r="U2019" t="s">
        <v>9240</v>
      </c>
      <c r="V2019" t="s">
        <v>9238</v>
      </c>
      <c r="W2019" t="s">
        <v>851</v>
      </c>
      <c r="X2019" t="s">
        <v>9241</v>
      </c>
      <c r="Y2019">
        <v>0</v>
      </c>
      <c r="Z2019">
        <v>12</v>
      </c>
    </row>
    <row r="2020" spans="1:26">
      <c r="A2020" s="1">
        <v>2018</v>
      </c>
      <c r="B2020" t="str">
        <f>HYPERLINK("https://bugs.eclipse.org/bugs/show_bug.cgi?id=72173", "72173")</f>
        <v>72173</v>
      </c>
      <c r="C2020" t="s">
        <v>149</v>
      </c>
      <c r="D2020" t="s">
        <v>10</v>
      </c>
      <c r="E2020" t="s">
        <v>12</v>
      </c>
      <c r="F2020" t="s">
        <v>26</v>
      </c>
      <c r="L2020" t="s">
        <v>9242</v>
      </c>
      <c r="N2020" t="s">
        <v>9242</v>
      </c>
      <c r="T2020" t="s">
        <v>9243</v>
      </c>
      <c r="U2020" t="s">
        <v>9244</v>
      </c>
      <c r="V2020" t="s">
        <v>9242</v>
      </c>
      <c r="W2020" t="s">
        <v>2668</v>
      </c>
      <c r="X2020" t="s">
        <v>9245</v>
      </c>
      <c r="Y2020">
        <v>91.041666666666671</v>
      </c>
      <c r="Z2020">
        <v>229</v>
      </c>
    </row>
    <row r="2021" spans="1:26">
      <c r="A2021" s="1">
        <v>2019</v>
      </c>
      <c r="B2021" t="str">
        <f>HYPERLINK("https://bugs.eclipse.org/bugs/show_bug.cgi?id=72178", "72178")</f>
        <v>72178</v>
      </c>
      <c r="C2021" t="s">
        <v>149</v>
      </c>
      <c r="D2021" t="s">
        <v>10</v>
      </c>
      <c r="E2021" t="s">
        <v>12</v>
      </c>
      <c r="F2021" t="s">
        <v>26</v>
      </c>
      <c r="L2021" t="s">
        <v>9246</v>
      </c>
      <c r="N2021" t="s">
        <v>9246</v>
      </c>
      <c r="T2021" t="s">
        <v>9247</v>
      </c>
      <c r="U2021" t="s">
        <v>9248</v>
      </c>
      <c r="V2021" t="s">
        <v>9246</v>
      </c>
      <c r="W2021" t="s">
        <v>851</v>
      </c>
      <c r="X2021" t="s">
        <v>9249</v>
      </c>
      <c r="Y2021">
        <v>2</v>
      </c>
      <c r="Z2021">
        <v>258</v>
      </c>
    </row>
    <row r="2022" spans="1:26">
      <c r="A2022" s="1">
        <v>2020</v>
      </c>
      <c r="B2022" t="str">
        <f>HYPERLINK("https://bugs.eclipse.org/bugs/show_bug.cgi?id=72257", "72257")</f>
        <v>72257</v>
      </c>
      <c r="C2022" t="s">
        <v>149</v>
      </c>
      <c r="D2022" t="s">
        <v>10</v>
      </c>
      <c r="E2022" t="s">
        <v>12</v>
      </c>
      <c r="F2022" t="s">
        <v>26</v>
      </c>
      <c r="L2022" t="s">
        <v>9250</v>
      </c>
      <c r="N2022" t="s">
        <v>9250</v>
      </c>
      <c r="T2022" t="s">
        <v>9251</v>
      </c>
      <c r="U2022" t="s">
        <v>9252</v>
      </c>
      <c r="V2022" t="s">
        <v>9250</v>
      </c>
      <c r="W2022" t="s">
        <v>2668</v>
      </c>
      <c r="X2022" t="s">
        <v>9253</v>
      </c>
      <c r="Y2022">
        <v>1</v>
      </c>
      <c r="Z2022">
        <v>18</v>
      </c>
    </row>
    <row r="2023" spans="1:26">
      <c r="A2023" s="1">
        <v>2021</v>
      </c>
      <c r="B2023" t="str">
        <f>HYPERLINK("https://bugs.eclipse.org/bugs/show_bug.cgi?id=72331", "72331")</f>
        <v>72331</v>
      </c>
      <c r="C2023" t="s">
        <v>149</v>
      </c>
      <c r="D2023" t="s">
        <v>10</v>
      </c>
      <c r="E2023" t="s">
        <v>12</v>
      </c>
      <c r="F2023" t="s">
        <v>26</v>
      </c>
      <c r="L2023" t="s">
        <v>9254</v>
      </c>
      <c r="N2023" t="s">
        <v>9254</v>
      </c>
      <c r="T2023" t="s">
        <v>9255</v>
      </c>
      <c r="U2023" t="s">
        <v>9256</v>
      </c>
      <c r="V2023" t="s">
        <v>9254</v>
      </c>
      <c r="W2023" t="s">
        <v>86</v>
      </c>
      <c r="X2023" t="s">
        <v>9257</v>
      </c>
      <c r="Y2023">
        <v>26</v>
      </c>
      <c r="Z2023">
        <v>171.04166666666671</v>
      </c>
    </row>
    <row r="2024" spans="1:26">
      <c r="A2024" s="1">
        <v>2022</v>
      </c>
      <c r="B2024" t="str">
        <f>HYPERLINK("https://bugs.eclipse.org/bugs/show_bug.cgi?id=72332", "72332")</f>
        <v>72332</v>
      </c>
      <c r="C2024" t="s">
        <v>149</v>
      </c>
      <c r="D2024" t="s">
        <v>10</v>
      </c>
      <c r="E2024" t="s">
        <v>12</v>
      </c>
      <c r="F2024" t="s">
        <v>26</v>
      </c>
      <c r="L2024" t="s">
        <v>9258</v>
      </c>
      <c r="N2024" t="s">
        <v>9258</v>
      </c>
      <c r="T2024" t="s">
        <v>9259</v>
      </c>
      <c r="U2024" t="s">
        <v>9260</v>
      </c>
      <c r="V2024" t="s">
        <v>9258</v>
      </c>
      <c r="W2024" t="s">
        <v>86</v>
      </c>
      <c r="X2024" t="s">
        <v>9261</v>
      </c>
      <c r="Y2024">
        <v>26</v>
      </c>
      <c r="Z2024">
        <v>171.04166666666671</v>
      </c>
    </row>
    <row r="2025" spans="1:26">
      <c r="A2025" s="1">
        <v>2023</v>
      </c>
      <c r="B2025" t="str">
        <f>HYPERLINK("https://bugs.eclipse.org/bugs/show_bug.cgi?id=72380", "72380")</f>
        <v>72380</v>
      </c>
      <c r="C2025" t="s">
        <v>35</v>
      </c>
      <c r="D2025" t="s">
        <v>11</v>
      </c>
      <c r="E2025" t="s">
        <v>12</v>
      </c>
      <c r="F2025" t="s">
        <v>26</v>
      </c>
      <c r="L2025" t="s">
        <v>9262</v>
      </c>
      <c r="M2025" t="s">
        <v>9263</v>
      </c>
      <c r="N2025" t="s">
        <v>9262</v>
      </c>
      <c r="T2025" t="s">
        <v>9264</v>
      </c>
      <c r="U2025" t="s">
        <v>9265</v>
      </c>
      <c r="V2025" t="s">
        <v>9263</v>
      </c>
      <c r="W2025" t="s">
        <v>9266</v>
      </c>
      <c r="X2025" t="s">
        <v>9267</v>
      </c>
      <c r="Y2025">
        <v>2</v>
      </c>
      <c r="Z2025">
        <v>5842</v>
      </c>
    </row>
    <row r="2026" spans="1:26">
      <c r="A2026" s="1">
        <v>2024</v>
      </c>
      <c r="B2026" t="str">
        <f>HYPERLINK("https://bugs.eclipse.org/bugs/show_bug.cgi?id=72381", "72381")</f>
        <v>72381</v>
      </c>
      <c r="C2026" t="s">
        <v>191</v>
      </c>
      <c r="D2026" t="s">
        <v>192</v>
      </c>
      <c r="E2026" t="s">
        <v>14</v>
      </c>
      <c r="F2026" t="s">
        <v>26</v>
      </c>
      <c r="P2026" t="s">
        <v>9268</v>
      </c>
      <c r="T2026" t="s">
        <v>9269</v>
      </c>
      <c r="U2026" t="s">
        <v>9270</v>
      </c>
      <c r="V2026" t="s">
        <v>9268</v>
      </c>
      <c r="W2026" t="s">
        <v>65</v>
      </c>
      <c r="X2026" t="s">
        <v>9271</v>
      </c>
      <c r="Y2026">
        <v>2</v>
      </c>
      <c r="Z2026">
        <v>5680</v>
      </c>
    </row>
    <row r="2027" spans="1:26">
      <c r="A2027" s="1">
        <v>2025</v>
      </c>
      <c r="B2027" t="str">
        <f>HYPERLINK("https://bugs.eclipse.org/bugs/show_bug.cgi?id=72510", "72510")</f>
        <v>72510</v>
      </c>
      <c r="C2027" t="s">
        <v>149</v>
      </c>
      <c r="D2027" t="s">
        <v>10</v>
      </c>
      <c r="E2027" t="s">
        <v>12</v>
      </c>
      <c r="F2027" t="s">
        <v>26</v>
      </c>
      <c r="L2027" t="s">
        <v>9272</v>
      </c>
      <c r="N2027" t="s">
        <v>9272</v>
      </c>
      <c r="T2027" t="s">
        <v>9273</v>
      </c>
      <c r="U2027" t="s">
        <v>9274</v>
      </c>
      <c r="V2027" t="s">
        <v>9272</v>
      </c>
      <c r="W2027" t="s">
        <v>851</v>
      </c>
      <c r="X2027" t="s">
        <v>9275</v>
      </c>
      <c r="Y2027">
        <v>22</v>
      </c>
      <c r="Z2027">
        <v>22</v>
      </c>
    </row>
    <row r="2028" spans="1:26">
      <c r="A2028" s="1">
        <v>2026</v>
      </c>
      <c r="B2028" t="str">
        <f>HYPERLINK("https://bugs.eclipse.org/bugs/show_bug.cgi?id=72568", "72568")</f>
        <v>72568</v>
      </c>
      <c r="C2028" t="s">
        <v>149</v>
      </c>
      <c r="D2028" t="s">
        <v>10</v>
      </c>
      <c r="E2028" t="s">
        <v>12</v>
      </c>
      <c r="F2028" t="s">
        <v>26</v>
      </c>
      <c r="L2028" t="s">
        <v>9276</v>
      </c>
      <c r="N2028" t="s">
        <v>9276</v>
      </c>
      <c r="T2028" t="s">
        <v>9277</v>
      </c>
      <c r="U2028" t="s">
        <v>9278</v>
      </c>
      <c r="V2028" t="s">
        <v>9276</v>
      </c>
      <c r="W2028" t="s">
        <v>86</v>
      </c>
      <c r="X2028" t="s">
        <v>9279</v>
      </c>
      <c r="Y2028">
        <v>90.041666666666671</v>
      </c>
      <c r="Z2028">
        <v>108.0416666666667</v>
      </c>
    </row>
    <row r="2029" spans="1:26">
      <c r="A2029" s="1">
        <v>2027</v>
      </c>
      <c r="B2029" t="str">
        <f>HYPERLINK("https://bugs.eclipse.org/bugs/show_bug.cgi?id=72606", "72606")</f>
        <v>72606</v>
      </c>
      <c r="C2029" t="s">
        <v>9280</v>
      </c>
      <c r="D2029" t="s">
        <v>10</v>
      </c>
      <c r="E2029" t="s">
        <v>15</v>
      </c>
      <c r="F2029" t="s">
        <v>26</v>
      </c>
      <c r="L2029" t="s">
        <v>9281</v>
      </c>
      <c r="Q2029" t="s">
        <v>9281</v>
      </c>
      <c r="T2029" t="s">
        <v>9282</v>
      </c>
      <c r="U2029" t="s">
        <v>9283</v>
      </c>
      <c r="V2029" t="s">
        <v>9281</v>
      </c>
      <c r="W2029" t="s">
        <v>851</v>
      </c>
      <c r="X2029" t="s">
        <v>9284</v>
      </c>
      <c r="Y2029">
        <v>0</v>
      </c>
      <c r="Z2029">
        <v>1</v>
      </c>
    </row>
    <row r="2030" spans="1:26">
      <c r="A2030" s="1">
        <v>2028</v>
      </c>
      <c r="B2030" t="str">
        <f>HYPERLINK("https://bugs.eclipse.org/bugs/show_bug.cgi?id=72624", "72624")</f>
        <v>72624</v>
      </c>
      <c r="C2030" t="s">
        <v>149</v>
      </c>
      <c r="D2030" t="s">
        <v>10</v>
      </c>
      <c r="E2030" t="s">
        <v>12</v>
      </c>
      <c r="F2030" t="s">
        <v>26</v>
      </c>
      <c r="L2030" t="s">
        <v>9285</v>
      </c>
      <c r="N2030" t="s">
        <v>9285</v>
      </c>
      <c r="T2030" t="s">
        <v>9286</v>
      </c>
      <c r="U2030" t="s">
        <v>9287</v>
      </c>
      <c r="V2030" t="s">
        <v>9285</v>
      </c>
      <c r="W2030" t="s">
        <v>2668</v>
      </c>
      <c r="X2030" t="s">
        <v>9288</v>
      </c>
      <c r="Y2030">
        <v>0</v>
      </c>
      <c r="Z2030">
        <v>12</v>
      </c>
    </row>
    <row r="2031" spans="1:26">
      <c r="A2031" s="1">
        <v>2029</v>
      </c>
      <c r="B2031" t="str">
        <f>HYPERLINK("https://bugs.eclipse.org/bugs/show_bug.cgi?id=72689", "72689")</f>
        <v>72689</v>
      </c>
      <c r="C2031" t="s">
        <v>35</v>
      </c>
      <c r="D2031" t="s">
        <v>11</v>
      </c>
      <c r="E2031" t="s">
        <v>12</v>
      </c>
      <c r="F2031" t="s">
        <v>26</v>
      </c>
      <c r="H2031" t="s">
        <v>9289</v>
      </c>
      <c r="L2031" t="s">
        <v>9290</v>
      </c>
      <c r="M2031" t="s">
        <v>9291</v>
      </c>
      <c r="N2031" t="s">
        <v>9290</v>
      </c>
      <c r="T2031" t="s">
        <v>9292</v>
      </c>
      <c r="U2031" t="s">
        <v>9293</v>
      </c>
      <c r="V2031" t="s">
        <v>9291</v>
      </c>
      <c r="W2031" t="s">
        <v>851</v>
      </c>
      <c r="X2031" t="s">
        <v>9294</v>
      </c>
      <c r="Y2031">
        <v>0</v>
      </c>
      <c r="Z2031">
        <v>7</v>
      </c>
    </row>
    <row r="2032" spans="1:26">
      <c r="A2032" s="1">
        <v>2030</v>
      </c>
      <c r="B2032" t="str">
        <f>HYPERLINK("https://bugs.eclipse.org/bugs/show_bug.cgi?id=72697", "72697")</f>
        <v>72697</v>
      </c>
      <c r="C2032" t="s">
        <v>149</v>
      </c>
      <c r="D2032" t="s">
        <v>10</v>
      </c>
      <c r="E2032" t="s">
        <v>12</v>
      </c>
      <c r="F2032" t="s">
        <v>26</v>
      </c>
      <c r="L2032" t="s">
        <v>9295</v>
      </c>
      <c r="N2032" t="s">
        <v>9295</v>
      </c>
      <c r="T2032" t="s">
        <v>9296</v>
      </c>
      <c r="U2032" t="s">
        <v>9297</v>
      </c>
      <c r="V2032" t="s">
        <v>9295</v>
      </c>
      <c r="W2032" t="s">
        <v>86</v>
      </c>
      <c r="X2032" t="s">
        <v>9298</v>
      </c>
      <c r="Y2032">
        <v>0</v>
      </c>
      <c r="Z2032">
        <v>83.041666666666671</v>
      </c>
    </row>
    <row r="2033" spans="1:26">
      <c r="A2033" s="1">
        <v>2031</v>
      </c>
      <c r="B2033" t="str">
        <f>HYPERLINK("https://bugs.eclipse.org/bugs/show_bug.cgi?id=72836", "72836")</f>
        <v>72836</v>
      </c>
      <c r="C2033" t="s">
        <v>35</v>
      </c>
      <c r="D2033" t="s">
        <v>11</v>
      </c>
      <c r="E2033" t="s">
        <v>12</v>
      </c>
      <c r="F2033" t="s">
        <v>26</v>
      </c>
      <c r="L2033" t="s">
        <v>9299</v>
      </c>
      <c r="M2033" t="s">
        <v>9300</v>
      </c>
      <c r="N2033" t="s">
        <v>9299</v>
      </c>
      <c r="T2033" t="s">
        <v>9301</v>
      </c>
      <c r="U2033" t="s">
        <v>9302</v>
      </c>
      <c r="V2033" t="s">
        <v>9300</v>
      </c>
      <c r="W2033" t="s">
        <v>86</v>
      </c>
      <c r="X2033" t="s">
        <v>9303</v>
      </c>
      <c r="Y2033">
        <v>3</v>
      </c>
      <c r="Z2033">
        <v>273</v>
      </c>
    </row>
    <row r="2034" spans="1:26">
      <c r="A2034" s="1">
        <v>2032</v>
      </c>
      <c r="B2034" t="str">
        <f>HYPERLINK("https://bugs.eclipse.org/bugs/show_bug.cgi?id=72847", "72847")</f>
        <v>72847</v>
      </c>
      <c r="C2034" t="s">
        <v>35</v>
      </c>
      <c r="D2034" t="s">
        <v>11</v>
      </c>
      <c r="E2034" t="s">
        <v>12</v>
      </c>
      <c r="F2034" t="s">
        <v>26</v>
      </c>
      <c r="G2034" t="s">
        <v>9304</v>
      </c>
      <c r="H2034" t="s">
        <v>9305</v>
      </c>
      <c r="L2034" t="s">
        <v>9306</v>
      </c>
      <c r="M2034" t="s">
        <v>9307</v>
      </c>
      <c r="N2034" t="s">
        <v>9306</v>
      </c>
      <c r="T2034" t="s">
        <v>9308</v>
      </c>
      <c r="U2034" t="s">
        <v>9309</v>
      </c>
      <c r="V2034" t="s">
        <v>9307</v>
      </c>
      <c r="W2034" t="s">
        <v>143</v>
      </c>
      <c r="X2034" t="s">
        <v>9310</v>
      </c>
      <c r="Y2034">
        <v>1</v>
      </c>
      <c r="Z2034">
        <v>4357</v>
      </c>
    </row>
    <row r="2035" spans="1:26">
      <c r="A2035" s="1">
        <v>2033</v>
      </c>
      <c r="B2035" t="str">
        <f>HYPERLINK("https://bugs.eclipse.org/bugs/show_bug.cgi?id=72849", "72849")</f>
        <v>72849</v>
      </c>
      <c r="C2035" t="s">
        <v>140</v>
      </c>
      <c r="D2035" t="s">
        <v>10</v>
      </c>
      <c r="E2035" t="s">
        <v>16</v>
      </c>
      <c r="F2035" t="s">
        <v>26</v>
      </c>
      <c r="L2035" t="s">
        <v>9311</v>
      </c>
      <c r="R2035" t="s">
        <v>9311</v>
      </c>
      <c r="T2035" t="s">
        <v>9312</v>
      </c>
      <c r="U2035" t="s">
        <v>9313</v>
      </c>
      <c r="V2035" t="s">
        <v>9311</v>
      </c>
      <c r="W2035" t="s">
        <v>86</v>
      </c>
      <c r="X2035" t="s">
        <v>9314</v>
      </c>
      <c r="Y2035">
        <v>1</v>
      </c>
      <c r="Z2035">
        <v>263</v>
      </c>
    </row>
    <row r="2036" spans="1:26">
      <c r="A2036" s="1">
        <v>2034</v>
      </c>
      <c r="B2036" t="str">
        <f>HYPERLINK("https://bugs.eclipse.org/bugs/show_bug.cgi?id=72912", "72912")</f>
        <v>72912</v>
      </c>
      <c r="C2036" t="s">
        <v>149</v>
      </c>
      <c r="D2036" t="s">
        <v>10</v>
      </c>
      <c r="E2036" t="s">
        <v>12</v>
      </c>
      <c r="F2036" t="s">
        <v>26</v>
      </c>
      <c r="L2036" t="s">
        <v>9315</v>
      </c>
      <c r="N2036" t="s">
        <v>9315</v>
      </c>
      <c r="T2036" t="s">
        <v>9316</v>
      </c>
      <c r="U2036" t="s">
        <v>9317</v>
      </c>
      <c r="V2036" t="s">
        <v>9315</v>
      </c>
      <c r="W2036" t="s">
        <v>86</v>
      </c>
      <c r="X2036" t="s">
        <v>9318</v>
      </c>
      <c r="Y2036">
        <v>1</v>
      </c>
      <c r="Z2036">
        <v>8</v>
      </c>
    </row>
    <row r="2037" spans="1:26">
      <c r="A2037" s="1">
        <v>2035</v>
      </c>
      <c r="B2037" t="str">
        <f>HYPERLINK("https://bugs.eclipse.org/bugs/show_bug.cgi?id=72920", "72920")</f>
        <v>72920</v>
      </c>
      <c r="C2037" t="s">
        <v>149</v>
      </c>
      <c r="D2037" t="s">
        <v>10</v>
      </c>
      <c r="E2037" t="s">
        <v>12</v>
      </c>
      <c r="F2037" t="s">
        <v>26</v>
      </c>
      <c r="L2037" t="s">
        <v>9319</v>
      </c>
      <c r="N2037" t="s">
        <v>9319</v>
      </c>
      <c r="T2037" t="s">
        <v>9320</v>
      </c>
      <c r="U2037" t="s">
        <v>9321</v>
      </c>
      <c r="V2037" t="s">
        <v>9319</v>
      </c>
      <c r="W2037" t="s">
        <v>86</v>
      </c>
      <c r="X2037" t="s">
        <v>9322</v>
      </c>
      <c r="Y2037">
        <v>1</v>
      </c>
      <c r="Z2037">
        <v>63.041666666666657</v>
      </c>
    </row>
    <row r="2038" spans="1:26">
      <c r="A2038" s="1">
        <v>2036</v>
      </c>
      <c r="B2038" t="str">
        <f>HYPERLINK("https://bugs.eclipse.org/bugs/show_bug.cgi?id=72924", "72924")</f>
        <v>72924</v>
      </c>
      <c r="C2038" t="s">
        <v>6430</v>
      </c>
      <c r="D2038" t="s">
        <v>10</v>
      </c>
      <c r="E2038" t="s">
        <v>15</v>
      </c>
      <c r="F2038" t="s">
        <v>26</v>
      </c>
      <c r="L2038" t="s">
        <v>9323</v>
      </c>
      <c r="Q2038" t="s">
        <v>9323</v>
      </c>
      <c r="T2038" t="s">
        <v>9324</v>
      </c>
      <c r="U2038" t="s">
        <v>9325</v>
      </c>
      <c r="V2038" t="s">
        <v>9323</v>
      </c>
      <c r="W2038" t="s">
        <v>86</v>
      </c>
      <c r="X2038" t="s">
        <v>9326</v>
      </c>
      <c r="Y2038">
        <v>1</v>
      </c>
      <c r="Z2038">
        <v>1</v>
      </c>
    </row>
    <row r="2039" spans="1:26">
      <c r="A2039" s="1">
        <v>2037</v>
      </c>
      <c r="B2039" t="str">
        <f>HYPERLINK("https://bugs.eclipse.org/bugs/show_bug.cgi?id=72926", "72926")</f>
        <v>72926</v>
      </c>
      <c r="C2039" t="s">
        <v>149</v>
      </c>
      <c r="D2039" t="s">
        <v>10</v>
      </c>
      <c r="E2039" t="s">
        <v>12</v>
      </c>
      <c r="F2039" t="s">
        <v>26</v>
      </c>
      <c r="L2039" t="s">
        <v>9327</v>
      </c>
      <c r="N2039" t="s">
        <v>9327</v>
      </c>
      <c r="T2039" t="s">
        <v>9328</v>
      </c>
      <c r="U2039" t="s">
        <v>9329</v>
      </c>
      <c r="V2039" t="s">
        <v>9327</v>
      </c>
      <c r="W2039" t="s">
        <v>86</v>
      </c>
      <c r="X2039" t="s">
        <v>9330</v>
      </c>
      <c r="Y2039">
        <v>1</v>
      </c>
      <c r="Z2039">
        <v>267</v>
      </c>
    </row>
    <row r="2040" spans="1:26">
      <c r="A2040" s="1">
        <v>2038</v>
      </c>
      <c r="B2040" t="str">
        <f>HYPERLINK("https://bugs.eclipse.org/bugs/show_bug.cgi?id=72948", "72948")</f>
        <v>72948</v>
      </c>
      <c r="C2040" t="s">
        <v>149</v>
      </c>
      <c r="D2040" t="s">
        <v>10</v>
      </c>
      <c r="E2040" t="s">
        <v>12</v>
      </c>
      <c r="F2040" t="s">
        <v>26</v>
      </c>
      <c r="L2040" t="s">
        <v>9331</v>
      </c>
      <c r="N2040" t="s">
        <v>9331</v>
      </c>
      <c r="T2040" t="s">
        <v>9332</v>
      </c>
      <c r="U2040" t="s">
        <v>9333</v>
      </c>
      <c r="V2040" t="s">
        <v>9331</v>
      </c>
      <c r="W2040" t="s">
        <v>49</v>
      </c>
      <c r="X2040" t="s">
        <v>9334</v>
      </c>
      <c r="Y2040">
        <v>0</v>
      </c>
      <c r="Z2040">
        <v>143.04166666666671</v>
      </c>
    </row>
    <row r="2041" spans="1:26">
      <c r="A2041" s="1">
        <v>2039</v>
      </c>
      <c r="B2041" t="str">
        <f>HYPERLINK("https://bugs.eclipse.org/bugs/show_bug.cgi?id=73054", "73054")</f>
        <v>73054</v>
      </c>
      <c r="C2041" t="s">
        <v>149</v>
      </c>
      <c r="D2041" t="s">
        <v>10</v>
      </c>
      <c r="E2041" t="s">
        <v>12</v>
      </c>
      <c r="F2041" t="s">
        <v>26</v>
      </c>
      <c r="L2041" t="s">
        <v>9335</v>
      </c>
      <c r="N2041" t="s">
        <v>9335</v>
      </c>
      <c r="T2041" t="s">
        <v>9336</v>
      </c>
      <c r="U2041" t="s">
        <v>9337</v>
      </c>
      <c r="V2041" t="s">
        <v>9335</v>
      </c>
      <c r="W2041" t="s">
        <v>49</v>
      </c>
      <c r="X2041" t="s">
        <v>9338</v>
      </c>
      <c r="Y2041">
        <v>0</v>
      </c>
      <c r="Z2041">
        <v>491.04166666666669</v>
      </c>
    </row>
    <row r="2042" spans="1:26">
      <c r="A2042" s="1">
        <v>2040</v>
      </c>
      <c r="B2042" t="str">
        <f>HYPERLINK("https://bugs.eclipse.org/bugs/show_bug.cgi?id=73176", "73176")</f>
        <v>73176</v>
      </c>
      <c r="C2042" t="s">
        <v>149</v>
      </c>
      <c r="D2042" t="s">
        <v>10</v>
      </c>
      <c r="E2042" t="s">
        <v>12</v>
      </c>
      <c r="F2042" t="s">
        <v>26</v>
      </c>
      <c r="L2042" t="s">
        <v>9339</v>
      </c>
      <c r="N2042" t="s">
        <v>9339</v>
      </c>
      <c r="T2042" t="s">
        <v>9340</v>
      </c>
      <c r="U2042" t="s">
        <v>9341</v>
      </c>
      <c r="V2042" t="s">
        <v>9342</v>
      </c>
      <c r="W2042" t="s">
        <v>2668</v>
      </c>
      <c r="X2042" t="s">
        <v>9343</v>
      </c>
      <c r="Y2042">
        <v>0</v>
      </c>
      <c r="Z2042">
        <v>56</v>
      </c>
    </row>
    <row r="2043" spans="1:26">
      <c r="A2043" s="1">
        <v>2041</v>
      </c>
      <c r="B2043" t="str">
        <f>HYPERLINK("https://bugs.eclipse.org/bugs/show_bug.cgi?id=73338", "73338")</f>
        <v>73338</v>
      </c>
      <c r="C2043" t="s">
        <v>149</v>
      </c>
      <c r="D2043" t="s">
        <v>10</v>
      </c>
      <c r="E2043" t="s">
        <v>12</v>
      </c>
      <c r="F2043" t="s">
        <v>26</v>
      </c>
      <c r="L2043" t="s">
        <v>9344</v>
      </c>
      <c r="N2043" t="s">
        <v>9344</v>
      </c>
      <c r="T2043" t="s">
        <v>9345</v>
      </c>
      <c r="U2043" t="s">
        <v>9346</v>
      </c>
      <c r="V2043" t="s">
        <v>9344</v>
      </c>
      <c r="W2043" t="s">
        <v>2668</v>
      </c>
      <c r="X2043" t="s">
        <v>9347</v>
      </c>
      <c r="Y2043">
        <v>3</v>
      </c>
      <c r="Z2043">
        <v>4</v>
      </c>
    </row>
    <row r="2044" spans="1:26">
      <c r="A2044" s="1">
        <v>2042</v>
      </c>
      <c r="B2044" t="str">
        <f>HYPERLINK("https://bugs.eclipse.org/bugs/show_bug.cgi?id=73367", "73367")</f>
        <v>73367</v>
      </c>
      <c r="C2044" t="s">
        <v>9348</v>
      </c>
      <c r="D2044" t="s">
        <v>10</v>
      </c>
      <c r="E2044" t="s">
        <v>15</v>
      </c>
      <c r="F2044" t="s">
        <v>26</v>
      </c>
      <c r="L2044" t="s">
        <v>9349</v>
      </c>
      <c r="Q2044" t="s">
        <v>9349</v>
      </c>
      <c r="T2044" t="s">
        <v>9350</v>
      </c>
      <c r="U2044" t="s">
        <v>9351</v>
      </c>
      <c r="V2044" t="s">
        <v>9349</v>
      </c>
      <c r="W2044" t="s">
        <v>49</v>
      </c>
      <c r="X2044" t="s">
        <v>9352</v>
      </c>
      <c r="Y2044">
        <v>0</v>
      </c>
      <c r="Z2044">
        <v>646</v>
      </c>
    </row>
    <row r="2045" spans="1:26">
      <c r="A2045" s="1">
        <v>2043</v>
      </c>
      <c r="B2045" t="str">
        <f>HYPERLINK("https://bugs.eclipse.org/bugs/show_bug.cgi?id=73656", "73656")</f>
        <v>73656</v>
      </c>
      <c r="C2045" t="s">
        <v>35</v>
      </c>
      <c r="D2045" t="s">
        <v>11</v>
      </c>
      <c r="E2045" t="s">
        <v>12</v>
      </c>
      <c r="F2045" t="s">
        <v>26</v>
      </c>
      <c r="L2045" t="s">
        <v>9353</v>
      </c>
      <c r="M2045" t="s">
        <v>9354</v>
      </c>
      <c r="N2045" t="s">
        <v>9353</v>
      </c>
      <c r="T2045" t="s">
        <v>9355</v>
      </c>
      <c r="U2045" t="s">
        <v>9356</v>
      </c>
      <c r="V2045" t="s">
        <v>9354</v>
      </c>
      <c r="W2045" t="s">
        <v>86</v>
      </c>
      <c r="X2045" t="s">
        <v>9357</v>
      </c>
      <c r="Y2045">
        <v>256</v>
      </c>
      <c r="Z2045">
        <v>259</v>
      </c>
    </row>
    <row r="2046" spans="1:26">
      <c r="A2046" s="1">
        <v>2044</v>
      </c>
      <c r="B2046" t="str">
        <f>HYPERLINK("https://bugs.eclipse.org/bugs/show_bug.cgi?id=73731", "73731")</f>
        <v>73731</v>
      </c>
      <c r="C2046" t="s">
        <v>4692</v>
      </c>
      <c r="D2046" t="s">
        <v>4692</v>
      </c>
      <c r="F2046" t="s">
        <v>26</v>
      </c>
      <c r="T2046" t="s">
        <v>9358</v>
      </c>
      <c r="U2046" t="s">
        <v>9359</v>
      </c>
      <c r="V2046" t="s">
        <v>9360</v>
      </c>
      <c r="W2046" t="s">
        <v>49</v>
      </c>
      <c r="X2046" t="s">
        <v>9361</v>
      </c>
      <c r="Y2046">
        <v>2</v>
      </c>
    </row>
    <row r="2047" spans="1:26">
      <c r="A2047" s="1">
        <v>2045</v>
      </c>
      <c r="B2047" t="str">
        <f>HYPERLINK("https://bugs.eclipse.org/bugs/show_bug.cgi?id=73732", "73732")</f>
        <v>73732</v>
      </c>
      <c r="C2047" t="s">
        <v>5739</v>
      </c>
      <c r="D2047" t="s">
        <v>10</v>
      </c>
      <c r="E2047" t="s">
        <v>15</v>
      </c>
      <c r="F2047" t="s">
        <v>26</v>
      </c>
      <c r="L2047" t="s">
        <v>9362</v>
      </c>
      <c r="Q2047" t="s">
        <v>9362</v>
      </c>
      <c r="T2047" t="s">
        <v>9363</v>
      </c>
      <c r="U2047" t="s">
        <v>9364</v>
      </c>
      <c r="V2047" t="s">
        <v>9362</v>
      </c>
      <c r="W2047" t="s">
        <v>86</v>
      </c>
      <c r="X2047" t="s">
        <v>9365</v>
      </c>
      <c r="Y2047">
        <v>2</v>
      </c>
      <c r="Z2047">
        <v>3</v>
      </c>
    </row>
    <row r="2048" spans="1:26">
      <c r="A2048" s="1">
        <v>2046</v>
      </c>
      <c r="B2048" t="str">
        <f>HYPERLINK("https://bugs.eclipse.org/bugs/show_bug.cgi?id=73830", "73830")</f>
        <v>73830</v>
      </c>
      <c r="C2048" t="s">
        <v>56</v>
      </c>
      <c r="D2048" t="s">
        <v>10</v>
      </c>
      <c r="E2048" t="s">
        <v>14</v>
      </c>
      <c r="F2048" t="s">
        <v>26</v>
      </c>
      <c r="G2048" t="s">
        <v>9366</v>
      </c>
      <c r="L2048" t="s">
        <v>9367</v>
      </c>
      <c r="P2048" t="s">
        <v>9368</v>
      </c>
      <c r="S2048" t="s">
        <v>9369</v>
      </c>
      <c r="T2048" t="s">
        <v>9370</v>
      </c>
      <c r="U2048" t="s">
        <v>9371</v>
      </c>
      <c r="V2048" t="s">
        <v>9368</v>
      </c>
      <c r="W2048" t="s">
        <v>80</v>
      </c>
      <c r="X2048" t="s">
        <v>9372</v>
      </c>
      <c r="Y2048">
        <v>1</v>
      </c>
      <c r="Z2048">
        <v>1812</v>
      </c>
    </row>
    <row r="2049" spans="1:26">
      <c r="A2049" s="1">
        <v>2047</v>
      </c>
      <c r="B2049" t="str">
        <f>HYPERLINK("https://bugs.eclipse.org/bugs/show_bug.cgi?id=73915", "73915")</f>
        <v>73915</v>
      </c>
      <c r="C2049" t="s">
        <v>56</v>
      </c>
      <c r="D2049" t="s">
        <v>10</v>
      </c>
      <c r="E2049" t="s">
        <v>14</v>
      </c>
      <c r="F2049" t="s">
        <v>26</v>
      </c>
      <c r="L2049" t="s">
        <v>9373</v>
      </c>
      <c r="P2049" t="s">
        <v>9373</v>
      </c>
      <c r="T2049" t="s">
        <v>9374</v>
      </c>
      <c r="U2049" t="s">
        <v>9375</v>
      </c>
      <c r="V2049" t="s">
        <v>9373</v>
      </c>
      <c r="W2049" t="s">
        <v>49</v>
      </c>
      <c r="X2049" t="s">
        <v>9376</v>
      </c>
      <c r="Y2049">
        <v>1</v>
      </c>
      <c r="Z2049">
        <v>23</v>
      </c>
    </row>
    <row r="2050" spans="1:26">
      <c r="A2050" s="1">
        <v>2048</v>
      </c>
      <c r="B2050" t="str">
        <f>HYPERLINK("https://bugs.eclipse.org/bugs/show_bug.cgi?id=73999", "73999")</f>
        <v>73999</v>
      </c>
      <c r="C2050" t="s">
        <v>149</v>
      </c>
      <c r="D2050" t="s">
        <v>10</v>
      </c>
      <c r="E2050" t="s">
        <v>12</v>
      </c>
      <c r="F2050" t="s">
        <v>26</v>
      </c>
      <c r="L2050" t="s">
        <v>9377</v>
      </c>
      <c r="N2050" t="s">
        <v>9377</v>
      </c>
      <c r="T2050" t="s">
        <v>9378</v>
      </c>
      <c r="U2050" t="s">
        <v>9379</v>
      </c>
      <c r="V2050" t="s">
        <v>9377</v>
      </c>
      <c r="W2050" t="s">
        <v>851</v>
      </c>
      <c r="X2050" t="s">
        <v>9380</v>
      </c>
      <c r="Y2050">
        <v>2</v>
      </c>
      <c r="Z2050">
        <v>203</v>
      </c>
    </row>
    <row r="2051" spans="1:26">
      <c r="A2051" s="1">
        <v>2049</v>
      </c>
      <c r="B2051" t="str">
        <f>HYPERLINK("https://bugs.eclipse.org/bugs/show_bug.cgi?id=74004", "74004")</f>
        <v>74004</v>
      </c>
      <c r="C2051" t="s">
        <v>149</v>
      </c>
      <c r="D2051" t="s">
        <v>10</v>
      </c>
      <c r="E2051" t="s">
        <v>12</v>
      </c>
      <c r="F2051" t="s">
        <v>26</v>
      </c>
      <c r="L2051" t="s">
        <v>9381</v>
      </c>
      <c r="N2051" t="s">
        <v>9381</v>
      </c>
      <c r="T2051" t="s">
        <v>9382</v>
      </c>
      <c r="U2051" t="s">
        <v>9383</v>
      </c>
      <c r="V2051" t="s">
        <v>9381</v>
      </c>
      <c r="W2051" t="s">
        <v>851</v>
      </c>
      <c r="X2051" t="s">
        <v>9384</v>
      </c>
      <c r="Y2051">
        <v>0</v>
      </c>
      <c r="Z2051">
        <v>14</v>
      </c>
    </row>
    <row r="2052" spans="1:26">
      <c r="A2052" s="1">
        <v>2050</v>
      </c>
      <c r="B2052" t="str">
        <f>HYPERLINK("https://bugs.eclipse.org/bugs/show_bug.cgi?id=74035", "74035")</f>
        <v>74035</v>
      </c>
      <c r="C2052" t="s">
        <v>149</v>
      </c>
      <c r="D2052" t="s">
        <v>10</v>
      </c>
      <c r="E2052" t="s">
        <v>12</v>
      </c>
      <c r="F2052" t="s">
        <v>26</v>
      </c>
      <c r="G2052" t="s">
        <v>9385</v>
      </c>
      <c r="H2052" t="s">
        <v>9386</v>
      </c>
      <c r="L2052" t="s">
        <v>9387</v>
      </c>
      <c r="N2052" t="s">
        <v>9387</v>
      </c>
      <c r="T2052" t="s">
        <v>9388</v>
      </c>
      <c r="U2052" t="s">
        <v>9389</v>
      </c>
      <c r="V2052" t="s">
        <v>6779</v>
      </c>
      <c r="W2052" t="s">
        <v>851</v>
      </c>
      <c r="X2052" t="s">
        <v>9390</v>
      </c>
      <c r="Y2052">
        <v>1</v>
      </c>
      <c r="Z2052">
        <v>89.041666666666671</v>
      </c>
    </row>
    <row r="2053" spans="1:26">
      <c r="A2053" s="1">
        <v>2051</v>
      </c>
      <c r="B2053" t="str">
        <f>HYPERLINK("https://bugs.eclipse.org/bugs/show_bug.cgi?id=74086", "74086")</f>
        <v>74086</v>
      </c>
      <c r="C2053" t="s">
        <v>9391</v>
      </c>
      <c r="D2053" t="s">
        <v>10</v>
      </c>
      <c r="E2053" t="s">
        <v>15</v>
      </c>
      <c r="F2053" t="s">
        <v>26</v>
      </c>
      <c r="L2053" t="s">
        <v>9392</v>
      </c>
      <c r="Q2053" t="s">
        <v>9392</v>
      </c>
      <c r="T2053" t="s">
        <v>9393</v>
      </c>
      <c r="U2053" t="s">
        <v>9394</v>
      </c>
      <c r="V2053" t="s">
        <v>9392</v>
      </c>
      <c r="W2053" t="s">
        <v>851</v>
      </c>
      <c r="X2053" t="s">
        <v>9395</v>
      </c>
      <c r="Y2053">
        <v>1</v>
      </c>
      <c r="Z2053">
        <v>131.04166666666671</v>
      </c>
    </row>
    <row r="2054" spans="1:26">
      <c r="A2054" s="1">
        <v>2052</v>
      </c>
      <c r="B2054" t="str">
        <f>HYPERLINK("https://bugs.eclipse.org/bugs/show_bug.cgi?id=74168", "74168")</f>
        <v>74168</v>
      </c>
      <c r="C2054" t="s">
        <v>35</v>
      </c>
      <c r="D2054" t="s">
        <v>11</v>
      </c>
      <c r="E2054" t="s">
        <v>12</v>
      </c>
      <c r="F2054" t="s">
        <v>150</v>
      </c>
      <c r="L2054" t="s">
        <v>9396</v>
      </c>
      <c r="M2054" t="s">
        <v>9397</v>
      </c>
      <c r="N2054" t="s">
        <v>9396</v>
      </c>
      <c r="T2054" t="s">
        <v>9398</v>
      </c>
      <c r="U2054" t="s">
        <v>9399</v>
      </c>
      <c r="V2054" t="s">
        <v>9397</v>
      </c>
      <c r="W2054" t="s">
        <v>851</v>
      </c>
      <c r="X2054" t="s">
        <v>9400</v>
      </c>
      <c r="Y2054">
        <v>0</v>
      </c>
      <c r="Z2054">
        <v>252</v>
      </c>
    </row>
    <row r="2055" spans="1:26">
      <c r="A2055" s="1">
        <v>2053</v>
      </c>
      <c r="B2055" t="str">
        <f>HYPERLINK("https://bugs.eclipse.org/bugs/show_bug.cgi?id=74312", "74312")</f>
        <v>74312</v>
      </c>
      <c r="C2055" t="s">
        <v>25</v>
      </c>
      <c r="D2055" t="s">
        <v>25</v>
      </c>
      <c r="F2055" t="s">
        <v>26</v>
      </c>
      <c r="T2055" t="s">
        <v>9401</v>
      </c>
      <c r="U2055" t="s">
        <v>9402</v>
      </c>
      <c r="V2055" t="s">
        <v>9403</v>
      </c>
      <c r="W2055" t="s">
        <v>143</v>
      </c>
      <c r="X2055" t="s">
        <v>9404</v>
      </c>
      <c r="Y2055">
        <v>0</v>
      </c>
    </row>
    <row r="2056" spans="1:26">
      <c r="A2056" s="1">
        <v>2054</v>
      </c>
      <c r="B2056" t="str">
        <f>HYPERLINK("https://bugs.eclipse.org/bugs/show_bug.cgi?id=74409", "74409")</f>
        <v>74409</v>
      </c>
      <c r="C2056" t="s">
        <v>9405</v>
      </c>
      <c r="D2056" t="s">
        <v>10</v>
      </c>
      <c r="E2056" t="s">
        <v>15</v>
      </c>
      <c r="F2056" t="s">
        <v>26</v>
      </c>
      <c r="L2056" t="s">
        <v>9406</v>
      </c>
      <c r="Q2056" t="s">
        <v>9406</v>
      </c>
      <c r="T2056" t="s">
        <v>9407</v>
      </c>
      <c r="U2056" t="s">
        <v>9408</v>
      </c>
      <c r="V2056" t="s">
        <v>9406</v>
      </c>
      <c r="W2056" t="s">
        <v>86</v>
      </c>
      <c r="X2056" t="s">
        <v>9409</v>
      </c>
      <c r="Y2056">
        <v>0</v>
      </c>
      <c r="Z2056">
        <v>57.041666666666657</v>
      </c>
    </row>
    <row r="2057" spans="1:26">
      <c r="A2057" s="1">
        <v>2055</v>
      </c>
      <c r="B2057" t="str">
        <f>HYPERLINK("https://bugs.eclipse.org/bugs/show_bug.cgi?id=74497", "74497")</f>
        <v>74497</v>
      </c>
      <c r="C2057" t="s">
        <v>56</v>
      </c>
      <c r="D2057" t="s">
        <v>10</v>
      </c>
      <c r="E2057" t="s">
        <v>14</v>
      </c>
      <c r="F2057" t="s">
        <v>26</v>
      </c>
      <c r="L2057" t="s">
        <v>9410</v>
      </c>
      <c r="P2057" t="s">
        <v>9410</v>
      </c>
      <c r="T2057" t="s">
        <v>9411</v>
      </c>
      <c r="U2057" t="s">
        <v>9410</v>
      </c>
      <c r="V2057" t="s">
        <v>9410</v>
      </c>
      <c r="W2057" t="s">
        <v>851</v>
      </c>
      <c r="X2057" t="s">
        <v>9412</v>
      </c>
      <c r="Y2057">
        <v>1</v>
      </c>
      <c r="Z2057">
        <v>1</v>
      </c>
    </row>
    <row r="2058" spans="1:26">
      <c r="A2058" s="1">
        <v>2056</v>
      </c>
      <c r="B2058" t="str">
        <f>HYPERLINK("https://bugs.eclipse.org/bugs/show_bug.cgi?id=74557", "74557")</f>
        <v>74557</v>
      </c>
      <c r="C2058" t="s">
        <v>9237</v>
      </c>
      <c r="D2058" t="s">
        <v>10</v>
      </c>
      <c r="E2058" t="s">
        <v>15</v>
      </c>
      <c r="F2058" t="s">
        <v>26</v>
      </c>
      <c r="L2058" t="s">
        <v>9413</v>
      </c>
      <c r="Q2058" t="s">
        <v>9413</v>
      </c>
      <c r="T2058" t="s">
        <v>9414</v>
      </c>
      <c r="U2058" t="s">
        <v>9413</v>
      </c>
      <c r="V2058" t="s">
        <v>9413</v>
      </c>
      <c r="W2058" t="s">
        <v>851</v>
      </c>
      <c r="X2058" t="s">
        <v>9415</v>
      </c>
      <c r="Y2058">
        <v>0</v>
      </c>
      <c r="Z2058">
        <v>0</v>
      </c>
    </row>
    <row r="2059" spans="1:26">
      <c r="A2059" s="1">
        <v>2057</v>
      </c>
      <c r="B2059" t="str">
        <f>HYPERLINK("https://bugs.eclipse.org/bugs/show_bug.cgi?id=74564", "74564")</f>
        <v>74564</v>
      </c>
      <c r="C2059" t="s">
        <v>9237</v>
      </c>
      <c r="D2059" t="s">
        <v>10</v>
      </c>
      <c r="E2059" t="s">
        <v>15</v>
      </c>
      <c r="F2059" t="s">
        <v>26</v>
      </c>
      <c r="L2059" t="s">
        <v>9416</v>
      </c>
      <c r="Q2059" t="s">
        <v>9416</v>
      </c>
      <c r="T2059" t="s">
        <v>9417</v>
      </c>
      <c r="U2059" t="s">
        <v>9416</v>
      </c>
      <c r="V2059" t="s">
        <v>9416</v>
      </c>
      <c r="W2059" t="s">
        <v>2668</v>
      </c>
      <c r="X2059" t="s">
        <v>9418</v>
      </c>
      <c r="Y2059">
        <v>0</v>
      </c>
      <c r="Z2059">
        <v>0</v>
      </c>
    </row>
    <row r="2060" spans="1:26">
      <c r="A2060" s="1">
        <v>2058</v>
      </c>
      <c r="B2060" t="str">
        <f>HYPERLINK("https://bugs.eclipse.org/bugs/show_bug.cgi?id=74759", "74759")</f>
        <v>74759</v>
      </c>
      <c r="C2060" t="s">
        <v>35</v>
      </c>
      <c r="D2060" t="s">
        <v>11</v>
      </c>
      <c r="E2060" t="s">
        <v>12</v>
      </c>
      <c r="F2060" t="s">
        <v>26</v>
      </c>
      <c r="G2060" t="s">
        <v>9419</v>
      </c>
      <c r="L2060" t="s">
        <v>9420</v>
      </c>
      <c r="M2060" t="s">
        <v>9421</v>
      </c>
      <c r="N2060" t="s">
        <v>9420</v>
      </c>
      <c r="T2060" t="s">
        <v>9422</v>
      </c>
      <c r="U2060" t="s">
        <v>9423</v>
      </c>
      <c r="V2060" t="s">
        <v>9421</v>
      </c>
      <c r="W2060" t="s">
        <v>143</v>
      </c>
      <c r="X2060" t="s">
        <v>9424</v>
      </c>
      <c r="Y2060">
        <v>0</v>
      </c>
      <c r="Z2060">
        <v>1496</v>
      </c>
    </row>
    <row r="2061" spans="1:26">
      <c r="A2061" s="1">
        <v>2059</v>
      </c>
      <c r="B2061" t="str">
        <f>HYPERLINK("https://bugs.eclipse.org/bugs/show_bug.cgi?id=75006", "75006")</f>
        <v>75006</v>
      </c>
      <c r="C2061" t="s">
        <v>56</v>
      </c>
      <c r="D2061" t="s">
        <v>10</v>
      </c>
      <c r="E2061" t="s">
        <v>14</v>
      </c>
      <c r="F2061" t="s">
        <v>26</v>
      </c>
      <c r="L2061" t="s">
        <v>9425</v>
      </c>
      <c r="P2061" t="s">
        <v>9426</v>
      </c>
      <c r="T2061" t="s">
        <v>9427</v>
      </c>
      <c r="U2061" t="s">
        <v>9428</v>
      </c>
      <c r="V2061" t="s">
        <v>9426</v>
      </c>
      <c r="W2061" t="s">
        <v>75</v>
      </c>
      <c r="X2061" t="s">
        <v>9429</v>
      </c>
      <c r="Y2061">
        <v>54.041666666666657</v>
      </c>
      <c r="Z2061">
        <v>1801</v>
      </c>
    </row>
    <row r="2062" spans="1:26">
      <c r="A2062" s="1">
        <v>2060</v>
      </c>
      <c r="B2062" t="str">
        <f>HYPERLINK("https://bugs.eclipse.org/bugs/show_bug.cgi?id=75008", "75008")</f>
        <v>75008</v>
      </c>
      <c r="C2062" t="s">
        <v>7922</v>
      </c>
      <c r="D2062" t="s">
        <v>10</v>
      </c>
      <c r="E2062" t="s">
        <v>15</v>
      </c>
      <c r="F2062" t="s">
        <v>26</v>
      </c>
      <c r="L2062" t="s">
        <v>9430</v>
      </c>
      <c r="Q2062" t="s">
        <v>9430</v>
      </c>
      <c r="T2062" t="s">
        <v>9431</v>
      </c>
      <c r="U2062" t="s">
        <v>9432</v>
      </c>
      <c r="V2062" t="s">
        <v>9430</v>
      </c>
      <c r="W2062" t="s">
        <v>86</v>
      </c>
      <c r="X2062" t="s">
        <v>9433</v>
      </c>
      <c r="Y2062">
        <v>3</v>
      </c>
      <c r="Z2062">
        <v>10</v>
      </c>
    </row>
    <row r="2063" spans="1:26">
      <c r="A2063" s="1">
        <v>2061</v>
      </c>
      <c r="B2063" t="str">
        <f>HYPERLINK("https://bugs.eclipse.org/bugs/show_bug.cgi?id=75037", "75037")</f>
        <v>75037</v>
      </c>
      <c r="C2063" t="s">
        <v>140</v>
      </c>
      <c r="D2063" t="s">
        <v>10</v>
      </c>
      <c r="E2063" t="s">
        <v>16</v>
      </c>
      <c r="F2063" t="s">
        <v>26</v>
      </c>
      <c r="L2063" t="s">
        <v>9434</v>
      </c>
      <c r="R2063" t="s">
        <v>9434</v>
      </c>
      <c r="T2063" t="s">
        <v>9435</v>
      </c>
      <c r="U2063" t="s">
        <v>9436</v>
      </c>
      <c r="V2063" t="s">
        <v>9434</v>
      </c>
      <c r="W2063" t="s">
        <v>86</v>
      </c>
      <c r="X2063" t="s">
        <v>9437</v>
      </c>
      <c r="Y2063">
        <v>2</v>
      </c>
      <c r="Z2063">
        <v>9</v>
      </c>
    </row>
    <row r="2064" spans="1:26">
      <c r="A2064" s="1">
        <v>2062</v>
      </c>
      <c r="B2064" t="str">
        <f>HYPERLINK("https://bugs.eclipse.org/bugs/show_bug.cgi?id=75260", "75260")</f>
        <v>75260</v>
      </c>
      <c r="C2064" t="s">
        <v>56</v>
      </c>
      <c r="D2064" t="s">
        <v>10</v>
      </c>
      <c r="E2064" t="s">
        <v>14</v>
      </c>
      <c r="F2064" t="s">
        <v>460</v>
      </c>
      <c r="L2064" t="s">
        <v>9438</v>
      </c>
      <c r="P2064" t="s">
        <v>9439</v>
      </c>
      <c r="T2064" t="s">
        <v>9440</v>
      </c>
      <c r="U2064" t="s">
        <v>9438</v>
      </c>
      <c r="V2064" t="s">
        <v>9439</v>
      </c>
      <c r="W2064" t="s">
        <v>75</v>
      </c>
      <c r="X2064" t="s">
        <v>9441</v>
      </c>
      <c r="Y2064">
        <v>5</v>
      </c>
      <c r="Z2064">
        <v>1796</v>
      </c>
    </row>
    <row r="2065" spans="1:26">
      <c r="A2065" s="1">
        <v>2063</v>
      </c>
      <c r="B2065" t="str">
        <f>HYPERLINK("https://bugs.eclipse.org/bugs/show_bug.cgi?id=75287", "75287")</f>
        <v>75287</v>
      </c>
      <c r="C2065" t="s">
        <v>140</v>
      </c>
      <c r="D2065" t="s">
        <v>10</v>
      </c>
      <c r="E2065" t="s">
        <v>16</v>
      </c>
      <c r="F2065" t="s">
        <v>51</v>
      </c>
      <c r="L2065" t="s">
        <v>9442</v>
      </c>
      <c r="R2065" t="s">
        <v>9442</v>
      </c>
      <c r="T2065" t="s">
        <v>9443</v>
      </c>
      <c r="U2065" t="s">
        <v>9444</v>
      </c>
      <c r="V2065" t="s">
        <v>9442</v>
      </c>
      <c r="W2065" t="s">
        <v>49</v>
      </c>
      <c r="X2065" t="s">
        <v>9445</v>
      </c>
      <c r="Y2065">
        <v>5</v>
      </c>
      <c r="Z2065">
        <v>624</v>
      </c>
    </row>
    <row r="2066" spans="1:26">
      <c r="A2066" s="1">
        <v>2064</v>
      </c>
      <c r="B2066" t="str">
        <f>HYPERLINK("https://bugs.eclipse.org/bugs/show_bug.cgi?id=75426", "75426")</f>
        <v>75426</v>
      </c>
      <c r="C2066" t="s">
        <v>35</v>
      </c>
      <c r="D2066" t="s">
        <v>11</v>
      </c>
      <c r="E2066" t="s">
        <v>12</v>
      </c>
      <c r="F2066" t="s">
        <v>26</v>
      </c>
      <c r="L2066" t="s">
        <v>9446</v>
      </c>
      <c r="M2066" t="s">
        <v>9447</v>
      </c>
      <c r="N2066" t="s">
        <v>9446</v>
      </c>
      <c r="T2066" t="s">
        <v>9448</v>
      </c>
      <c r="U2066" t="s">
        <v>9449</v>
      </c>
      <c r="V2066" t="s">
        <v>9447</v>
      </c>
      <c r="W2066" t="s">
        <v>143</v>
      </c>
      <c r="X2066" t="s">
        <v>9450</v>
      </c>
      <c r="Y2066">
        <v>1</v>
      </c>
      <c r="Z2066">
        <v>34.041666666666657</v>
      </c>
    </row>
    <row r="2067" spans="1:26">
      <c r="A2067" s="1">
        <v>2065</v>
      </c>
      <c r="B2067" t="str">
        <f>HYPERLINK("https://bugs.eclipse.org/bugs/show_bug.cgi?id=75431", "75431")</f>
        <v>75431</v>
      </c>
      <c r="C2067" t="s">
        <v>995</v>
      </c>
      <c r="D2067" t="s">
        <v>192</v>
      </c>
      <c r="E2067" t="s">
        <v>12</v>
      </c>
      <c r="F2067" t="s">
        <v>26</v>
      </c>
      <c r="L2067" t="s">
        <v>9451</v>
      </c>
      <c r="N2067" t="s">
        <v>9451</v>
      </c>
      <c r="T2067" t="s">
        <v>9452</v>
      </c>
      <c r="U2067" t="s">
        <v>9453</v>
      </c>
      <c r="V2067" t="s">
        <v>9454</v>
      </c>
      <c r="W2067" t="s">
        <v>1161</v>
      </c>
      <c r="X2067" t="s">
        <v>9455</v>
      </c>
      <c r="Y2067">
        <v>0</v>
      </c>
      <c r="Z2067">
        <v>38.041666666666657</v>
      </c>
    </row>
    <row r="2068" spans="1:26">
      <c r="A2068" s="1">
        <v>2066</v>
      </c>
      <c r="B2068" t="str">
        <f>HYPERLINK("https://bugs.eclipse.org/bugs/show_bug.cgi?id=75432", "75432")</f>
        <v>75432</v>
      </c>
      <c r="C2068" t="s">
        <v>995</v>
      </c>
      <c r="D2068" t="s">
        <v>192</v>
      </c>
      <c r="E2068" t="s">
        <v>12</v>
      </c>
      <c r="F2068" t="s">
        <v>26</v>
      </c>
      <c r="L2068" t="s">
        <v>9456</v>
      </c>
      <c r="N2068" t="s">
        <v>9456</v>
      </c>
      <c r="T2068" t="s">
        <v>9457</v>
      </c>
      <c r="U2068" t="s">
        <v>9458</v>
      </c>
      <c r="V2068" t="s">
        <v>9459</v>
      </c>
      <c r="W2068" t="s">
        <v>1161</v>
      </c>
      <c r="X2068" t="s">
        <v>9460</v>
      </c>
      <c r="Y2068">
        <v>0</v>
      </c>
      <c r="Z2068">
        <v>38.041666666666657</v>
      </c>
    </row>
    <row r="2069" spans="1:26">
      <c r="A2069" s="1">
        <v>2067</v>
      </c>
      <c r="B2069" t="str">
        <f>HYPERLINK("https://bugs.eclipse.org/bugs/show_bug.cgi?id=75504", "75504")</f>
        <v>75504</v>
      </c>
      <c r="C2069" t="s">
        <v>56</v>
      </c>
      <c r="D2069" t="s">
        <v>10</v>
      </c>
      <c r="E2069" t="s">
        <v>14</v>
      </c>
      <c r="F2069" t="s">
        <v>26</v>
      </c>
      <c r="L2069" t="s">
        <v>9461</v>
      </c>
      <c r="P2069" t="s">
        <v>9462</v>
      </c>
      <c r="T2069" t="s">
        <v>9463</v>
      </c>
      <c r="U2069" t="s">
        <v>9461</v>
      </c>
      <c r="V2069" t="s">
        <v>9462</v>
      </c>
      <c r="W2069" t="s">
        <v>80</v>
      </c>
      <c r="X2069" t="s">
        <v>9464</v>
      </c>
      <c r="Y2069">
        <v>3</v>
      </c>
      <c r="Z2069">
        <v>1794</v>
      </c>
    </row>
    <row r="2070" spans="1:26">
      <c r="A2070" s="1">
        <v>2068</v>
      </c>
      <c r="B2070" t="str">
        <f>HYPERLINK("https://bugs.eclipse.org/bugs/show_bug.cgi?id=75582", "75582")</f>
        <v>75582</v>
      </c>
      <c r="C2070" t="s">
        <v>88</v>
      </c>
      <c r="D2070" t="s">
        <v>10</v>
      </c>
      <c r="E2070" t="s">
        <v>13</v>
      </c>
      <c r="F2070" t="s">
        <v>26</v>
      </c>
      <c r="L2070" t="s">
        <v>9465</v>
      </c>
      <c r="O2070" t="s">
        <v>9466</v>
      </c>
      <c r="S2070" t="s">
        <v>9467</v>
      </c>
      <c r="T2070" t="s">
        <v>9468</v>
      </c>
      <c r="U2070" t="s">
        <v>9469</v>
      </c>
      <c r="V2070" t="s">
        <v>9466</v>
      </c>
      <c r="W2070" t="s">
        <v>75</v>
      </c>
      <c r="X2070" t="s">
        <v>9470</v>
      </c>
      <c r="Y2070">
        <v>30.041666666666671</v>
      </c>
      <c r="Z2070">
        <v>1791</v>
      </c>
    </row>
    <row r="2071" spans="1:26">
      <c r="A2071" s="1">
        <v>2069</v>
      </c>
      <c r="B2071" t="str">
        <f>HYPERLINK("https://bugs.eclipse.org/bugs/show_bug.cgi?id=75601", "75601")</f>
        <v>75601</v>
      </c>
      <c r="C2071" t="s">
        <v>25</v>
      </c>
      <c r="D2071" t="s">
        <v>25</v>
      </c>
      <c r="F2071" t="s">
        <v>26</v>
      </c>
      <c r="T2071" t="s">
        <v>9471</v>
      </c>
      <c r="U2071" t="s">
        <v>9472</v>
      </c>
      <c r="V2071" t="s">
        <v>9473</v>
      </c>
      <c r="W2071" t="s">
        <v>143</v>
      </c>
      <c r="X2071" t="s">
        <v>9474</v>
      </c>
      <c r="Y2071">
        <v>30.041666666666671</v>
      </c>
    </row>
    <row r="2072" spans="1:26">
      <c r="A2072" s="1">
        <v>2070</v>
      </c>
      <c r="B2072" t="str">
        <f>HYPERLINK("https://bugs.eclipse.org/bugs/show_bug.cgi?id=75603", "75603")</f>
        <v>75603</v>
      </c>
      <c r="C2072" t="s">
        <v>9475</v>
      </c>
      <c r="D2072" t="s">
        <v>10</v>
      </c>
      <c r="E2072" t="s">
        <v>15</v>
      </c>
      <c r="F2072" t="s">
        <v>26</v>
      </c>
      <c r="G2072" t="s">
        <v>9476</v>
      </c>
      <c r="L2072" t="s">
        <v>9477</v>
      </c>
      <c r="Q2072" t="s">
        <v>9477</v>
      </c>
      <c r="T2072" t="s">
        <v>9478</v>
      </c>
      <c r="U2072" t="s">
        <v>9479</v>
      </c>
      <c r="V2072" t="s">
        <v>9477</v>
      </c>
      <c r="W2072" t="s">
        <v>2668</v>
      </c>
      <c r="X2072" t="s">
        <v>9480</v>
      </c>
      <c r="Y2072">
        <v>44.041666666666657</v>
      </c>
      <c r="Z2072">
        <v>392.04166666666669</v>
      </c>
    </row>
    <row r="2073" spans="1:26">
      <c r="A2073" s="1">
        <v>2071</v>
      </c>
      <c r="B2073" t="str">
        <f>HYPERLINK("https://bugs.eclipse.org/bugs/show_bug.cgi?id=75655", "75655")</f>
        <v>75655</v>
      </c>
      <c r="C2073" t="s">
        <v>9481</v>
      </c>
      <c r="D2073" t="s">
        <v>10</v>
      </c>
      <c r="E2073" t="s">
        <v>15</v>
      </c>
      <c r="F2073" t="s">
        <v>26</v>
      </c>
      <c r="L2073" t="s">
        <v>9482</v>
      </c>
      <c r="Q2073" t="s">
        <v>9482</v>
      </c>
      <c r="T2073" t="s">
        <v>9483</v>
      </c>
      <c r="U2073" t="s">
        <v>9484</v>
      </c>
      <c r="V2073" t="s">
        <v>9482</v>
      </c>
      <c r="W2073" t="s">
        <v>86</v>
      </c>
      <c r="X2073" t="s">
        <v>9485</v>
      </c>
      <c r="Y2073">
        <v>1</v>
      </c>
      <c r="Z2073">
        <v>3</v>
      </c>
    </row>
    <row r="2074" spans="1:26">
      <c r="A2074" s="1">
        <v>2072</v>
      </c>
      <c r="B2074" t="str">
        <f>HYPERLINK("https://bugs.eclipse.org/bugs/show_bug.cgi?id=75854", "75854")</f>
        <v>75854</v>
      </c>
      <c r="C2074" t="s">
        <v>9486</v>
      </c>
      <c r="D2074" t="s">
        <v>10</v>
      </c>
      <c r="E2074" t="s">
        <v>15</v>
      </c>
      <c r="F2074" t="s">
        <v>26</v>
      </c>
      <c r="G2074" t="s">
        <v>9487</v>
      </c>
      <c r="L2074" t="s">
        <v>9488</v>
      </c>
      <c r="Q2074" t="s">
        <v>9488</v>
      </c>
      <c r="T2074" t="s">
        <v>9489</v>
      </c>
      <c r="U2074" t="s">
        <v>9490</v>
      </c>
      <c r="V2074" t="s">
        <v>9488</v>
      </c>
      <c r="W2074" t="s">
        <v>86</v>
      </c>
      <c r="X2074" t="s">
        <v>9491</v>
      </c>
      <c r="Y2074">
        <v>1</v>
      </c>
      <c r="Z2074">
        <v>1</v>
      </c>
    </row>
    <row r="2075" spans="1:26">
      <c r="A2075" s="1">
        <v>2073</v>
      </c>
      <c r="B2075" t="str">
        <f>HYPERLINK("https://bugs.eclipse.org/bugs/show_bug.cgi?id=76031", "76031")</f>
        <v>76031</v>
      </c>
      <c r="C2075" t="s">
        <v>56</v>
      </c>
      <c r="D2075" t="s">
        <v>10</v>
      </c>
      <c r="E2075" t="s">
        <v>14</v>
      </c>
      <c r="F2075" t="s">
        <v>26</v>
      </c>
      <c r="L2075" t="s">
        <v>9492</v>
      </c>
      <c r="P2075" t="s">
        <v>9492</v>
      </c>
      <c r="T2075" t="s">
        <v>9493</v>
      </c>
      <c r="U2075" t="s">
        <v>9494</v>
      </c>
      <c r="V2075" t="s">
        <v>9492</v>
      </c>
      <c r="W2075" t="s">
        <v>851</v>
      </c>
      <c r="X2075" t="s">
        <v>9495</v>
      </c>
      <c r="Y2075">
        <v>2</v>
      </c>
      <c r="Z2075">
        <v>38.041666666666657</v>
      </c>
    </row>
    <row r="2076" spans="1:26">
      <c r="A2076" s="1">
        <v>2074</v>
      </c>
      <c r="B2076" t="str">
        <f>HYPERLINK("https://bugs.eclipse.org/bugs/show_bug.cgi?id=76081", "76081")</f>
        <v>76081</v>
      </c>
      <c r="C2076" t="s">
        <v>9496</v>
      </c>
      <c r="D2076" t="s">
        <v>192</v>
      </c>
      <c r="E2076" t="s">
        <v>15</v>
      </c>
      <c r="F2076" t="s">
        <v>26</v>
      </c>
      <c r="L2076" t="s">
        <v>9497</v>
      </c>
      <c r="P2076" t="s">
        <v>9498</v>
      </c>
      <c r="Q2076" t="s">
        <v>9499</v>
      </c>
      <c r="T2076" t="s">
        <v>9500</v>
      </c>
      <c r="U2076" t="s">
        <v>9501</v>
      </c>
      <c r="V2076" t="s">
        <v>9499</v>
      </c>
      <c r="W2076" t="s">
        <v>143</v>
      </c>
      <c r="X2076" t="s">
        <v>9502</v>
      </c>
      <c r="Y2076">
        <v>0</v>
      </c>
      <c r="Z2076">
        <v>2115</v>
      </c>
    </row>
    <row r="2077" spans="1:26">
      <c r="A2077" s="1">
        <v>2075</v>
      </c>
      <c r="B2077" t="str">
        <f>HYPERLINK("https://bugs.eclipse.org/bugs/show_bug.cgi?id=76090", "76090")</f>
        <v>76090</v>
      </c>
      <c r="C2077" t="s">
        <v>5739</v>
      </c>
      <c r="D2077" t="s">
        <v>10</v>
      </c>
      <c r="E2077" t="s">
        <v>15</v>
      </c>
      <c r="F2077" t="s">
        <v>26</v>
      </c>
      <c r="L2077" t="s">
        <v>9503</v>
      </c>
      <c r="Q2077" t="s">
        <v>9503</v>
      </c>
      <c r="T2077" t="s">
        <v>9504</v>
      </c>
      <c r="U2077" t="s">
        <v>9503</v>
      </c>
      <c r="V2077" t="s">
        <v>9503</v>
      </c>
      <c r="W2077" t="s">
        <v>86</v>
      </c>
      <c r="X2077" t="s">
        <v>9505</v>
      </c>
      <c r="Y2077">
        <v>1</v>
      </c>
      <c r="Z2077">
        <v>1</v>
      </c>
    </row>
    <row r="2078" spans="1:26">
      <c r="A2078" s="1">
        <v>2076</v>
      </c>
      <c r="B2078" t="str">
        <f>HYPERLINK("https://bugs.eclipse.org/bugs/show_bug.cgi?id=76158", "76158")</f>
        <v>76158</v>
      </c>
      <c r="C2078" t="s">
        <v>149</v>
      </c>
      <c r="D2078" t="s">
        <v>10</v>
      </c>
      <c r="E2078" t="s">
        <v>12</v>
      </c>
      <c r="F2078" t="s">
        <v>26</v>
      </c>
      <c r="L2078" t="s">
        <v>9506</v>
      </c>
      <c r="N2078" t="s">
        <v>9506</v>
      </c>
      <c r="T2078" t="s">
        <v>9507</v>
      </c>
      <c r="U2078" t="s">
        <v>9508</v>
      </c>
      <c r="V2078" t="s">
        <v>9506</v>
      </c>
      <c r="W2078" t="s">
        <v>86</v>
      </c>
      <c r="X2078" t="s">
        <v>9509</v>
      </c>
      <c r="Y2078">
        <v>35.041666666666657</v>
      </c>
      <c r="Z2078">
        <v>117.0416666666667</v>
      </c>
    </row>
    <row r="2079" spans="1:26">
      <c r="A2079" s="1">
        <v>2077</v>
      </c>
      <c r="B2079" t="str">
        <f>HYPERLINK("https://bugs.eclipse.org/bugs/show_bug.cgi?id=76241", "76241")</f>
        <v>76241</v>
      </c>
      <c r="C2079" t="s">
        <v>149</v>
      </c>
      <c r="D2079" t="s">
        <v>10</v>
      </c>
      <c r="E2079" t="s">
        <v>12</v>
      </c>
      <c r="F2079" t="s">
        <v>26</v>
      </c>
      <c r="L2079" t="s">
        <v>9510</v>
      </c>
      <c r="N2079" t="s">
        <v>9510</v>
      </c>
      <c r="S2079" t="s">
        <v>9511</v>
      </c>
      <c r="T2079" t="s">
        <v>9512</v>
      </c>
      <c r="U2079" t="s">
        <v>9513</v>
      </c>
      <c r="V2079" t="s">
        <v>9510</v>
      </c>
      <c r="W2079" t="s">
        <v>86</v>
      </c>
      <c r="X2079" t="s">
        <v>9514</v>
      </c>
      <c r="Y2079">
        <v>20.041666666666671</v>
      </c>
      <c r="Z2079">
        <v>200</v>
      </c>
    </row>
    <row r="2080" spans="1:26">
      <c r="A2080" s="1">
        <v>2078</v>
      </c>
      <c r="B2080" t="str">
        <f>HYPERLINK("https://bugs.eclipse.org/bugs/show_bug.cgi?id=76370", "76370")</f>
        <v>76370</v>
      </c>
      <c r="C2080" t="s">
        <v>140</v>
      </c>
      <c r="D2080" t="s">
        <v>10</v>
      </c>
      <c r="E2080" t="s">
        <v>16</v>
      </c>
      <c r="F2080" t="s">
        <v>26</v>
      </c>
      <c r="L2080" t="s">
        <v>9515</v>
      </c>
      <c r="R2080" t="s">
        <v>9515</v>
      </c>
      <c r="T2080" t="s">
        <v>9516</v>
      </c>
      <c r="U2080" t="s">
        <v>9517</v>
      </c>
      <c r="V2080" t="s">
        <v>9515</v>
      </c>
      <c r="W2080" t="s">
        <v>86</v>
      </c>
      <c r="X2080" t="s">
        <v>9518</v>
      </c>
      <c r="Y2080">
        <v>18.041666666666671</v>
      </c>
      <c r="Z2080">
        <v>115.0416666666667</v>
      </c>
    </row>
    <row r="2081" spans="1:26">
      <c r="A2081" s="1">
        <v>2079</v>
      </c>
      <c r="B2081" t="str">
        <f>HYPERLINK("https://bugs.eclipse.org/bugs/show_bug.cgi?id=76379", "76379")</f>
        <v>76379</v>
      </c>
      <c r="C2081" t="s">
        <v>140</v>
      </c>
      <c r="D2081" t="s">
        <v>10</v>
      </c>
      <c r="E2081" t="s">
        <v>16</v>
      </c>
      <c r="F2081" t="s">
        <v>26</v>
      </c>
      <c r="L2081" t="s">
        <v>9519</v>
      </c>
      <c r="R2081" t="s">
        <v>9519</v>
      </c>
      <c r="T2081" t="s">
        <v>9520</v>
      </c>
      <c r="U2081" t="s">
        <v>9521</v>
      </c>
      <c r="V2081" t="s">
        <v>9519</v>
      </c>
      <c r="W2081" t="s">
        <v>86</v>
      </c>
      <c r="X2081" t="s">
        <v>9522</v>
      </c>
      <c r="Y2081">
        <v>3</v>
      </c>
      <c r="Z2081">
        <v>19.041666666666671</v>
      </c>
    </row>
    <row r="2082" spans="1:26">
      <c r="A2082" s="1">
        <v>2080</v>
      </c>
      <c r="B2082" t="str">
        <f>HYPERLINK("https://bugs.eclipse.org/bugs/show_bug.cgi?id=76388", "76388")</f>
        <v>76388</v>
      </c>
      <c r="C2082" t="s">
        <v>140</v>
      </c>
      <c r="D2082" t="s">
        <v>10</v>
      </c>
      <c r="E2082" t="s">
        <v>16</v>
      </c>
      <c r="F2082" t="s">
        <v>26</v>
      </c>
      <c r="L2082" t="s">
        <v>9523</v>
      </c>
      <c r="R2082" t="s">
        <v>9523</v>
      </c>
      <c r="T2082" t="s">
        <v>9524</v>
      </c>
      <c r="U2082" t="s">
        <v>9525</v>
      </c>
      <c r="V2082" t="s">
        <v>9523</v>
      </c>
      <c r="W2082" t="s">
        <v>86</v>
      </c>
      <c r="X2082" t="s">
        <v>9526</v>
      </c>
      <c r="Y2082">
        <v>3</v>
      </c>
      <c r="Z2082">
        <v>115.0416666666667</v>
      </c>
    </row>
    <row r="2083" spans="1:26">
      <c r="A2083" s="1">
        <v>2081</v>
      </c>
      <c r="B2083" t="str">
        <f>HYPERLINK("https://bugs.eclipse.org/bugs/show_bug.cgi?id=76446", "76446")</f>
        <v>76446</v>
      </c>
      <c r="C2083" t="s">
        <v>88</v>
      </c>
      <c r="D2083" t="s">
        <v>10</v>
      </c>
      <c r="E2083" t="s">
        <v>13</v>
      </c>
      <c r="F2083" t="s">
        <v>26</v>
      </c>
      <c r="L2083" t="s">
        <v>9527</v>
      </c>
      <c r="O2083" t="s">
        <v>9527</v>
      </c>
      <c r="T2083" t="s">
        <v>9528</v>
      </c>
      <c r="U2083" t="s">
        <v>9529</v>
      </c>
      <c r="V2083" t="s">
        <v>9527</v>
      </c>
      <c r="W2083" t="s">
        <v>9530</v>
      </c>
      <c r="X2083" t="s">
        <v>9531</v>
      </c>
      <c r="Y2083">
        <v>0</v>
      </c>
      <c r="Z2083">
        <v>0</v>
      </c>
    </row>
    <row r="2084" spans="1:26">
      <c r="A2084" s="1">
        <v>2082</v>
      </c>
      <c r="B2084" t="str">
        <f>HYPERLINK("https://bugs.eclipse.org/bugs/show_bug.cgi?id=76485", "76485")</f>
        <v>76485</v>
      </c>
      <c r="C2084" t="s">
        <v>9532</v>
      </c>
      <c r="D2084" t="s">
        <v>10</v>
      </c>
      <c r="E2084" t="s">
        <v>15</v>
      </c>
      <c r="F2084" t="s">
        <v>26</v>
      </c>
      <c r="L2084" t="s">
        <v>9533</v>
      </c>
      <c r="Q2084" t="s">
        <v>9533</v>
      </c>
      <c r="T2084" t="s">
        <v>9534</v>
      </c>
      <c r="U2084" t="s">
        <v>9533</v>
      </c>
      <c r="V2084" t="s">
        <v>9533</v>
      </c>
      <c r="W2084" t="s">
        <v>86</v>
      </c>
      <c r="X2084" t="s">
        <v>9535</v>
      </c>
      <c r="Y2084">
        <v>1</v>
      </c>
      <c r="Z2084">
        <v>1</v>
      </c>
    </row>
    <row r="2085" spans="1:26">
      <c r="A2085" s="1">
        <v>2083</v>
      </c>
      <c r="B2085" t="str">
        <f>HYPERLINK("https://bugs.eclipse.org/bugs/show_bug.cgi?id=76503", "76503")</f>
        <v>76503</v>
      </c>
      <c r="C2085" t="s">
        <v>9536</v>
      </c>
      <c r="D2085" t="s">
        <v>10</v>
      </c>
      <c r="E2085" t="s">
        <v>15</v>
      </c>
      <c r="F2085" t="s">
        <v>26</v>
      </c>
      <c r="G2085" t="s">
        <v>9537</v>
      </c>
      <c r="L2085" t="s">
        <v>9538</v>
      </c>
      <c r="Q2085" t="s">
        <v>9538</v>
      </c>
      <c r="S2085" t="s">
        <v>9539</v>
      </c>
      <c r="T2085" t="s">
        <v>9540</v>
      </c>
      <c r="U2085" t="s">
        <v>9541</v>
      </c>
      <c r="V2085" t="s">
        <v>9538</v>
      </c>
      <c r="W2085" t="s">
        <v>86</v>
      </c>
      <c r="X2085" t="s">
        <v>9542</v>
      </c>
      <c r="Y2085">
        <v>9</v>
      </c>
      <c r="Z2085">
        <v>301</v>
      </c>
    </row>
    <row r="2086" spans="1:26">
      <c r="A2086" s="1">
        <v>2084</v>
      </c>
      <c r="B2086" t="str">
        <f>HYPERLINK("https://bugs.eclipse.org/bugs/show_bug.cgi?id=76568", "76568")</f>
        <v>76568</v>
      </c>
      <c r="C2086" t="s">
        <v>191</v>
      </c>
      <c r="D2086" t="s">
        <v>192</v>
      </c>
      <c r="E2086" t="s">
        <v>14</v>
      </c>
      <c r="F2086" t="s">
        <v>51</v>
      </c>
      <c r="P2086" t="s">
        <v>9543</v>
      </c>
      <c r="T2086" t="s">
        <v>9544</v>
      </c>
      <c r="U2086" t="s">
        <v>9545</v>
      </c>
      <c r="V2086" t="s">
        <v>9543</v>
      </c>
      <c r="W2086" t="s">
        <v>65</v>
      </c>
      <c r="X2086" t="s">
        <v>9546</v>
      </c>
      <c r="Y2086">
        <v>0</v>
      </c>
      <c r="Z2086">
        <v>5574.041666666667</v>
      </c>
    </row>
    <row r="2087" spans="1:26">
      <c r="A2087" s="1">
        <v>2085</v>
      </c>
      <c r="B2087" t="str">
        <f>HYPERLINK("https://bugs.eclipse.org/bugs/show_bug.cgi?id=76570", "76570")</f>
        <v>76570</v>
      </c>
      <c r="C2087" t="s">
        <v>140</v>
      </c>
      <c r="D2087" t="s">
        <v>10</v>
      </c>
      <c r="E2087" t="s">
        <v>16</v>
      </c>
      <c r="F2087" t="s">
        <v>26</v>
      </c>
      <c r="L2087" t="s">
        <v>9547</v>
      </c>
      <c r="R2087" t="s">
        <v>9547</v>
      </c>
      <c r="T2087" t="s">
        <v>9548</v>
      </c>
      <c r="U2087" t="s">
        <v>9549</v>
      </c>
      <c r="V2087" t="s">
        <v>9547</v>
      </c>
      <c r="W2087" t="s">
        <v>9550</v>
      </c>
      <c r="X2087" t="s">
        <v>9551</v>
      </c>
      <c r="Y2087">
        <v>0</v>
      </c>
      <c r="Z2087">
        <v>13.04166666666667</v>
      </c>
    </row>
    <row r="2088" spans="1:26">
      <c r="A2088" s="1">
        <v>2086</v>
      </c>
      <c r="B2088" t="str">
        <f>HYPERLINK("https://bugs.eclipse.org/bugs/show_bug.cgi?id=76574", "76574")</f>
        <v>76574</v>
      </c>
      <c r="C2088" t="s">
        <v>149</v>
      </c>
      <c r="D2088" t="s">
        <v>10</v>
      </c>
      <c r="E2088" t="s">
        <v>12</v>
      </c>
      <c r="F2088" t="s">
        <v>26</v>
      </c>
      <c r="L2088" t="s">
        <v>9552</v>
      </c>
      <c r="N2088" t="s">
        <v>9552</v>
      </c>
      <c r="T2088" t="s">
        <v>9553</v>
      </c>
      <c r="U2088" t="s">
        <v>9554</v>
      </c>
      <c r="V2088" t="s">
        <v>9555</v>
      </c>
      <c r="W2088" t="s">
        <v>2668</v>
      </c>
      <c r="X2088" t="s">
        <v>9556</v>
      </c>
      <c r="Y2088">
        <v>0</v>
      </c>
      <c r="Z2088">
        <v>9</v>
      </c>
    </row>
    <row r="2089" spans="1:26">
      <c r="A2089" s="1">
        <v>2087</v>
      </c>
      <c r="B2089" t="str">
        <f>HYPERLINK("https://bugs.eclipse.org/bugs/show_bug.cgi?id=76580", "76580")</f>
        <v>76580</v>
      </c>
      <c r="C2089" t="s">
        <v>149</v>
      </c>
      <c r="D2089" t="s">
        <v>10</v>
      </c>
      <c r="E2089" t="s">
        <v>12</v>
      </c>
      <c r="F2089" t="s">
        <v>26</v>
      </c>
      <c r="L2089" t="s">
        <v>9557</v>
      </c>
      <c r="N2089" t="s">
        <v>9557</v>
      </c>
      <c r="T2089" t="s">
        <v>9558</v>
      </c>
      <c r="U2089" t="s">
        <v>9559</v>
      </c>
      <c r="V2089" t="s">
        <v>9557</v>
      </c>
      <c r="W2089" t="s">
        <v>86</v>
      </c>
      <c r="X2089" t="s">
        <v>9560</v>
      </c>
      <c r="Y2089">
        <v>13.04166666666667</v>
      </c>
      <c r="Z2089">
        <v>111.0416666666667</v>
      </c>
    </row>
    <row r="2090" spans="1:26">
      <c r="A2090" s="1">
        <v>2088</v>
      </c>
      <c r="B2090" t="str">
        <f>HYPERLINK("https://bugs.eclipse.org/bugs/show_bug.cgi?id=76764", "76764")</f>
        <v>76764</v>
      </c>
      <c r="C2090" t="s">
        <v>149</v>
      </c>
      <c r="D2090" t="s">
        <v>10</v>
      </c>
      <c r="E2090" t="s">
        <v>12</v>
      </c>
      <c r="F2090" t="s">
        <v>26</v>
      </c>
      <c r="L2090" t="s">
        <v>9561</v>
      </c>
      <c r="N2090" t="s">
        <v>9561</v>
      </c>
      <c r="T2090" t="s">
        <v>9562</v>
      </c>
      <c r="U2090" t="s">
        <v>9563</v>
      </c>
      <c r="V2090" t="s">
        <v>9561</v>
      </c>
      <c r="W2090" t="s">
        <v>851</v>
      </c>
      <c r="X2090" t="s">
        <v>9564</v>
      </c>
      <c r="Y2090">
        <v>4</v>
      </c>
      <c r="Z2090">
        <v>8</v>
      </c>
    </row>
    <row r="2091" spans="1:26">
      <c r="A2091" s="1">
        <v>2089</v>
      </c>
      <c r="B2091" t="str">
        <f>HYPERLINK("https://bugs.eclipse.org/bugs/show_bug.cgi?id=76813", "76813")</f>
        <v>76813</v>
      </c>
      <c r="C2091" t="s">
        <v>4640</v>
      </c>
      <c r="D2091" t="s">
        <v>10</v>
      </c>
      <c r="E2091" t="s">
        <v>15</v>
      </c>
      <c r="F2091" t="s">
        <v>26</v>
      </c>
      <c r="L2091" t="s">
        <v>9565</v>
      </c>
      <c r="Q2091" t="s">
        <v>9565</v>
      </c>
      <c r="T2091" t="s">
        <v>9566</v>
      </c>
      <c r="U2091" t="s">
        <v>9565</v>
      </c>
      <c r="V2091" t="s">
        <v>9565</v>
      </c>
      <c r="W2091" t="s">
        <v>86</v>
      </c>
      <c r="X2091" t="s">
        <v>9567</v>
      </c>
      <c r="Y2091">
        <v>3</v>
      </c>
      <c r="Z2091">
        <v>3</v>
      </c>
    </row>
    <row r="2092" spans="1:26">
      <c r="A2092" s="1">
        <v>2090</v>
      </c>
      <c r="B2092" t="str">
        <f>HYPERLINK("https://bugs.eclipse.org/bugs/show_bug.cgi?id=76926", "76926")</f>
        <v>76926</v>
      </c>
      <c r="C2092" t="s">
        <v>56</v>
      </c>
      <c r="D2092" t="s">
        <v>10</v>
      </c>
      <c r="E2092" t="s">
        <v>14</v>
      </c>
      <c r="F2092" t="s">
        <v>26</v>
      </c>
      <c r="L2092" t="s">
        <v>9568</v>
      </c>
      <c r="P2092" t="s">
        <v>9569</v>
      </c>
      <c r="T2092" t="s">
        <v>9570</v>
      </c>
      <c r="U2092" t="s">
        <v>9571</v>
      </c>
      <c r="V2092" t="s">
        <v>9569</v>
      </c>
      <c r="W2092" t="s">
        <v>75</v>
      </c>
      <c r="X2092" t="s">
        <v>9572</v>
      </c>
      <c r="Y2092">
        <v>0</v>
      </c>
      <c r="Z2092">
        <v>1770</v>
      </c>
    </row>
    <row r="2093" spans="1:26">
      <c r="A2093" s="1">
        <v>2091</v>
      </c>
      <c r="B2093" t="str">
        <f>HYPERLINK("https://bugs.eclipse.org/bugs/show_bug.cgi?id=76927", "76927")</f>
        <v>76927</v>
      </c>
      <c r="C2093" t="s">
        <v>56</v>
      </c>
      <c r="D2093" t="s">
        <v>10</v>
      </c>
      <c r="E2093" t="s">
        <v>14</v>
      </c>
      <c r="F2093" t="s">
        <v>26</v>
      </c>
      <c r="L2093" t="s">
        <v>9573</v>
      </c>
      <c r="P2093" t="s">
        <v>9574</v>
      </c>
      <c r="T2093" t="s">
        <v>9575</v>
      </c>
      <c r="U2093" t="s">
        <v>9576</v>
      </c>
      <c r="V2093" t="s">
        <v>9574</v>
      </c>
      <c r="W2093" t="s">
        <v>80</v>
      </c>
      <c r="X2093" t="s">
        <v>9577</v>
      </c>
      <c r="Y2093">
        <v>0</v>
      </c>
      <c r="Z2093">
        <v>1770</v>
      </c>
    </row>
    <row r="2094" spans="1:26">
      <c r="A2094" s="1">
        <v>2092</v>
      </c>
      <c r="B2094" t="str">
        <f>HYPERLINK("https://bugs.eclipse.org/bugs/show_bug.cgi?id=77006", "77006")</f>
        <v>77006</v>
      </c>
      <c r="C2094" t="s">
        <v>35</v>
      </c>
      <c r="D2094" t="s">
        <v>11</v>
      </c>
      <c r="E2094" t="s">
        <v>12</v>
      </c>
      <c r="F2094" t="s">
        <v>150</v>
      </c>
      <c r="L2094" t="s">
        <v>9578</v>
      </c>
      <c r="M2094" t="s">
        <v>9579</v>
      </c>
      <c r="N2094" t="s">
        <v>9578</v>
      </c>
      <c r="T2094" t="s">
        <v>9580</v>
      </c>
      <c r="U2094" t="s">
        <v>9581</v>
      </c>
      <c r="V2094" t="s">
        <v>9579</v>
      </c>
      <c r="W2094" t="s">
        <v>2668</v>
      </c>
      <c r="X2094" t="s">
        <v>9582</v>
      </c>
      <c r="Y2094">
        <v>0</v>
      </c>
      <c r="Z2094">
        <v>9.0416666666666661</v>
      </c>
    </row>
    <row r="2095" spans="1:26">
      <c r="A2095" s="1">
        <v>2093</v>
      </c>
      <c r="B2095" t="str">
        <f>HYPERLINK("https://bugs.eclipse.org/bugs/show_bug.cgi?id=77083", "77083")</f>
        <v>77083</v>
      </c>
      <c r="C2095" t="s">
        <v>149</v>
      </c>
      <c r="D2095" t="s">
        <v>10</v>
      </c>
      <c r="E2095" t="s">
        <v>12</v>
      </c>
      <c r="F2095" t="s">
        <v>26</v>
      </c>
      <c r="L2095" t="s">
        <v>9583</v>
      </c>
      <c r="N2095" t="s">
        <v>9583</v>
      </c>
      <c r="T2095" t="s">
        <v>9584</v>
      </c>
      <c r="U2095" t="s">
        <v>9585</v>
      </c>
      <c r="V2095" t="s">
        <v>9583</v>
      </c>
      <c r="W2095" t="s">
        <v>2668</v>
      </c>
      <c r="X2095" t="s">
        <v>9586</v>
      </c>
      <c r="Y2095">
        <v>0</v>
      </c>
      <c r="Z2095">
        <v>1</v>
      </c>
    </row>
    <row r="2096" spans="1:26">
      <c r="A2096" s="1">
        <v>2094</v>
      </c>
      <c r="B2096" t="str">
        <f>HYPERLINK("https://bugs.eclipse.org/bugs/show_bug.cgi?id=77098", "77098")</f>
        <v>77098</v>
      </c>
      <c r="C2096" t="s">
        <v>88</v>
      </c>
      <c r="D2096" t="s">
        <v>10</v>
      </c>
      <c r="E2096" t="s">
        <v>13</v>
      </c>
      <c r="F2096" t="s">
        <v>26</v>
      </c>
      <c r="L2096" t="s">
        <v>9587</v>
      </c>
      <c r="O2096" t="s">
        <v>9587</v>
      </c>
      <c r="T2096" t="s">
        <v>9588</v>
      </c>
      <c r="U2096" t="s">
        <v>9589</v>
      </c>
      <c r="V2096" t="s">
        <v>9587</v>
      </c>
      <c r="W2096" t="s">
        <v>9590</v>
      </c>
      <c r="X2096" t="s">
        <v>9591</v>
      </c>
      <c r="Y2096">
        <v>0</v>
      </c>
      <c r="Z2096">
        <v>36.041666666666657</v>
      </c>
    </row>
    <row r="2097" spans="1:26">
      <c r="A2097" s="1">
        <v>2095</v>
      </c>
      <c r="B2097" t="str">
        <f>HYPERLINK("https://bugs.eclipse.org/bugs/show_bug.cgi?id=77131", "77131")</f>
        <v>77131</v>
      </c>
      <c r="C2097" t="s">
        <v>140</v>
      </c>
      <c r="D2097" t="s">
        <v>10</v>
      </c>
      <c r="E2097" t="s">
        <v>16</v>
      </c>
      <c r="F2097" t="s">
        <v>26</v>
      </c>
      <c r="L2097" t="s">
        <v>9592</v>
      </c>
      <c r="R2097" t="s">
        <v>9592</v>
      </c>
      <c r="T2097" t="s">
        <v>9593</v>
      </c>
      <c r="U2097" t="s">
        <v>9594</v>
      </c>
      <c r="V2097" t="s">
        <v>9592</v>
      </c>
      <c r="W2097" t="s">
        <v>86</v>
      </c>
      <c r="X2097" t="s">
        <v>9595</v>
      </c>
      <c r="Y2097">
        <v>0</v>
      </c>
      <c r="Z2097">
        <v>21.041666666666671</v>
      </c>
    </row>
    <row r="2098" spans="1:26">
      <c r="A2098" s="1">
        <v>2096</v>
      </c>
      <c r="B2098" t="str">
        <f>HYPERLINK("https://bugs.eclipse.org/bugs/show_bug.cgi?id=77198", "77198")</f>
        <v>77198</v>
      </c>
      <c r="C2098" t="s">
        <v>140</v>
      </c>
      <c r="D2098" t="s">
        <v>10</v>
      </c>
      <c r="E2098" t="s">
        <v>16</v>
      </c>
      <c r="F2098" t="s">
        <v>26</v>
      </c>
      <c r="L2098" t="s">
        <v>9596</v>
      </c>
      <c r="R2098" t="s">
        <v>9596</v>
      </c>
      <c r="T2098" t="s">
        <v>9597</v>
      </c>
      <c r="U2098" t="s">
        <v>9598</v>
      </c>
      <c r="V2098" t="s">
        <v>9596</v>
      </c>
      <c r="W2098" t="s">
        <v>49</v>
      </c>
      <c r="X2098" t="s">
        <v>9599</v>
      </c>
      <c r="Y2098">
        <v>0</v>
      </c>
      <c r="Z2098">
        <v>5.041666666666667</v>
      </c>
    </row>
    <row r="2099" spans="1:26">
      <c r="A2099" s="1">
        <v>2097</v>
      </c>
      <c r="B2099" t="str">
        <f>HYPERLINK("https://bugs.eclipse.org/bugs/show_bug.cgi?id=77213", "77213")</f>
        <v>77213</v>
      </c>
      <c r="C2099" t="s">
        <v>56</v>
      </c>
      <c r="D2099" t="s">
        <v>10</v>
      </c>
      <c r="E2099" t="s">
        <v>14</v>
      </c>
      <c r="F2099" t="s">
        <v>51</v>
      </c>
      <c r="L2099" t="s">
        <v>9600</v>
      </c>
      <c r="P2099" t="s">
        <v>9601</v>
      </c>
      <c r="T2099" t="s">
        <v>9602</v>
      </c>
      <c r="U2099" t="s">
        <v>9600</v>
      </c>
      <c r="V2099" t="s">
        <v>9601</v>
      </c>
      <c r="W2099" t="s">
        <v>75</v>
      </c>
      <c r="X2099" t="s">
        <v>9603</v>
      </c>
      <c r="Y2099">
        <v>1</v>
      </c>
      <c r="Z2099">
        <v>1767</v>
      </c>
    </row>
    <row r="2100" spans="1:26">
      <c r="A2100" s="1">
        <v>2098</v>
      </c>
      <c r="B2100" t="str">
        <f>HYPERLINK("https://bugs.eclipse.org/bugs/show_bug.cgi?id=77302", "77302")</f>
        <v>77302</v>
      </c>
      <c r="C2100" t="s">
        <v>35</v>
      </c>
      <c r="D2100" t="s">
        <v>11</v>
      </c>
      <c r="E2100" t="s">
        <v>12</v>
      </c>
      <c r="F2100" t="s">
        <v>150</v>
      </c>
      <c r="L2100" t="s">
        <v>9604</v>
      </c>
      <c r="M2100" t="s">
        <v>9605</v>
      </c>
      <c r="N2100" t="s">
        <v>9604</v>
      </c>
      <c r="T2100" t="s">
        <v>9606</v>
      </c>
      <c r="U2100" t="s">
        <v>9607</v>
      </c>
      <c r="V2100" t="s">
        <v>9605</v>
      </c>
      <c r="W2100" t="s">
        <v>1161</v>
      </c>
      <c r="X2100" t="s">
        <v>9608</v>
      </c>
      <c r="Y2100">
        <v>0</v>
      </c>
      <c r="Z2100">
        <v>193</v>
      </c>
    </row>
    <row r="2101" spans="1:26">
      <c r="A2101" s="1">
        <v>2099</v>
      </c>
      <c r="B2101" t="str">
        <f>HYPERLINK("https://bugs.eclipse.org/bugs/show_bug.cgi?id=77438", "77438")</f>
        <v>77438</v>
      </c>
      <c r="C2101" t="s">
        <v>149</v>
      </c>
      <c r="D2101" t="s">
        <v>10</v>
      </c>
      <c r="E2101" t="s">
        <v>12</v>
      </c>
      <c r="F2101" t="s">
        <v>26</v>
      </c>
      <c r="L2101" t="s">
        <v>9609</v>
      </c>
      <c r="N2101" t="s">
        <v>9609</v>
      </c>
      <c r="T2101" t="s">
        <v>9610</v>
      </c>
      <c r="U2101" t="s">
        <v>9611</v>
      </c>
      <c r="V2101" t="s">
        <v>9609</v>
      </c>
      <c r="W2101" t="s">
        <v>2668</v>
      </c>
      <c r="X2101" t="s">
        <v>9612</v>
      </c>
      <c r="Y2101">
        <v>0</v>
      </c>
      <c r="Z2101">
        <v>534.95833333333337</v>
      </c>
    </row>
    <row r="2102" spans="1:26">
      <c r="A2102" s="1">
        <v>2100</v>
      </c>
      <c r="B2102" t="str">
        <f>HYPERLINK("https://bugs.eclipse.org/bugs/show_bug.cgi?id=77439", "77439")</f>
        <v>77439</v>
      </c>
      <c r="C2102" t="s">
        <v>149</v>
      </c>
      <c r="D2102" t="s">
        <v>10</v>
      </c>
      <c r="E2102" t="s">
        <v>12</v>
      </c>
      <c r="F2102" t="s">
        <v>26</v>
      </c>
      <c r="L2102" t="s">
        <v>9613</v>
      </c>
      <c r="N2102" t="s">
        <v>9613</v>
      </c>
      <c r="T2102" t="s">
        <v>9614</v>
      </c>
      <c r="U2102" t="s">
        <v>9615</v>
      </c>
      <c r="V2102" t="s">
        <v>9613</v>
      </c>
      <c r="W2102" t="s">
        <v>2668</v>
      </c>
      <c r="X2102" t="s">
        <v>9616</v>
      </c>
      <c r="Y2102">
        <v>0</v>
      </c>
      <c r="Z2102">
        <v>7</v>
      </c>
    </row>
    <row r="2103" spans="1:26">
      <c r="A2103" s="1">
        <v>2101</v>
      </c>
      <c r="B2103" t="str">
        <f>HYPERLINK("https://bugs.eclipse.org/bugs/show_bug.cgi?id=77440", "77440")</f>
        <v>77440</v>
      </c>
      <c r="C2103" t="s">
        <v>149</v>
      </c>
      <c r="D2103" t="s">
        <v>10</v>
      </c>
      <c r="E2103" t="s">
        <v>12</v>
      </c>
      <c r="F2103" t="s">
        <v>26</v>
      </c>
      <c r="L2103" t="s">
        <v>9617</v>
      </c>
      <c r="N2103" t="s">
        <v>9617</v>
      </c>
      <c r="T2103" t="s">
        <v>9618</v>
      </c>
      <c r="U2103" t="s">
        <v>9619</v>
      </c>
      <c r="V2103" t="s">
        <v>9617</v>
      </c>
      <c r="W2103" t="s">
        <v>2668</v>
      </c>
      <c r="X2103" t="s">
        <v>9620</v>
      </c>
      <c r="Y2103">
        <v>0</v>
      </c>
      <c r="Z2103">
        <v>16</v>
      </c>
    </row>
    <row r="2104" spans="1:26">
      <c r="A2104" s="1">
        <v>2102</v>
      </c>
      <c r="B2104" t="str">
        <f>HYPERLINK("https://bugs.eclipse.org/bugs/show_bug.cgi?id=77442", "77442")</f>
        <v>77442</v>
      </c>
      <c r="C2104" t="s">
        <v>149</v>
      </c>
      <c r="D2104" t="s">
        <v>10</v>
      </c>
      <c r="E2104" t="s">
        <v>12</v>
      </c>
      <c r="F2104" t="s">
        <v>26</v>
      </c>
      <c r="L2104" t="s">
        <v>9621</v>
      </c>
      <c r="N2104" t="s">
        <v>9621</v>
      </c>
      <c r="T2104" t="s">
        <v>9622</v>
      </c>
      <c r="U2104" t="s">
        <v>9623</v>
      </c>
      <c r="V2104" t="s">
        <v>9621</v>
      </c>
      <c r="W2104" t="s">
        <v>2668</v>
      </c>
      <c r="X2104" t="s">
        <v>9624</v>
      </c>
      <c r="Y2104">
        <v>0</v>
      </c>
      <c r="Z2104">
        <v>1</v>
      </c>
    </row>
    <row r="2105" spans="1:26">
      <c r="A2105" s="1">
        <v>2103</v>
      </c>
      <c r="B2105" t="str">
        <f>HYPERLINK("https://bugs.eclipse.org/bugs/show_bug.cgi?id=77461", "77461")</f>
        <v>77461</v>
      </c>
      <c r="C2105" t="s">
        <v>149</v>
      </c>
      <c r="D2105" t="s">
        <v>10</v>
      </c>
      <c r="E2105" t="s">
        <v>12</v>
      </c>
      <c r="F2105" t="s">
        <v>26</v>
      </c>
      <c r="L2105" t="s">
        <v>9625</v>
      </c>
      <c r="N2105" t="s">
        <v>9625</v>
      </c>
      <c r="T2105" t="s">
        <v>9626</v>
      </c>
      <c r="U2105" t="s">
        <v>9627</v>
      </c>
      <c r="V2105" t="s">
        <v>9625</v>
      </c>
      <c r="W2105" t="s">
        <v>2668</v>
      </c>
      <c r="X2105" t="s">
        <v>9628</v>
      </c>
      <c r="Y2105">
        <v>0</v>
      </c>
      <c r="Z2105">
        <v>6</v>
      </c>
    </row>
    <row r="2106" spans="1:26">
      <c r="A2106" s="1">
        <v>2104</v>
      </c>
      <c r="B2106" t="str">
        <f>HYPERLINK("https://bugs.eclipse.org/bugs/show_bug.cgi?id=77502", "77502")</f>
        <v>77502</v>
      </c>
      <c r="C2106" t="s">
        <v>149</v>
      </c>
      <c r="D2106" t="s">
        <v>10</v>
      </c>
      <c r="E2106" t="s">
        <v>12</v>
      </c>
      <c r="F2106" t="s">
        <v>26</v>
      </c>
      <c r="L2106" t="s">
        <v>9629</v>
      </c>
      <c r="N2106" t="s">
        <v>9629</v>
      </c>
      <c r="T2106" t="s">
        <v>9630</v>
      </c>
      <c r="U2106" t="s">
        <v>9631</v>
      </c>
      <c r="V2106" t="s">
        <v>9629</v>
      </c>
      <c r="W2106" t="s">
        <v>851</v>
      </c>
      <c r="X2106" t="s">
        <v>9632</v>
      </c>
      <c r="Y2106">
        <v>1</v>
      </c>
      <c r="Z2106">
        <v>91</v>
      </c>
    </row>
    <row r="2107" spans="1:26">
      <c r="A2107" s="1">
        <v>2105</v>
      </c>
      <c r="B2107" t="str">
        <f>HYPERLINK("https://bugs.eclipse.org/bugs/show_bug.cgi?id=77577", "77577")</f>
        <v>77577</v>
      </c>
      <c r="C2107" t="s">
        <v>149</v>
      </c>
      <c r="D2107" t="s">
        <v>10</v>
      </c>
      <c r="E2107" t="s">
        <v>12</v>
      </c>
      <c r="F2107" t="s">
        <v>26</v>
      </c>
      <c r="L2107" t="s">
        <v>9633</v>
      </c>
      <c r="N2107" t="s">
        <v>9633</v>
      </c>
      <c r="T2107" t="s">
        <v>9634</v>
      </c>
      <c r="U2107" t="s">
        <v>9635</v>
      </c>
      <c r="V2107" t="s">
        <v>9633</v>
      </c>
      <c r="W2107" t="s">
        <v>851</v>
      </c>
      <c r="X2107" t="s">
        <v>9636</v>
      </c>
      <c r="Y2107">
        <v>0</v>
      </c>
      <c r="Z2107">
        <v>5</v>
      </c>
    </row>
    <row r="2108" spans="1:26">
      <c r="A2108" s="1">
        <v>2106</v>
      </c>
      <c r="B2108" t="str">
        <f>HYPERLINK("https://bugs.eclipse.org/bugs/show_bug.cgi?id=77582", "77582")</f>
        <v>77582</v>
      </c>
      <c r="C2108" t="s">
        <v>149</v>
      </c>
      <c r="D2108" t="s">
        <v>10</v>
      </c>
      <c r="E2108" t="s">
        <v>12</v>
      </c>
      <c r="F2108" t="s">
        <v>26</v>
      </c>
      <c r="L2108" t="s">
        <v>9637</v>
      </c>
      <c r="N2108" t="s">
        <v>9637</v>
      </c>
      <c r="T2108" t="s">
        <v>9638</v>
      </c>
      <c r="U2108" t="s">
        <v>9639</v>
      </c>
      <c r="V2108" t="s">
        <v>9637</v>
      </c>
      <c r="W2108" t="s">
        <v>2668</v>
      </c>
      <c r="X2108" t="s">
        <v>9640</v>
      </c>
      <c r="Y2108">
        <v>0</v>
      </c>
      <c r="Z2108">
        <v>97</v>
      </c>
    </row>
    <row r="2109" spans="1:26">
      <c r="A2109" s="1">
        <v>2107</v>
      </c>
      <c r="B2109" t="str">
        <f>HYPERLINK("https://bugs.eclipse.org/bugs/show_bug.cgi?id=77589", "77589")</f>
        <v>77589</v>
      </c>
      <c r="C2109" t="s">
        <v>149</v>
      </c>
      <c r="D2109" t="s">
        <v>10</v>
      </c>
      <c r="E2109" t="s">
        <v>12</v>
      </c>
      <c r="F2109" t="s">
        <v>26</v>
      </c>
      <c r="G2109" t="s">
        <v>9641</v>
      </c>
      <c r="H2109" t="s">
        <v>9642</v>
      </c>
      <c r="L2109" t="s">
        <v>9643</v>
      </c>
      <c r="N2109" t="s">
        <v>9643</v>
      </c>
      <c r="T2109" t="s">
        <v>9644</v>
      </c>
      <c r="U2109" t="s">
        <v>9645</v>
      </c>
      <c r="V2109" t="s">
        <v>9643</v>
      </c>
      <c r="W2109" t="s">
        <v>86</v>
      </c>
      <c r="X2109" t="s">
        <v>9646</v>
      </c>
      <c r="Y2109">
        <v>20</v>
      </c>
      <c r="Z2109">
        <v>63</v>
      </c>
    </row>
    <row r="2110" spans="1:26">
      <c r="A2110" s="1">
        <v>2108</v>
      </c>
      <c r="B2110" t="str">
        <f>HYPERLINK("https://bugs.eclipse.org/bugs/show_bug.cgi?id=77592", "77592")</f>
        <v>77592</v>
      </c>
      <c r="C2110" t="s">
        <v>149</v>
      </c>
      <c r="D2110" t="s">
        <v>10</v>
      </c>
      <c r="E2110" t="s">
        <v>12</v>
      </c>
      <c r="F2110" t="s">
        <v>26</v>
      </c>
      <c r="L2110" t="s">
        <v>9647</v>
      </c>
      <c r="N2110" t="s">
        <v>9647</v>
      </c>
      <c r="T2110" t="s">
        <v>9648</v>
      </c>
      <c r="U2110" t="s">
        <v>9649</v>
      </c>
      <c r="V2110" t="s">
        <v>9647</v>
      </c>
      <c r="W2110" t="s">
        <v>2668</v>
      </c>
      <c r="X2110" t="s">
        <v>9650</v>
      </c>
      <c r="Y2110">
        <v>1</v>
      </c>
      <c r="Z2110">
        <v>63</v>
      </c>
    </row>
    <row r="2111" spans="1:26">
      <c r="A2111" s="1">
        <v>2109</v>
      </c>
      <c r="B2111" t="str">
        <f>HYPERLINK("https://bugs.eclipse.org/bugs/show_bug.cgi?id=77596", "77596")</f>
        <v>77596</v>
      </c>
      <c r="C2111" t="s">
        <v>149</v>
      </c>
      <c r="D2111" t="s">
        <v>10</v>
      </c>
      <c r="E2111" t="s">
        <v>12</v>
      </c>
      <c r="F2111" t="s">
        <v>26</v>
      </c>
      <c r="L2111" t="s">
        <v>9651</v>
      </c>
      <c r="N2111" t="s">
        <v>9651</v>
      </c>
      <c r="T2111" t="s">
        <v>9652</v>
      </c>
      <c r="U2111" t="s">
        <v>9651</v>
      </c>
      <c r="V2111" t="s">
        <v>9653</v>
      </c>
      <c r="W2111" t="s">
        <v>2668</v>
      </c>
      <c r="X2111" t="s">
        <v>9654</v>
      </c>
      <c r="Y2111">
        <v>33</v>
      </c>
      <c r="Z2111">
        <v>33</v>
      </c>
    </row>
    <row r="2112" spans="1:26">
      <c r="A2112" s="1">
        <v>2110</v>
      </c>
      <c r="B2112" t="str">
        <f>HYPERLINK("https://bugs.eclipse.org/bugs/show_bug.cgi?id=77609", "77609")</f>
        <v>77609</v>
      </c>
      <c r="C2112" t="s">
        <v>149</v>
      </c>
      <c r="D2112" t="s">
        <v>10</v>
      </c>
      <c r="E2112" t="s">
        <v>12</v>
      </c>
      <c r="F2112" t="s">
        <v>26</v>
      </c>
      <c r="L2112" t="s">
        <v>9655</v>
      </c>
      <c r="N2112" t="s">
        <v>9655</v>
      </c>
      <c r="T2112" t="s">
        <v>9656</v>
      </c>
      <c r="U2112" t="s">
        <v>9657</v>
      </c>
      <c r="V2112" t="s">
        <v>9655</v>
      </c>
      <c r="W2112" t="s">
        <v>2668</v>
      </c>
      <c r="X2112" t="s">
        <v>9658</v>
      </c>
      <c r="Y2112">
        <v>0</v>
      </c>
      <c r="Z2112">
        <v>6</v>
      </c>
    </row>
    <row r="2113" spans="1:26">
      <c r="A2113" s="1">
        <v>2111</v>
      </c>
      <c r="B2113" t="str">
        <f>HYPERLINK("https://bugs.eclipse.org/bugs/show_bug.cgi?id=77613", "77613")</f>
        <v>77613</v>
      </c>
      <c r="C2113" t="s">
        <v>149</v>
      </c>
      <c r="D2113" t="s">
        <v>10</v>
      </c>
      <c r="E2113" t="s">
        <v>12</v>
      </c>
      <c r="F2113" t="s">
        <v>26</v>
      </c>
      <c r="L2113" t="s">
        <v>9659</v>
      </c>
      <c r="N2113" t="s">
        <v>9659</v>
      </c>
      <c r="T2113" t="s">
        <v>9660</v>
      </c>
      <c r="U2113" t="s">
        <v>9661</v>
      </c>
      <c r="V2113" t="s">
        <v>9659</v>
      </c>
      <c r="W2113" t="s">
        <v>2668</v>
      </c>
      <c r="X2113" t="s">
        <v>9662</v>
      </c>
      <c r="Y2113">
        <v>1</v>
      </c>
      <c r="Z2113">
        <v>5</v>
      </c>
    </row>
    <row r="2114" spans="1:26">
      <c r="A2114" s="1">
        <v>2112</v>
      </c>
      <c r="B2114" t="str">
        <f>HYPERLINK("https://bugs.eclipse.org/bugs/show_bug.cgi?id=77614", "77614")</f>
        <v>77614</v>
      </c>
      <c r="C2114" t="s">
        <v>149</v>
      </c>
      <c r="D2114" t="s">
        <v>10</v>
      </c>
      <c r="E2114" t="s">
        <v>12</v>
      </c>
      <c r="F2114" t="s">
        <v>26</v>
      </c>
      <c r="L2114" t="s">
        <v>9663</v>
      </c>
      <c r="N2114" t="s">
        <v>9663</v>
      </c>
      <c r="T2114" t="s">
        <v>9664</v>
      </c>
      <c r="U2114" t="s">
        <v>9665</v>
      </c>
      <c r="V2114" t="s">
        <v>9663</v>
      </c>
      <c r="W2114" t="s">
        <v>2668</v>
      </c>
      <c r="X2114" t="s">
        <v>9666</v>
      </c>
      <c r="Y2114">
        <v>1</v>
      </c>
      <c r="Z2114">
        <v>6</v>
      </c>
    </row>
    <row r="2115" spans="1:26">
      <c r="A2115" s="1">
        <v>2113</v>
      </c>
      <c r="B2115" t="str">
        <f>HYPERLINK("https://bugs.eclipse.org/bugs/show_bug.cgi?id=77615", "77615")</f>
        <v>77615</v>
      </c>
      <c r="C2115" t="s">
        <v>149</v>
      </c>
      <c r="D2115" t="s">
        <v>10</v>
      </c>
      <c r="E2115" t="s">
        <v>12</v>
      </c>
      <c r="F2115" t="s">
        <v>26</v>
      </c>
      <c r="L2115" t="s">
        <v>9667</v>
      </c>
      <c r="N2115" t="s">
        <v>9667</v>
      </c>
      <c r="T2115" t="s">
        <v>9668</v>
      </c>
      <c r="U2115" t="s">
        <v>9669</v>
      </c>
      <c r="V2115" t="s">
        <v>9667</v>
      </c>
      <c r="W2115" t="s">
        <v>2668</v>
      </c>
      <c r="X2115" t="s">
        <v>9670</v>
      </c>
      <c r="Y2115">
        <v>0</v>
      </c>
      <c r="Z2115">
        <v>37</v>
      </c>
    </row>
    <row r="2116" spans="1:26">
      <c r="A2116" s="1">
        <v>2114</v>
      </c>
      <c r="B2116" t="str">
        <f>HYPERLINK("https://bugs.eclipse.org/bugs/show_bug.cgi?id=77618", "77618")</f>
        <v>77618</v>
      </c>
      <c r="C2116" t="s">
        <v>149</v>
      </c>
      <c r="D2116" t="s">
        <v>10</v>
      </c>
      <c r="E2116" t="s">
        <v>12</v>
      </c>
      <c r="F2116" t="s">
        <v>26</v>
      </c>
      <c r="L2116" t="s">
        <v>9671</v>
      </c>
      <c r="N2116" t="s">
        <v>9671</v>
      </c>
      <c r="T2116" t="s">
        <v>9672</v>
      </c>
      <c r="U2116" t="s">
        <v>9673</v>
      </c>
      <c r="V2116" t="s">
        <v>9671</v>
      </c>
      <c r="W2116" t="s">
        <v>2668</v>
      </c>
      <c r="X2116" t="s">
        <v>9674</v>
      </c>
      <c r="Y2116">
        <v>0</v>
      </c>
      <c r="Z2116">
        <v>6</v>
      </c>
    </row>
    <row r="2117" spans="1:26">
      <c r="A2117" s="1">
        <v>2115</v>
      </c>
      <c r="B2117" t="str">
        <f>HYPERLINK("https://bugs.eclipse.org/bugs/show_bug.cgi?id=77619", "77619")</f>
        <v>77619</v>
      </c>
      <c r="C2117" t="s">
        <v>9675</v>
      </c>
      <c r="D2117" t="s">
        <v>10</v>
      </c>
      <c r="E2117" t="s">
        <v>15</v>
      </c>
      <c r="F2117" t="s">
        <v>26</v>
      </c>
      <c r="L2117" t="s">
        <v>9676</v>
      </c>
      <c r="Q2117" t="s">
        <v>9676</v>
      </c>
      <c r="T2117" t="s">
        <v>9677</v>
      </c>
      <c r="U2117" t="s">
        <v>9678</v>
      </c>
      <c r="V2117" t="s">
        <v>9676</v>
      </c>
      <c r="W2117" t="s">
        <v>2668</v>
      </c>
      <c r="X2117" t="s">
        <v>9679</v>
      </c>
      <c r="Y2117">
        <v>0</v>
      </c>
      <c r="Z2117">
        <v>0</v>
      </c>
    </row>
    <row r="2118" spans="1:26">
      <c r="A2118" s="1">
        <v>2116</v>
      </c>
      <c r="B2118" t="str">
        <f>HYPERLINK("https://bugs.eclipse.org/bugs/show_bug.cgi?id=77620", "77620")</f>
        <v>77620</v>
      </c>
      <c r="C2118" t="s">
        <v>149</v>
      </c>
      <c r="D2118" t="s">
        <v>10</v>
      </c>
      <c r="E2118" t="s">
        <v>12</v>
      </c>
      <c r="F2118" t="s">
        <v>26</v>
      </c>
      <c r="L2118" t="s">
        <v>9680</v>
      </c>
      <c r="N2118" t="s">
        <v>9680</v>
      </c>
      <c r="T2118" t="s">
        <v>9681</v>
      </c>
      <c r="U2118" t="s">
        <v>9682</v>
      </c>
      <c r="V2118" t="s">
        <v>9680</v>
      </c>
      <c r="W2118" t="s">
        <v>2668</v>
      </c>
      <c r="X2118" t="s">
        <v>9683</v>
      </c>
      <c r="Y2118">
        <v>0</v>
      </c>
      <c r="Z2118">
        <v>5</v>
      </c>
    </row>
    <row r="2119" spans="1:26">
      <c r="A2119" s="1">
        <v>2117</v>
      </c>
      <c r="B2119" t="str">
        <f>HYPERLINK("https://bugs.eclipse.org/bugs/show_bug.cgi?id=77622", "77622")</f>
        <v>77622</v>
      </c>
      <c r="C2119" t="s">
        <v>149</v>
      </c>
      <c r="D2119" t="s">
        <v>10</v>
      </c>
      <c r="E2119" t="s">
        <v>12</v>
      </c>
      <c r="F2119" t="s">
        <v>26</v>
      </c>
      <c r="G2119" t="s">
        <v>9684</v>
      </c>
      <c r="H2119" t="s">
        <v>9685</v>
      </c>
      <c r="L2119" t="s">
        <v>9686</v>
      </c>
      <c r="N2119" t="s">
        <v>9686</v>
      </c>
      <c r="T2119" t="s">
        <v>9687</v>
      </c>
      <c r="U2119" t="s">
        <v>9688</v>
      </c>
      <c r="V2119" t="s">
        <v>9686</v>
      </c>
      <c r="W2119" t="s">
        <v>851</v>
      </c>
      <c r="X2119" t="s">
        <v>9689</v>
      </c>
      <c r="Y2119">
        <v>0</v>
      </c>
      <c r="Z2119">
        <v>15</v>
      </c>
    </row>
    <row r="2120" spans="1:26">
      <c r="A2120" s="1">
        <v>2118</v>
      </c>
      <c r="B2120" t="str">
        <f>HYPERLINK("https://bugs.eclipse.org/bugs/show_bug.cgi?id=77623", "77623")</f>
        <v>77623</v>
      </c>
      <c r="C2120" t="s">
        <v>149</v>
      </c>
      <c r="D2120" t="s">
        <v>10</v>
      </c>
      <c r="E2120" t="s">
        <v>12</v>
      </c>
      <c r="F2120" t="s">
        <v>26</v>
      </c>
      <c r="L2120" t="s">
        <v>9690</v>
      </c>
      <c r="N2120" t="s">
        <v>9690</v>
      </c>
      <c r="T2120" t="s">
        <v>9691</v>
      </c>
      <c r="U2120" t="s">
        <v>9692</v>
      </c>
      <c r="V2120" t="s">
        <v>9690</v>
      </c>
      <c r="W2120" t="s">
        <v>2668</v>
      </c>
      <c r="X2120" t="s">
        <v>9693</v>
      </c>
      <c r="Y2120">
        <v>0</v>
      </c>
      <c r="Z2120">
        <v>0</v>
      </c>
    </row>
    <row r="2121" spans="1:26">
      <c r="A2121" s="1">
        <v>2119</v>
      </c>
      <c r="B2121" t="str">
        <f>HYPERLINK("https://bugs.eclipse.org/bugs/show_bug.cgi?id=77625", "77625")</f>
        <v>77625</v>
      </c>
      <c r="C2121" t="s">
        <v>149</v>
      </c>
      <c r="D2121" t="s">
        <v>10</v>
      </c>
      <c r="E2121" t="s">
        <v>12</v>
      </c>
      <c r="F2121" t="s">
        <v>26</v>
      </c>
      <c r="L2121" t="s">
        <v>9694</v>
      </c>
      <c r="N2121" t="s">
        <v>9694</v>
      </c>
      <c r="T2121" t="s">
        <v>9695</v>
      </c>
      <c r="U2121" t="s">
        <v>9696</v>
      </c>
      <c r="V2121" t="s">
        <v>9694</v>
      </c>
      <c r="W2121" t="s">
        <v>2668</v>
      </c>
      <c r="X2121" t="s">
        <v>9697</v>
      </c>
      <c r="Y2121">
        <v>0</v>
      </c>
      <c r="Z2121">
        <v>0</v>
      </c>
    </row>
    <row r="2122" spans="1:26">
      <c r="A2122" s="1">
        <v>2120</v>
      </c>
      <c r="B2122" t="str">
        <f>HYPERLINK("https://bugs.eclipse.org/bugs/show_bug.cgi?id=77627", "77627")</f>
        <v>77627</v>
      </c>
      <c r="C2122" t="s">
        <v>35</v>
      </c>
      <c r="D2122" t="s">
        <v>11</v>
      </c>
      <c r="E2122" t="s">
        <v>12</v>
      </c>
      <c r="F2122" t="s">
        <v>26</v>
      </c>
      <c r="L2122" t="s">
        <v>9698</v>
      </c>
      <c r="M2122" t="s">
        <v>9699</v>
      </c>
      <c r="N2122" t="s">
        <v>9698</v>
      </c>
      <c r="T2122" t="s">
        <v>9700</v>
      </c>
      <c r="U2122" t="s">
        <v>9701</v>
      </c>
      <c r="V2122" t="s">
        <v>9699</v>
      </c>
      <c r="W2122" t="s">
        <v>86</v>
      </c>
      <c r="X2122" t="s">
        <v>9702</v>
      </c>
      <c r="Y2122">
        <v>0</v>
      </c>
      <c r="Z2122">
        <v>204.95833333333329</v>
      </c>
    </row>
    <row r="2123" spans="1:26">
      <c r="A2123" s="1">
        <v>2121</v>
      </c>
      <c r="B2123" t="str">
        <f>HYPERLINK("https://bugs.eclipse.org/bugs/show_bug.cgi?id=77649", "77649")</f>
        <v>77649</v>
      </c>
      <c r="C2123" t="s">
        <v>149</v>
      </c>
      <c r="D2123" t="s">
        <v>10</v>
      </c>
      <c r="E2123" t="s">
        <v>12</v>
      </c>
      <c r="F2123" t="s">
        <v>26</v>
      </c>
      <c r="L2123" t="s">
        <v>9703</v>
      </c>
      <c r="N2123" t="s">
        <v>9703</v>
      </c>
      <c r="T2123" t="s">
        <v>9704</v>
      </c>
      <c r="U2123" t="s">
        <v>9705</v>
      </c>
      <c r="V2123" t="s">
        <v>9703</v>
      </c>
      <c r="W2123" t="s">
        <v>86</v>
      </c>
      <c r="X2123" t="s">
        <v>9706</v>
      </c>
      <c r="Y2123">
        <v>1</v>
      </c>
      <c r="Z2123">
        <v>39</v>
      </c>
    </row>
    <row r="2124" spans="1:26">
      <c r="A2124" s="1">
        <v>2122</v>
      </c>
      <c r="B2124" t="str">
        <f>HYPERLINK("https://bugs.eclipse.org/bugs/show_bug.cgi?id=77653", "77653")</f>
        <v>77653</v>
      </c>
      <c r="C2124" t="s">
        <v>149</v>
      </c>
      <c r="D2124" t="s">
        <v>10</v>
      </c>
      <c r="E2124" t="s">
        <v>12</v>
      </c>
      <c r="F2124" t="s">
        <v>26</v>
      </c>
      <c r="L2124" t="s">
        <v>9707</v>
      </c>
      <c r="N2124" t="s">
        <v>9707</v>
      </c>
      <c r="T2124" t="s">
        <v>9708</v>
      </c>
      <c r="U2124" t="s">
        <v>9709</v>
      </c>
      <c r="V2124" t="s">
        <v>9707</v>
      </c>
      <c r="W2124" t="s">
        <v>2668</v>
      </c>
      <c r="X2124" t="s">
        <v>9710</v>
      </c>
      <c r="Y2124">
        <v>0</v>
      </c>
      <c r="Z2124">
        <v>5</v>
      </c>
    </row>
    <row r="2125" spans="1:26">
      <c r="A2125" s="1">
        <v>2123</v>
      </c>
      <c r="B2125" t="str">
        <f>HYPERLINK("https://bugs.eclipse.org/bugs/show_bug.cgi?id=77668", "77668")</f>
        <v>77668</v>
      </c>
      <c r="C2125" t="s">
        <v>35</v>
      </c>
      <c r="D2125" t="s">
        <v>11</v>
      </c>
      <c r="E2125" t="s">
        <v>12</v>
      </c>
      <c r="F2125" t="s">
        <v>26</v>
      </c>
      <c r="L2125" t="s">
        <v>9711</v>
      </c>
      <c r="M2125" t="s">
        <v>9712</v>
      </c>
      <c r="N2125" t="s">
        <v>9711</v>
      </c>
      <c r="T2125" t="s">
        <v>9713</v>
      </c>
      <c r="U2125" t="s">
        <v>9714</v>
      </c>
      <c r="V2125" t="s">
        <v>9715</v>
      </c>
      <c r="W2125" t="s">
        <v>9716</v>
      </c>
      <c r="X2125" t="s">
        <v>9717</v>
      </c>
      <c r="Y2125">
        <v>0</v>
      </c>
      <c r="Z2125">
        <v>2</v>
      </c>
    </row>
    <row r="2126" spans="1:26">
      <c r="A2126" s="1">
        <v>2124</v>
      </c>
      <c r="B2126" t="str">
        <f>HYPERLINK("https://bugs.eclipse.org/bugs/show_bug.cgi?id=77686", "77686")</f>
        <v>77686</v>
      </c>
      <c r="C2126" t="s">
        <v>149</v>
      </c>
      <c r="D2126" t="s">
        <v>10</v>
      </c>
      <c r="E2126" t="s">
        <v>12</v>
      </c>
      <c r="F2126" t="s">
        <v>26</v>
      </c>
      <c r="L2126" t="s">
        <v>9718</v>
      </c>
      <c r="N2126" t="s">
        <v>9718</v>
      </c>
      <c r="T2126" t="s">
        <v>9719</v>
      </c>
      <c r="U2126" t="s">
        <v>9720</v>
      </c>
      <c r="V2126" t="s">
        <v>9718</v>
      </c>
      <c r="W2126" t="s">
        <v>2668</v>
      </c>
      <c r="X2126" t="s">
        <v>9721</v>
      </c>
      <c r="Y2126">
        <v>0</v>
      </c>
      <c r="Z2126">
        <v>41</v>
      </c>
    </row>
    <row r="2127" spans="1:26">
      <c r="A2127" s="1">
        <v>2125</v>
      </c>
      <c r="B2127" t="str">
        <f>HYPERLINK("https://bugs.eclipse.org/bugs/show_bug.cgi?id=77690", "77690")</f>
        <v>77690</v>
      </c>
      <c r="C2127" t="s">
        <v>25</v>
      </c>
      <c r="D2127" t="s">
        <v>25</v>
      </c>
      <c r="F2127" t="s">
        <v>26</v>
      </c>
      <c r="T2127" t="s">
        <v>9722</v>
      </c>
      <c r="U2127" t="s">
        <v>9723</v>
      </c>
      <c r="V2127" t="s">
        <v>9724</v>
      </c>
      <c r="W2127" t="s">
        <v>143</v>
      </c>
      <c r="X2127" t="s">
        <v>9725</v>
      </c>
      <c r="Y2127">
        <v>0</v>
      </c>
    </row>
    <row r="2128" spans="1:26">
      <c r="A2128" s="1">
        <v>2126</v>
      </c>
      <c r="B2128" t="str">
        <f>HYPERLINK("https://bugs.eclipse.org/bugs/show_bug.cgi?id=77691", "77691")</f>
        <v>77691</v>
      </c>
      <c r="C2128" t="s">
        <v>191</v>
      </c>
      <c r="D2128" t="s">
        <v>192</v>
      </c>
      <c r="E2128" t="s">
        <v>14</v>
      </c>
      <c r="F2128" t="s">
        <v>26</v>
      </c>
      <c r="P2128" t="s">
        <v>9726</v>
      </c>
      <c r="T2128" t="s">
        <v>9727</v>
      </c>
      <c r="U2128" t="s">
        <v>9728</v>
      </c>
      <c r="V2128" t="s">
        <v>9726</v>
      </c>
      <c r="W2128" t="s">
        <v>65</v>
      </c>
      <c r="X2128" t="s">
        <v>9729</v>
      </c>
      <c r="Y2128">
        <v>0</v>
      </c>
      <c r="Z2128">
        <v>5556</v>
      </c>
    </row>
    <row r="2129" spans="1:26">
      <c r="A2129" s="1">
        <v>2127</v>
      </c>
      <c r="B2129" t="str">
        <f>HYPERLINK("https://bugs.eclipse.org/bugs/show_bug.cgi?id=77762", "77762")</f>
        <v>77762</v>
      </c>
      <c r="C2129" t="s">
        <v>9730</v>
      </c>
      <c r="D2129" t="s">
        <v>10</v>
      </c>
      <c r="E2129" t="s">
        <v>15</v>
      </c>
      <c r="F2129" t="s">
        <v>26</v>
      </c>
      <c r="L2129" t="s">
        <v>9731</v>
      </c>
      <c r="Q2129" t="s">
        <v>9731</v>
      </c>
      <c r="T2129" t="s">
        <v>9732</v>
      </c>
      <c r="U2129" t="s">
        <v>9731</v>
      </c>
      <c r="V2129" t="s">
        <v>9731</v>
      </c>
      <c r="W2129" t="s">
        <v>2668</v>
      </c>
      <c r="X2129" t="s">
        <v>9733</v>
      </c>
      <c r="Y2129">
        <v>0</v>
      </c>
      <c r="Z2129">
        <v>0</v>
      </c>
    </row>
    <row r="2130" spans="1:26">
      <c r="A2130" s="1">
        <v>2128</v>
      </c>
      <c r="B2130" t="str">
        <f>HYPERLINK("https://bugs.eclipse.org/bugs/show_bug.cgi?id=77765", "77765")</f>
        <v>77765</v>
      </c>
      <c r="C2130" t="s">
        <v>149</v>
      </c>
      <c r="D2130" t="s">
        <v>10</v>
      </c>
      <c r="E2130" t="s">
        <v>12</v>
      </c>
      <c r="F2130" t="s">
        <v>26</v>
      </c>
      <c r="G2130" t="s">
        <v>9734</v>
      </c>
      <c r="L2130" t="s">
        <v>9735</v>
      </c>
      <c r="N2130" t="s">
        <v>9735</v>
      </c>
      <c r="T2130" t="s">
        <v>9736</v>
      </c>
      <c r="U2130" t="s">
        <v>9737</v>
      </c>
      <c r="V2130" t="s">
        <v>9735</v>
      </c>
      <c r="W2130" t="s">
        <v>2668</v>
      </c>
      <c r="X2130" t="s">
        <v>9738</v>
      </c>
      <c r="Y2130">
        <v>0</v>
      </c>
      <c r="Z2130">
        <v>16</v>
      </c>
    </row>
    <row r="2131" spans="1:26">
      <c r="A2131" s="1">
        <v>2129</v>
      </c>
      <c r="B2131" t="str">
        <f>HYPERLINK("https://bugs.eclipse.org/bugs/show_bug.cgi?id=77802", "77802")</f>
        <v>77802</v>
      </c>
      <c r="C2131" t="s">
        <v>140</v>
      </c>
      <c r="D2131" t="s">
        <v>10</v>
      </c>
      <c r="E2131" t="s">
        <v>16</v>
      </c>
      <c r="F2131" t="s">
        <v>26</v>
      </c>
      <c r="L2131" t="s">
        <v>9739</v>
      </c>
      <c r="R2131" t="s">
        <v>9739</v>
      </c>
      <c r="T2131" t="s">
        <v>9740</v>
      </c>
      <c r="U2131" t="s">
        <v>9741</v>
      </c>
      <c r="V2131" t="s">
        <v>9739</v>
      </c>
      <c r="W2131" t="s">
        <v>49</v>
      </c>
      <c r="X2131" t="s">
        <v>9742</v>
      </c>
      <c r="Y2131">
        <v>0</v>
      </c>
      <c r="Z2131">
        <v>587.95833333333337</v>
      </c>
    </row>
    <row r="2132" spans="1:26">
      <c r="A2132" s="1">
        <v>2130</v>
      </c>
      <c r="B2132" t="str">
        <f>HYPERLINK("https://bugs.eclipse.org/bugs/show_bug.cgi?id=77850", "77850")</f>
        <v>77850</v>
      </c>
      <c r="C2132" t="s">
        <v>140</v>
      </c>
      <c r="D2132" t="s">
        <v>10</v>
      </c>
      <c r="E2132" t="s">
        <v>16</v>
      </c>
      <c r="F2132" t="s">
        <v>26</v>
      </c>
      <c r="G2132" t="s">
        <v>9743</v>
      </c>
      <c r="L2132" t="s">
        <v>9744</v>
      </c>
      <c r="R2132" t="s">
        <v>9744</v>
      </c>
      <c r="T2132" t="s">
        <v>9745</v>
      </c>
      <c r="U2132" t="s">
        <v>9746</v>
      </c>
      <c r="V2132" t="s">
        <v>9744</v>
      </c>
      <c r="W2132" t="s">
        <v>851</v>
      </c>
      <c r="X2132" t="s">
        <v>9747</v>
      </c>
      <c r="Y2132">
        <v>0</v>
      </c>
      <c r="Z2132">
        <v>636.95833333333337</v>
      </c>
    </row>
    <row r="2133" spans="1:26">
      <c r="A2133" s="1">
        <v>2131</v>
      </c>
      <c r="B2133" t="str">
        <f>HYPERLINK("https://bugs.eclipse.org/bugs/show_bug.cgi?id=77855", "77855")</f>
        <v>77855</v>
      </c>
      <c r="C2133" t="s">
        <v>88</v>
      </c>
      <c r="D2133" t="s">
        <v>10</v>
      </c>
      <c r="E2133" t="s">
        <v>13</v>
      </c>
      <c r="F2133" t="s">
        <v>26</v>
      </c>
      <c r="G2133" t="s">
        <v>9748</v>
      </c>
      <c r="L2133" t="s">
        <v>9749</v>
      </c>
      <c r="O2133" t="s">
        <v>9749</v>
      </c>
      <c r="T2133" t="s">
        <v>9750</v>
      </c>
      <c r="U2133" t="s">
        <v>9751</v>
      </c>
      <c r="V2133" t="s">
        <v>9749</v>
      </c>
      <c r="W2133" t="s">
        <v>851</v>
      </c>
      <c r="X2133" t="s">
        <v>9752</v>
      </c>
      <c r="Y2133">
        <v>0</v>
      </c>
      <c r="Z2133">
        <v>180.95833333333329</v>
      </c>
    </row>
    <row r="2134" spans="1:26">
      <c r="A2134" s="1">
        <v>2132</v>
      </c>
      <c r="B2134" t="str">
        <f>HYPERLINK("https://bugs.eclipse.org/bugs/show_bug.cgi?id=77856", "77856")</f>
        <v>77856</v>
      </c>
      <c r="C2134" t="s">
        <v>9753</v>
      </c>
      <c r="D2134" t="s">
        <v>10</v>
      </c>
      <c r="E2134" t="s">
        <v>15</v>
      </c>
      <c r="F2134" t="s">
        <v>26</v>
      </c>
      <c r="L2134" t="s">
        <v>9754</v>
      </c>
      <c r="Q2134" t="s">
        <v>9754</v>
      </c>
      <c r="T2134" t="s">
        <v>9755</v>
      </c>
      <c r="U2134" t="s">
        <v>9754</v>
      </c>
      <c r="V2134" t="s">
        <v>9754</v>
      </c>
      <c r="W2134" t="s">
        <v>2668</v>
      </c>
      <c r="X2134" t="s">
        <v>9756</v>
      </c>
      <c r="Y2134">
        <v>0</v>
      </c>
      <c r="Z2134">
        <v>0</v>
      </c>
    </row>
    <row r="2135" spans="1:26">
      <c r="A2135" s="1">
        <v>2133</v>
      </c>
      <c r="B2135" t="str">
        <f>HYPERLINK("https://bugs.eclipse.org/bugs/show_bug.cgi?id=77901", "77901")</f>
        <v>77901</v>
      </c>
      <c r="C2135" t="s">
        <v>149</v>
      </c>
      <c r="D2135" t="s">
        <v>10</v>
      </c>
      <c r="E2135" t="s">
        <v>12</v>
      </c>
      <c r="F2135" t="s">
        <v>26</v>
      </c>
      <c r="L2135" t="s">
        <v>9757</v>
      </c>
      <c r="N2135" t="s">
        <v>9757</v>
      </c>
      <c r="T2135" t="s">
        <v>9758</v>
      </c>
      <c r="U2135" t="s">
        <v>9759</v>
      </c>
      <c r="V2135" t="s">
        <v>9757</v>
      </c>
      <c r="W2135" t="s">
        <v>851</v>
      </c>
      <c r="X2135" t="s">
        <v>9760</v>
      </c>
      <c r="Y2135">
        <v>0</v>
      </c>
      <c r="Z2135">
        <v>4</v>
      </c>
    </row>
    <row r="2136" spans="1:26">
      <c r="A2136" s="1">
        <v>2134</v>
      </c>
      <c r="B2136" t="str">
        <f>HYPERLINK("https://bugs.eclipse.org/bugs/show_bug.cgi?id=77929", "77929")</f>
        <v>77929</v>
      </c>
      <c r="C2136" t="s">
        <v>35</v>
      </c>
      <c r="D2136" t="s">
        <v>11</v>
      </c>
      <c r="E2136" t="s">
        <v>12</v>
      </c>
      <c r="F2136" t="s">
        <v>26</v>
      </c>
      <c r="L2136" t="s">
        <v>9761</v>
      </c>
      <c r="M2136" t="s">
        <v>9762</v>
      </c>
      <c r="N2136" t="s">
        <v>9761</v>
      </c>
      <c r="T2136" t="s">
        <v>9763</v>
      </c>
      <c r="U2136" t="s">
        <v>9764</v>
      </c>
      <c r="V2136" t="s">
        <v>9762</v>
      </c>
      <c r="W2136" t="s">
        <v>86</v>
      </c>
      <c r="X2136" t="s">
        <v>9765</v>
      </c>
      <c r="Y2136">
        <v>0</v>
      </c>
      <c r="Z2136">
        <v>202.95833333333329</v>
      </c>
    </row>
    <row r="2137" spans="1:26">
      <c r="A2137" s="1">
        <v>2135</v>
      </c>
      <c r="B2137" t="str">
        <f>HYPERLINK("https://bugs.eclipse.org/bugs/show_bug.cgi?id=77938", "77938")</f>
        <v>77938</v>
      </c>
      <c r="C2137" t="s">
        <v>149</v>
      </c>
      <c r="D2137" t="s">
        <v>10</v>
      </c>
      <c r="E2137" t="s">
        <v>12</v>
      </c>
      <c r="F2137" t="s">
        <v>26</v>
      </c>
      <c r="L2137" t="s">
        <v>9766</v>
      </c>
      <c r="N2137" t="s">
        <v>9766</v>
      </c>
      <c r="T2137" t="s">
        <v>9767</v>
      </c>
      <c r="U2137" t="s">
        <v>9768</v>
      </c>
      <c r="V2137" t="s">
        <v>9766</v>
      </c>
      <c r="W2137" t="s">
        <v>2668</v>
      </c>
      <c r="X2137" t="s">
        <v>9769</v>
      </c>
      <c r="Y2137">
        <v>0</v>
      </c>
      <c r="Z2137">
        <v>3</v>
      </c>
    </row>
    <row r="2138" spans="1:26">
      <c r="A2138" s="1">
        <v>2136</v>
      </c>
      <c r="B2138" t="str">
        <f>HYPERLINK("https://bugs.eclipse.org/bugs/show_bug.cgi?id=77950", "77950")</f>
        <v>77950</v>
      </c>
      <c r="C2138" t="s">
        <v>149</v>
      </c>
      <c r="D2138" t="s">
        <v>10</v>
      </c>
      <c r="E2138" t="s">
        <v>12</v>
      </c>
      <c r="F2138" t="s">
        <v>26</v>
      </c>
      <c r="L2138" t="s">
        <v>9770</v>
      </c>
      <c r="N2138" t="s">
        <v>9770</v>
      </c>
      <c r="T2138" t="s">
        <v>9771</v>
      </c>
      <c r="U2138" t="s">
        <v>9772</v>
      </c>
      <c r="V2138" t="s">
        <v>9770</v>
      </c>
      <c r="W2138" t="s">
        <v>2668</v>
      </c>
      <c r="X2138" t="s">
        <v>9773</v>
      </c>
      <c r="Y2138">
        <v>0</v>
      </c>
      <c r="Z2138">
        <v>14</v>
      </c>
    </row>
    <row r="2139" spans="1:26">
      <c r="A2139" s="1">
        <v>2137</v>
      </c>
      <c r="B2139" t="str">
        <f>HYPERLINK("https://bugs.eclipse.org/bugs/show_bug.cgi?id=77956", "77956")</f>
        <v>77956</v>
      </c>
      <c r="C2139" t="s">
        <v>9774</v>
      </c>
      <c r="D2139" t="s">
        <v>10</v>
      </c>
      <c r="E2139" t="s">
        <v>15</v>
      </c>
      <c r="F2139" t="s">
        <v>26</v>
      </c>
      <c r="L2139" t="s">
        <v>9775</v>
      </c>
      <c r="Q2139" t="s">
        <v>9775</v>
      </c>
      <c r="T2139" t="s">
        <v>9776</v>
      </c>
      <c r="U2139" t="s">
        <v>9777</v>
      </c>
      <c r="V2139" t="s">
        <v>9775</v>
      </c>
      <c r="W2139" t="s">
        <v>2668</v>
      </c>
      <c r="X2139" t="s">
        <v>9778</v>
      </c>
      <c r="Y2139">
        <v>0</v>
      </c>
      <c r="Z2139">
        <v>0</v>
      </c>
    </row>
    <row r="2140" spans="1:26">
      <c r="A2140" s="1">
        <v>2138</v>
      </c>
      <c r="B2140" t="str">
        <f>HYPERLINK("https://bugs.eclipse.org/bugs/show_bug.cgi?id=77965", "77965")</f>
        <v>77965</v>
      </c>
      <c r="C2140" t="s">
        <v>25</v>
      </c>
      <c r="D2140" t="s">
        <v>25</v>
      </c>
      <c r="F2140" t="s">
        <v>26</v>
      </c>
      <c r="T2140" t="s">
        <v>9779</v>
      </c>
      <c r="U2140" t="s">
        <v>9780</v>
      </c>
      <c r="V2140" t="s">
        <v>9781</v>
      </c>
      <c r="W2140" t="s">
        <v>143</v>
      </c>
      <c r="X2140" t="s">
        <v>9782</v>
      </c>
      <c r="Y2140">
        <v>0</v>
      </c>
    </row>
    <row r="2141" spans="1:26">
      <c r="A2141" s="1">
        <v>2139</v>
      </c>
      <c r="B2141" t="str">
        <f>HYPERLINK("https://bugs.eclipse.org/bugs/show_bug.cgi?id=78063", "78063")</f>
        <v>78063</v>
      </c>
      <c r="C2141" t="s">
        <v>35</v>
      </c>
      <c r="D2141" t="s">
        <v>11</v>
      </c>
      <c r="E2141" t="s">
        <v>12</v>
      </c>
      <c r="F2141" t="s">
        <v>26</v>
      </c>
      <c r="G2141" t="s">
        <v>9783</v>
      </c>
      <c r="L2141" t="s">
        <v>9784</v>
      </c>
      <c r="M2141" t="s">
        <v>9785</v>
      </c>
      <c r="N2141" t="s">
        <v>9784</v>
      </c>
      <c r="T2141" t="s">
        <v>9786</v>
      </c>
      <c r="U2141" t="s">
        <v>9787</v>
      </c>
      <c r="V2141" t="s">
        <v>9785</v>
      </c>
      <c r="W2141" t="s">
        <v>143</v>
      </c>
      <c r="X2141" t="s">
        <v>9788</v>
      </c>
      <c r="Y2141">
        <v>282.95833333333331</v>
      </c>
      <c r="Z2141">
        <v>906.95833333333337</v>
      </c>
    </row>
    <row r="2142" spans="1:26">
      <c r="A2142" s="1">
        <v>2140</v>
      </c>
      <c r="B2142" t="str">
        <f>HYPERLINK("https://bugs.eclipse.org/bugs/show_bug.cgi?id=78125", "78125")</f>
        <v>78125</v>
      </c>
      <c r="C2142" t="s">
        <v>140</v>
      </c>
      <c r="D2142" t="s">
        <v>10</v>
      </c>
      <c r="E2142" t="s">
        <v>16</v>
      </c>
      <c r="F2142" t="s">
        <v>26</v>
      </c>
      <c r="L2142" t="s">
        <v>9789</v>
      </c>
      <c r="R2142" t="s">
        <v>9789</v>
      </c>
      <c r="T2142" t="s">
        <v>9790</v>
      </c>
      <c r="U2142" t="s">
        <v>9791</v>
      </c>
      <c r="V2142" t="s">
        <v>9789</v>
      </c>
      <c r="W2142" t="s">
        <v>86</v>
      </c>
      <c r="X2142" t="s">
        <v>9792</v>
      </c>
      <c r="Y2142">
        <v>0</v>
      </c>
      <c r="Z2142">
        <v>1</v>
      </c>
    </row>
    <row r="2143" spans="1:26">
      <c r="A2143" s="1">
        <v>2141</v>
      </c>
      <c r="B2143" t="str">
        <f>HYPERLINK("https://bugs.eclipse.org/bugs/show_bug.cgi?id=78241", "78241")</f>
        <v>78241</v>
      </c>
      <c r="C2143" t="s">
        <v>149</v>
      </c>
      <c r="D2143" t="s">
        <v>10</v>
      </c>
      <c r="E2143" t="s">
        <v>12</v>
      </c>
      <c r="F2143" t="s">
        <v>26</v>
      </c>
      <c r="G2143" t="s">
        <v>9793</v>
      </c>
      <c r="L2143" t="s">
        <v>9794</v>
      </c>
      <c r="N2143" t="s">
        <v>9794</v>
      </c>
      <c r="T2143" t="s">
        <v>9795</v>
      </c>
      <c r="U2143" t="s">
        <v>9796</v>
      </c>
      <c r="V2143" t="s">
        <v>9797</v>
      </c>
      <c r="W2143" t="s">
        <v>851</v>
      </c>
      <c r="X2143" t="s">
        <v>9798</v>
      </c>
      <c r="Y2143">
        <v>1</v>
      </c>
      <c r="Z2143">
        <v>118</v>
      </c>
    </row>
    <row r="2144" spans="1:26">
      <c r="A2144" s="1">
        <v>2142</v>
      </c>
      <c r="B2144" t="str">
        <f>HYPERLINK("https://bugs.eclipse.org/bugs/show_bug.cgi?id=78279", "78279")</f>
        <v>78279</v>
      </c>
      <c r="C2144" t="s">
        <v>9280</v>
      </c>
      <c r="D2144" t="s">
        <v>10</v>
      </c>
      <c r="E2144" t="s">
        <v>15</v>
      </c>
      <c r="F2144" t="s">
        <v>26</v>
      </c>
      <c r="L2144" t="s">
        <v>8942</v>
      </c>
      <c r="Q2144" t="s">
        <v>8942</v>
      </c>
      <c r="T2144" t="s">
        <v>9799</v>
      </c>
      <c r="U2144" t="s">
        <v>9800</v>
      </c>
      <c r="V2144" t="s">
        <v>8942</v>
      </c>
      <c r="W2144" t="s">
        <v>851</v>
      </c>
      <c r="X2144" t="s">
        <v>9801</v>
      </c>
      <c r="Y2144">
        <v>0</v>
      </c>
      <c r="Z2144">
        <v>12</v>
      </c>
    </row>
    <row r="2145" spans="1:26">
      <c r="A2145" s="1">
        <v>2143</v>
      </c>
      <c r="B2145" t="str">
        <f>HYPERLINK("https://bugs.eclipse.org/bugs/show_bug.cgi?id=78709", "78709")</f>
        <v>78709</v>
      </c>
      <c r="C2145" t="s">
        <v>149</v>
      </c>
      <c r="D2145" t="s">
        <v>10</v>
      </c>
      <c r="E2145" t="s">
        <v>12</v>
      </c>
      <c r="F2145" t="s">
        <v>26</v>
      </c>
      <c r="L2145" t="s">
        <v>9802</v>
      </c>
      <c r="N2145" t="s">
        <v>9802</v>
      </c>
      <c r="T2145" t="s">
        <v>9803</v>
      </c>
      <c r="U2145" t="s">
        <v>9804</v>
      </c>
      <c r="V2145" t="s">
        <v>9802</v>
      </c>
      <c r="W2145" t="s">
        <v>2668</v>
      </c>
      <c r="X2145" t="s">
        <v>9805</v>
      </c>
      <c r="Y2145">
        <v>0</v>
      </c>
      <c r="Z2145">
        <v>20</v>
      </c>
    </row>
    <row r="2146" spans="1:26">
      <c r="A2146" s="1">
        <v>2144</v>
      </c>
      <c r="B2146" t="str">
        <f>HYPERLINK("https://bugs.eclipse.org/bugs/show_bug.cgi?id=78712", "78712")</f>
        <v>78712</v>
      </c>
      <c r="C2146" t="s">
        <v>140</v>
      </c>
      <c r="D2146" t="s">
        <v>10</v>
      </c>
      <c r="E2146" t="s">
        <v>16</v>
      </c>
      <c r="F2146" t="s">
        <v>26</v>
      </c>
      <c r="L2146" t="s">
        <v>9806</v>
      </c>
      <c r="R2146" t="s">
        <v>9806</v>
      </c>
      <c r="T2146" t="s">
        <v>9807</v>
      </c>
      <c r="U2146" t="s">
        <v>9806</v>
      </c>
      <c r="V2146" t="s">
        <v>9806</v>
      </c>
      <c r="W2146" t="s">
        <v>851</v>
      </c>
      <c r="X2146" t="s">
        <v>9808</v>
      </c>
      <c r="Y2146">
        <v>6</v>
      </c>
      <c r="Z2146">
        <v>6</v>
      </c>
    </row>
    <row r="2147" spans="1:26">
      <c r="A2147" s="1">
        <v>2145</v>
      </c>
      <c r="B2147" t="str">
        <f>HYPERLINK("https://bugs.eclipse.org/bugs/show_bug.cgi?id=78713", "78713")</f>
        <v>78713</v>
      </c>
      <c r="C2147" t="s">
        <v>88</v>
      </c>
      <c r="D2147" t="s">
        <v>10</v>
      </c>
      <c r="E2147" t="s">
        <v>13</v>
      </c>
      <c r="F2147" t="s">
        <v>26</v>
      </c>
      <c r="L2147" t="s">
        <v>9809</v>
      </c>
      <c r="O2147" t="s">
        <v>9810</v>
      </c>
      <c r="T2147" t="s">
        <v>9811</v>
      </c>
      <c r="U2147" t="s">
        <v>9809</v>
      </c>
      <c r="V2147" t="s">
        <v>9810</v>
      </c>
      <c r="W2147" t="s">
        <v>75</v>
      </c>
      <c r="X2147" t="s">
        <v>9812</v>
      </c>
      <c r="Y2147">
        <v>0</v>
      </c>
      <c r="Z2147">
        <v>1747.958333333333</v>
      </c>
    </row>
    <row r="2148" spans="1:26">
      <c r="A2148" s="1">
        <v>2146</v>
      </c>
      <c r="B2148" t="str">
        <f>HYPERLINK("https://bugs.eclipse.org/bugs/show_bug.cgi?id=78880", "78880")</f>
        <v>78880</v>
      </c>
      <c r="C2148" t="s">
        <v>149</v>
      </c>
      <c r="D2148" t="s">
        <v>10</v>
      </c>
      <c r="E2148" t="s">
        <v>12</v>
      </c>
      <c r="F2148" t="s">
        <v>26</v>
      </c>
      <c r="L2148" t="s">
        <v>9813</v>
      </c>
      <c r="N2148" t="s">
        <v>9813</v>
      </c>
      <c r="T2148" t="s">
        <v>9814</v>
      </c>
      <c r="U2148" t="s">
        <v>9815</v>
      </c>
      <c r="V2148" t="s">
        <v>9813</v>
      </c>
      <c r="W2148" t="s">
        <v>86</v>
      </c>
      <c r="X2148" t="s">
        <v>9816</v>
      </c>
      <c r="Y2148">
        <v>1</v>
      </c>
      <c r="Z2148">
        <v>25</v>
      </c>
    </row>
    <row r="2149" spans="1:26">
      <c r="A2149" s="1">
        <v>2147</v>
      </c>
      <c r="B2149" t="str">
        <f>HYPERLINK("https://bugs.eclipse.org/bugs/show_bug.cgi?id=78986", "78986")</f>
        <v>78986</v>
      </c>
      <c r="C2149" t="s">
        <v>25</v>
      </c>
      <c r="D2149" t="s">
        <v>25</v>
      </c>
      <c r="F2149" t="s">
        <v>460</v>
      </c>
      <c r="L2149" t="s">
        <v>9817</v>
      </c>
      <c r="S2149" t="s">
        <v>9818</v>
      </c>
      <c r="T2149" t="s">
        <v>9819</v>
      </c>
      <c r="U2149" t="s">
        <v>9817</v>
      </c>
      <c r="V2149" t="s">
        <v>9820</v>
      </c>
      <c r="W2149" t="s">
        <v>851</v>
      </c>
      <c r="X2149" t="s">
        <v>9821</v>
      </c>
      <c r="Y2149">
        <v>0</v>
      </c>
    </row>
    <row r="2150" spans="1:26">
      <c r="A2150" s="1">
        <v>2148</v>
      </c>
      <c r="B2150" t="str">
        <f>HYPERLINK("https://bugs.eclipse.org/bugs/show_bug.cgi?id=79016", "79016")</f>
        <v>79016</v>
      </c>
      <c r="C2150" t="s">
        <v>3083</v>
      </c>
      <c r="D2150" t="s">
        <v>10</v>
      </c>
      <c r="E2150" t="s">
        <v>15</v>
      </c>
      <c r="F2150" t="s">
        <v>26</v>
      </c>
      <c r="L2150" t="s">
        <v>9822</v>
      </c>
      <c r="Q2150" t="s">
        <v>9822</v>
      </c>
      <c r="T2150" t="s">
        <v>9823</v>
      </c>
      <c r="U2150" t="s">
        <v>9824</v>
      </c>
      <c r="V2150" t="s">
        <v>9822</v>
      </c>
      <c r="W2150" t="s">
        <v>86</v>
      </c>
      <c r="X2150" t="s">
        <v>9825</v>
      </c>
      <c r="Y2150">
        <v>1</v>
      </c>
      <c r="Z2150">
        <v>25</v>
      </c>
    </row>
    <row r="2151" spans="1:26">
      <c r="A2151" s="1">
        <v>2149</v>
      </c>
      <c r="B2151" t="str">
        <f>HYPERLINK("https://bugs.eclipse.org/bugs/show_bug.cgi?id=79030", "79030")</f>
        <v>79030</v>
      </c>
      <c r="C2151" t="s">
        <v>149</v>
      </c>
      <c r="D2151" t="s">
        <v>10</v>
      </c>
      <c r="E2151" t="s">
        <v>12</v>
      </c>
      <c r="F2151" t="s">
        <v>26</v>
      </c>
      <c r="G2151" t="s">
        <v>9826</v>
      </c>
      <c r="L2151" t="s">
        <v>9827</v>
      </c>
      <c r="N2151" t="s">
        <v>9827</v>
      </c>
      <c r="T2151" t="s">
        <v>9828</v>
      </c>
      <c r="U2151" t="s">
        <v>9829</v>
      </c>
      <c r="V2151" t="s">
        <v>9827</v>
      </c>
      <c r="W2151" t="s">
        <v>851</v>
      </c>
      <c r="X2151" t="s">
        <v>9830</v>
      </c>
      <c r="Y2151">
        <v>0</v>
      </c>
      <c r="Z2151">
        <v>64</v>
      </c>
    </row>
    <row r="2152" spans="1:26">
      <c r="A2152" s="1">
        <v>2150</v>
      </c>
      <c r="B2152" t="str">
        <f>HYPERLINK("https://bugs.eclipse.org/bugs/show_bug.cgi?id=79131", "79131")</f>
        <v>79131</v>
      </c>
      <c r="C2152" t="s">
        <v>149</v>
      </c>
      <c r="D2152" t="s">
        <v>10</v>
      </c>
      <c r="E2152" t="s">
        <v>12</v>
      </c>
      <c r="F2152" t="s">
        <v>26</v>
      </c>
      <c r="L2152" t="s">
        <v>9831</v>
      </c>
      <c r="N2152" t="s">
        <v>9831</v>
      </c>
      <c r="T2152" t="s">
        <v>9832</v>
      </c>
      <c r="U2152" t="s">
        <v>9833</v>
      </c>
      <c r="V2152" t="s">
        <v>9831</v>
      </c>
      <c r="W2152" t="s">
        <v>851</v>
      </c>
      <c r="X2152" t="s">
        <v>9834</v>
      </c>
      <c r="Y2152">
        <v>2</v>
      </c>
      <c r="Z2152">
        <v>2</v>
      </c>
    </row>
    <row r="2153" spans="1:26">
      <c r="A2153" s="1">
        <v>2151</v>
      </c>
      <c r="B2153" t="str">
        <f>HYPERLINK("https://bugs.eclipse.org/bugs/show_bug.cgi?id=79135", "79135")</f>
        <v>79135</v>
      </c>
      <c r="C2153" t="s">
        <v>88</v>
      </c>
      <c r="D2153" t="s">
        <v>10</v>
      </c>
      <c r="E2153" t="s">
        <v>13</v>
      </c>
      <c r="F2153" t="s">
        <v>26</v>
      </c>
      <c r="L2153" t="s">
        <v>9835</v>
      </c>
      <c r="O2153" t="s">
        <v>9836</v>
      </c>
      <c r="T2153" t="s">
        <v>9837</v>
      </c>
      <c r="U2153" t="s">
        <v>9835</v>
      </c>
      <c r="V2153" t="s">
        <v>9836</v>
      </c>
      <c r="W2153" t="s">
        <v>75</v>
      </c>
      <c r="X2153" t="s">
        <v>9838</v>
      </c>
      <c r="Y2153">
        <v>2</v>
      </c>
      <c r="Z2153">
        <v>1743.958333333333</v>
      </c>
    </row>
    <row r="2154" spans="1:26">
      <c r="A2154" s="1">
        <v>2152</v>
      </c>
      <c r="B2154" t="str">
        <f>HYPERLINK("https://bugs.eclipse.org/bugs/show_bug.cgi?id=79171", "79171")</f>
        <v>79171</v>
      </c>
      <c r="C2154" t="s">
        <v>9839</v>
      </c>
      <c r="D2154" t="s">
        <v>10</v>
      </c>
      <c r="E2154" t="s">
        <v>15</v>
      </c>
      <c r="F2154" t="s">
        <v>26</v>
      </c>
      <c r="L2154" t="s">
        <v>9840</v>
      </c>
      <c r="Q2154" t="s">
        <v>9840</v>
      </c>
      <c r="T2154" t="s">
        <v>9841</v>
      </c>
      <c r="U2154" t="s">
        <v>9842</v>
      </c>
      <c r="V2154" t="s">
        <v>9840</v>
      </c>
      <c r="W2154" t="s">
        <v>851</v>
      </c>
      <c r="X2154" t="s">
        <v>9843</v>
      </c>
      <c r="Y2154">
        <v>0</v>
      </c>
      <c r="Z2154">
        <v>14</v>
      </c>
    </row>
    <row r="2155" spans="1:26">
      <c r="A2155" s="1">
        <v>2153</v>
      </c>
      <c r="B2155" t="str">
        <f>HYPERLINK("https://bugs.eclipse.org/bugs/show_bug.cgi?id=79172", "79172")</f>
        <v>79172</v>
      </c>
      <c r="C2155" t="s">
        <v>88</v>
      </c>
      <c r="D2155" t="s">
        <v>10</v>
      </c>
      <c r="E2155" t="s">
        <v>13</v>
      </c>
      <c r="F2155" t="s">
        <v>26</v>
      </c>
      <c r="L2155" t="s">
        <v>9844</v>
      </c>
      <c r="O2155" t="s">
        <v>9845</v>
      </c>
      <c r="T2155" t="s">
        <v>9846</v>
      </c>
      <c r="U2155" t="s">
        <v>9847</v>
      </c>
      <c r="V2155" t="s">
        <v>9845</v>
      </c>
      <c r="W2155" t="s">
        <v>75</v>
      </c>
      <c r="X2155" t="s">
        <v>9848</v>
      </c>
      <c r="Y2155">
        <v>0</v>
      </c>
      <c r="Z2155">
        <v>1741.958333333333</v>
      </c>
    </row>
    <row r="2156" spans="1:26">
      <c r="A2156" s="1">
        <v>2154</v>
      </c>
      <c r="B2156" t="str">
        <f>HYPERLINK("https://bugs.eclipse.org/bugs/show_bug.cgi?id=79236", "79236")</f>
        <v>79236</v>
      </c>
      <c r="C2156" t="s">
        <v>149</v>
      </c>
      <c r="D2156" t="s">
        <v>10</v>
      </c>
      <c r="E2156" t="s">
        <v>12</v>
      </c>
      <c r="F2156" t="s">
        <v>26</v>
      </c>
      <c r="L2156" t="s">
        <v>9849</v>
      </c>
      <c r="N2156" t="s">
        <v>9849</v>
      </c>
      <c r="T2156" t="s">
        <v>9850</v>
      </c>
      <c r="U2156" t="s">
        <v>9849</v>
      </c>
      <c r="V2156" t="s">
        <v>9849</v>
      </c>
      <c r="W2156" t="s">
        <v>2668</v>
      </c>
      <c r="X2156" t="s">
        <v>9851</v>
      </c>
      <c r="Y2156">
        <v>1</v>
      </c>
      <c r="Z2156">
        <v>1</v>
      </c>
    </row>
    <row r="2157" spans="1:26">
      <c r="A2157" s="1">
        <v>2155</v>
      </c>
      <c r="B2157" t="str">
        <f>HYPERLINK("https://bugs.eclipse.org/bugs/show_bug.cgi?id=79253", "79253")</f>
        <v>79253</v>
      </c>
      <c r="C2157" t="s">
        <v>149</v>
      </c>
      <c r="D2157" t="s">
        <v>10</v>
      </c>
      <c r="E2157" t="s">
        <v>12</v>
      </c>
      <c r="F2157" t="s">
        <v>26</v>
      </c>
      <c r="L2157" t="s">
        <v>9852</v>
      </c>
      <c r="N2157" t="s">
        <v>9852</v>
      </c>
      <c r="T2157" t="s">
        <v>9853</v>
      </c>
      <c r="U2157" t="s">
        <v>9854</v>
      </c>
      <c r="V2157" t="s">
        <v>9852</v>
      </c>
      <c r="W2157" t="s">
        <v>2668</v>
      </c>
      <c r="X2157" t="s">
        <v>9855</v>
      </c>
      <c r="Y2157">
        <v>1</v>
      </c>
      <c r="Z2157">
        <v>7</v>
      </c>
    </row>
    <row r="2158" spans="1:26">
      <c r="A2158" s="1">
        <v>2156</v>
      </c>
      <c r="B2158" t="str">
        <f>HYPERLINK("https://bugs.eclipse.org/bugs/show_bug.cgi?id=79272", "79272")</f>
        <v>79272</v>
      </c>
      <c r="C2158" t="s">
        <v>149</v>
      </c>
      <c r="D2158" t="s">
        <v>10</v>
      </c>
      <c r="E2158" t="s">
        <v>12</v>
      </c>
      <c r="F2158" t="s">
        <v>26</v>
      </c>
      <c r="G2158" t="s">
        <v>9856</v>
      </c>
      <c r="H2158" t="s">
        <v>9826</v>
      </c>
      <c r="L2158" t="s">
        <v>9857</v>
      </c>
      <c r="N2158" t="s">
        <v>9857</v>
      </c>
      <c r="T2158" t="s">
        <v>9858</v>
      </c>
      <c r="U2158" t="s">
        <v>9859</v>
      </c>
      <c r="V2158" t="s">
        <v>9857</v>
      </c>
      <c r="W2158" t="s">
        <v>851</v>
      </c>
      <c r="X2158" t="s">
        <v>9860</v>
      </c>
      <c r="Y2158">
        <v>0</v>
      </c>
      <c r="Z2158">
        <v>77</v>
      </c>
    </row>
    <row r="2159" spans="1:26">
      <c r="A2159" s="1">
        <v>2157</v>
      </c>
      <c r="B2159" t="str">
        <f>HYPERLINK("https://bugs.eclipse.org/bugs/show_bug.cgi?id=79277", "79277")</f>
        <v>79277</v>
      </c>
      <c r="C2159" t="s">
        <v>149</v>
      </c>
      <c r="D2159" t="s">
        <v>10</v>
      </c>
      <c r="E2159" t="s">
        <v>12</v>
      </c>
      <c r="F2159" t="s">
        <v>26</v>
      </c>
      <c r="L2159" t="s">
        <v>9861</v>
      </c>
      <c r="N2159" t="s">
        <v>9861</v>
      </c>
      <c r="T2159" t="s">
        <v>9862</v>
      </c>
      <c r="U2159" t="s">
        <v>9863</v>
      </c>
      <c r="V2159" t="s">
        <v>9861</v>
      </c>
      <c r="W2159" t="s">
        <v>2668</v>
      </c>
      <c r="X2159" t="s">
        <v>9864</v>
      </c>
      <c r="Y2159">
        <v>1</v>
      </c>
      <c r="Z2159">
        <v>13</v>
      </c>
    </row>
    <row r="2160" spans="1:26">
      <c r="A2160" s="1">
        <v>2158</v>
      </c>
      <c r="B2160" t="str">
        <f>HYPERLINK("https://bugs.eclipse.org/bugs/show_bug.cgi?id=79278", "79278")</f>
        <v>79278</v>
      </c>
      <c r="C2160" t="s">
        <v>149</v>
      </c>
      <c r="D2160" t="s">
        <v>10</v>
      </c>
      <c r="E2160" t="s">
        <v>12</v>
      </c>
      <c r="F2160" t="s">
        <v>26</v>
      </c>
      <c r="L2160" t="s">
        <v>9865</v>
      </c>
      <c r="N2160" t="s">
        <v>9865</v>
      </c>
      <c r="T2160" t="s">
        <v>9866</v>
      </c>
      <c r="U2160" t="s">
        <v>9867</v>
      </c>
      <c r="V2160" t="s">
        <v>9865</v>
      </c>
      <c r="W2160" t="s">
        <v>86</v>
      </c>
      <c r="X2160" t="s">
        <v>9868</v>
      </c>
      <c r="Y2160">
        <v>1</v>
      </c>
      <c r="Z2160">
        <v>19</v>
      </c>
    </row>
    <row r="2161" spans="1:26">
      <c r="A2161" s="1">
        <v>2159</v>
      </c>
      <c r="B2161" t="str">
        <f>HYPERLINK("https://bugs.eclipse.org/bugs/show_bug.cgi?id=79279", "79279")</f>
        <v>79279</v>
      </c>
      <c r="C2161" t="s">
        <v>149</v>
      </c>
      <c r="D2161" t="s">
        <v>10</v>
      </c>
      <c r="E2161" t="s">
        <v>12</v>
      </c>
      <c r="F2161" t="s">
        <v>26</v>
      </c>
      <c r="L2161" t="s">
        <v>9869</v>
      </c>
      <c r="N2161" t="s">
        <v>9869</v>
      </c>
      <c r="T2161" t="s">
        <v>9870</v>
      </c>
      <c r="U2161" t="s">
        <v>9871</v>
      </c>
      <c r="V2161" t="s">
        <v>9869</v>
      </c>
      <c r="W2161" t="s">
        <v>2668</v>
      </c>
      <c r="X2161" t="s">
        <v>9872</v>
      </c>
      <c r="Y2161">
        <v>1</v>
      </c>
      <c r="Z2161">
        <v>13</v>
      </c>
    </row>
    <row r="2162" spans="1:26">
      <c r="A2162" s="1">
        <v>2160</v>
      </c>
      <c r="B2162" t="str">
        <f>HYPERLINK("https://bugs.eclipse.org/bugs/show_bug.cgi?id=79318", "79318")</f>
        <v>79318</v>
      </c>
      <c r="C2162" t="s">
        <v>149</v>
      </c>
      <c r="D2162" t="s">
        <v>10</v>
      </c>
      <c r="E2162" t="s">
        <v>12</v>
      </c>
      <c r="F2162" t="s">
        <v>26</v>
      </c>
      <c r="L2162" t="s">
        <v>9873</v>
      </c>
      <c r="N2162" t="s">
        <v>9873</v>
      </c>
      <c r="T2162" t="s">
        <v>9874</v>
      </c>
      <c r="U2162" t="s">
        <v>9875</v>
      </c>
      <c r="V2162" t="s">
        <v>9873</v>
      </c>
      <c r="W2162" t="s">
        <v>1954</v>
      </c>
      <c r="X2162" t="s">
        <v>9876</v>
      </c>
      <c r="Y2162">
        <v>1</v>
      </c>
      <c r="Z2162">
        <v>960.95833333333337</v>
      </c>
    </row>
    <row r="2163" spans="1:26">
      <c r="A2163" s="1">
        <v>2161</v>
      </c>
      <c r="B2163" t="str">
        <f>HYPERLINK("https://bugs.eclipse.org/bugs/show_bug.cgi?id=79356", "79356")</f>
        <v>79356</v>
      </c>
      <c r="C2163" t="s">
        <v>56</v>
      </c>
      <c r="D2163" t="s">
        <v>10</v>
      </c>
      <c r="E2163" t="s">
        <v>14</v>
      </c>
      <c r="F2163" t="s">
        <v>26</v>
      </c>
      <c r="L2163" t="s">
        <v>9877</v>
      </c>
      <c r="P2163" t="s">
        <v>9878</v>
      </c>
      <c r="T2163" t="s">
        <v>9879</v>
      </c>
      <c r="U2163" t="s">
        <v>9880</v>
      </c>
      <c r="V2163" t="s">
        <v>9878</v>
      </c>
      <c r="W2163" t="s">
        <v>75</v>
      </c>
      <c r="X2163" t="s">
        <v>9881</v>
      </c>
      <c r="Y2163">
        <v>1</v>
      </c>
      <c r="Z2163">
        <v>1740.958333333333</v>
      </c>
    </row>
    <row r="2164" spans="1:26">
      <c r="A2164" s="1">
        <v>2162</v>
      </c>
      <c r="B2164" t="str">
        <f>HYPERLINK("https://bugs.eclipse.org/bugs/show_bug.cgi?id=79358", "79358")</f>
        <v>79358</v>
      </c>
      <c r="C2164" t="s">
        <v>7066</v>
      </c>
      <c r="D2164" t="s">
        <v>10</v>
      </c>
      <c r="E2164" t="s">
        <v>15</v>
      </c>
      <c r="F2164" t="s">
        <v>26</v>
      </c>
      <c r="L2164" t="s">
        <v>9882</v>
      </c>
      <c r="Q2164" t="s">
        <v>9882</v>
      </c>
      <c r="T2164" t="s">
        <v>9883</v>
      </c>
      <c r="U2164" t="s">
        <v>9884</v>
      </c>
      <c r="V2164" t="s">
        <v>9882</v>
      </c>
      <c r="W2164" t="s">
        <v>851</v>
      </c>
      <c r="X2164" t="s">
        <v>9885</v>
      </c>
      <c r="Y2164">
        <v>0</v>
      </c>
      <c r="Z2164">
        <v>1</v>
      </c>
    </row>
    <row r="2165" spans="1:26">
      <c r="A2165" s="1">
        <v>2163</v>
      </c>
      <c r="B2165" t="str">
        <f>HYPERLINK("https://bugs.eclipse.org/bugs/show_bug.cgi?id=79369", "79369")</f>
        <v>79369</v>
      </c>
      <c r="C2165" t="s">
        <v>35</v>
      </c>
      <c r="D2165" t="s">
        <v>11</v>
      </c>
      <c r="E2165" t="s">
        <v>12</v>
      </c>
      <c r="F2165" t="s">
        <v>145</v>
      </c>
      <c r="L2165" t="s">
        <v>9886</v>
      </c>
      <c r="M2165" t="s">
        <v>9887</v>
      </c>
      <c r="N2165" t="s">
        <v>9886</v>
      </c>
      <c r="T2165" t="s">
        <v>9888</v>
      </c>
      <c r="U2165" t="s">
        <v>9889</v>
      </c>
      <c r="V2165" t="s">
        <v>9887</v>
      </c>
      <c r="W2165" t="s">
        <v>143</v>
      </c>
      <c r="X2165" t="s">
        <v>9890</v>
      </c>
      <c r="Y2165">
        <v>0</v>
      </c>
      <c r="Z2165">
        <v>0</v>
      </c>
    </row>
    <row r="2166" spans="1:26">
      <c r="A2166" s="1">
        <v>2164</v>
      </c>
      <c r="B2166" t="str">
        <f>HYPERLINK("https://bugs.eclipse.org/bugs/show_bug.cgi?id=79404", "79404")</f>
        <v>79404</v>
      </c>
      <c r="C2166" t="s">
        <v>35</v>
      </c>
      <c r="D2166" t="s">
        <v>11</v>
      </c>
      <c r="E2166" t="s">
        <v>12</v>
      </c>
      <c r="F2166" t="s">
        <v>26</v>
      </c>
      <c r="L2166" t="s">
        <v>9891</v>
      </c>
      <c r="M2166" t="s">
        <v>9892</v>
      </c>
      <c r="N2166" t="s">
        <v>9891</v>
      </c>
      <c r="T2166" t="s">
        <v>9893</v>
      </c>
      <c r="U2166" t="s">
        <v>9894</v>
      </c>
      <c r="V2166" t="s">
        <v>9892</v>
      </c>
      <c r="W2166" t="s">
        <v>49</v>
      </c>
      <c r="X2166" t="s">
        <v>9895</v>
      </c>
      <c r="Y2166">
        <v>1</v>
      </c>
      <c r="Z2166">
        <v>301.95833333333331</v>
      </c>
    </row>
    <row r="2167" spans="1:26">
      <c r="A2167" s="1">
        <v>2165</v>
      </c>
      <c r="B2167" t="str">
        <f>HYPERLINK("https://bugs.eclipse.org/bugs/show_bug.cgi?id=79411", "79411")</f>
        <v>79411</v>
      </c>
      <c r="C2167" t="s">
        <v>149</v>
      </c>
      <c r="D2167" t="s">
        <v>10</v>
      </c>
      <c r="E2167" t="s">
        <v>12</v>
      </c>
      <c r="F2167" t="s">
        <v>26</v>
      </c>
      <c r="L2167" t="s">
        <v>9896</v>
      </c>
      <c r="N2167" t="s">
        <v>9896</v>
      </c>
      <c r="T2167" t="s">
        <v>9897</v>
      </c>
      <c r="U2167" t="s">
        <v>9898</v>
      </c>
      <c r="V2167" t="s">
        <v>9896</v>
      </c>
      <c r="W2167" t="s">
        <v>2668</v>
      </c>
      <c r="X2167" t="s">
        <v>9899</v>
      </c>
      <c r="Y2167">
        <v>1</v>
      </c>
      <c r="Z2167">
        <v>5</v>
      </c>
    </row>
    <row r="2168" spans="1:26">
      <c r="A2168" s="1">
        <v>2166</v>
      </c>
      <c r="B2168" t="str">
        <f>HYPERLINK("https://bugs.eclipse.org/bugs/show_bug.cgi?id=79415", "79415")</f>
        <v>79415</v>
      </c>
      <c r="C2168" t="s">
        <v>149</v>
      </c>
      <c r="D2168" t="s">
        <v>10</v>
      </c>
      <c r="E2168" t="s">
        <v>12</v>
      </c>
      <c r="F2168" t="s">
        <v>26</v>
      </c>
      <c r="L2168" t="s">
        <v>9900</v>
      </c>
      <c r="N2168" t="s">
        <v>9900</v>
      </c>
      <c r="T2168" t="s">
        <v>9901</v>
      </c>
      <c r="U2168" t="s">
        <v>9900</v>
      </c>
      <c r="V2168" t="s">
        <v>9900</v>
      </c>
      <c r="W2168" t="s">
        <v>851</v>
      </c>
      <c r="X2168" t="s">
        <v>9902</v>
      </c>
      <c r="Y2168">
        <v>1</v>
      </c>
      <c r="Z2168">
        <v>1</v>
      </c>
    </row>
    <row r="2169" spans="1:26">
      <c r="A2169" s="1">
        <v>2167</v>
      </c>
      <c r="B2169" t="str">
        <f>HYPERLINK("https://bugs.eclipse.org/bugs/show_bug.cgi?id=79546", "79546")</f>
        <v>79546</v>
      </c>
      <c r="C2169" t="s">
        <v>9903</v>
      </c>
      <c r="D2169" t="s">
        <v>10</v>
      </c>
      <c r="E2169" t="s">
        <v>15</v>
      </c>
      <c r="F2169" t="s">
        <v>26</v>
      </c>
      <c r="L2169" t="s">
        <v>9904</v>
      </c>
      <c r="Q2169" t="s">
        <v>9904</v>
      </c>
      <c r="T2169" t="s">
        <v>9905</v>
      </c>
      <c r="U2169" t="s">
        <v>9904</v>
      </c>
      <c r="V2169" t="s">
        <v>9904</v>
      </c>
      <c r="W2169" t="s">
        <v>49</v>
      </c>
      <c r="X2169" t="s">
        <v>9906</v>
      </c>
      <c r="Y2169">
        <v>3</v>
      </c>
      <c r="Z2169">
        <v>3</v>
      </c>
    </row>
    <row r="2170" spans="1:26">
      <c r="A2170" s="1">
        <v>2168</v>
      </c>
      <c r="B2170" t="str">
        <f>HYPERLINK("https://bugs.eclipse.org/bugs/show_bug.cgi?id=79617", "79617")</f>
        <v>79617</v>
      </c>
      <c r="C2170" t="s">
        <v>56</v>
      </c>
      <c r="D2170" t="s">
        <v>10</v>
      </c>
      <c r="E2170" t="s">
        <v>14</v>
      </c>
      <c r="F2170" t="s">
        <v>51</v>
      </c>
      <c r="L2170" t="s">
        <v>9907</v>
      </c>
      <c r="P2170" t="s">
        <v>9908</v>
      </c>
      <c r="T2170" t="s">
        <v>9909</v>
      </c>
      <c r="U2170" t="s">
        <v>9907</v>
      </c>
      <c r="V2170" t="s">
        <v>9908</v>
      </c>
      <c r="W2170" t="s">
        <v>75</v>
      </c>
      <c r="X2170" t="s">
        <v>9910</v>
      </c>
      <c r="Y2170">
        <v>6</v>
      </c>
      <c r="Z2170">
        <v>1736.958333333333</v>
      </c>
    </row>
    <row r="2171" spans="1:26">
      <c r="A2171" s="1">
        <v>2169</v>
      </c>
      <c r="B2171" t="str">
        <f>HYPERLINK("https://bugs.eclipse.org/bugs/show_bug.cgi?id=79774", "79774")</f>
        <v>79774</v>
      </c>
      <c r="C2171" t="s">
        <v>149</v>
      </c>
      <c r="D2171" t="s">
        <v>10</v>
      </c>
      <c r="E2171" t="s">
        <v>12</v>
      </c>
      <c r="F2171" t="s">
        <v>26</v>
      </c>
      <c r="G2171" t="s">
        <v>9911</v>
      </c>
      <c r="L2171" t="s">
        <v>9912</v>
      </c>
      <c r="N2171" t="s">
        <v>9912</v>
      </c>
      <c r="T2171" t="s">
        <v>9913</v>
      </c>
      <c r="U2171" t="s">
        <v>9914</v>
      </c>
      <c r="V2171" t="s">
        <v>9912</v>
      </c>
      <c r="W2171" t="s">
        <v>86</v>
      </c>
      <c r="X2171" t="s">
        <v>9915</v>
      </c>
      <c r="Y2171">
        <v>0</v>
      </c>
      <c r="Z2171">
        <v>8</v>
      </c>
    </row>
    <row r="2172" spans="1:26">
      <c r="A2172" s="1">
        <v>2170</v>
      </c>
      <c r="B2172" t="str">
        <f>HYPERLINK("https://bugs.eclipse.org/bugs/show_bug.cgi?id=79813", "79813")</f>
        <v>79813</v>
      </c>
      <c r="C2172" t="s">
        <v>149</v>
      </c>
      <c r="D2172" t="s">
        <v>10</v>
      </c>
      <c r="E2172" t="s">
        <v>12</v>
      </c>
      <c r="F2172" t="s">
        <v>51</v>
      </c>
      <c r="L2172" t="s">
        <v>9916</v>
      </c>
      <c r="N2172" t="s">
        <v>9916</v>
      </c>
      <c r="T2172" t="s">
        <v>9917</v>
      </c>
      <c r="U2172" t="s">
        <v>9918</v>
      </c>
      <c r="V2172" t="s">
        <v>9916</v>
      </c>
      <c r="W2172" t="s">
        <v>86</v>
      </c>
      <c r="X2172" t="s">
        <v>9919</v>
      </c>
      <c r="Y2172">
        <v>23</v>
      </c>
      <c r="Z2172">
        <v>151.95833333333329</v>
      </c>
    </row>
    <row r="2173" spans="1:26">
      <c r="A2173" s="1">
        <v>2171</v>
      </c>
      <c r="B2173" t="str">
        <f>HYPERLINK("https://bugs.eclipse.org/bugs/show_bug.cgi?id=79905", "79905")</f>
        <v>79905</v>
      </c>
      <c r="C2173" t="s">
        <v>149</v>
      </c>
      <c r="D2173" t="s">
        <v>10</v>
      </c>
      <c r="E2173" t="s">
        <v>12</v>
      </c>
      <c r="F2173" t="s">
        <v>26</v>
      </c>
      <c r="L2173" t="s">
        <v>9920</v>
      </c>
      <c r="N2173" t="s">
        <v>9920</v>
      </c>
      <c r="T2173" t="s">
        <v>9921</v>
      </c>
      <c r="U2173" t="s">
        <v>9922</v>
      </c>
      <c r="V2173" t="s">
        <v>9920</v>
      </c>
      <c r="W2173" t="s">
        <v>2668</v>
      </c>
      <c r="X2173" t="s">
        <v>9923</v>
      </c>
      <c r="Y2173">
        <v>0</v>
      </c>
      <c r="Z2173">
        <v>5</v>
      </c>
    </row>
    <row r="2174" spans="1:26">
      <c r="A2174" s="1">
        <v>2172</v>
      </c>
      <c r="B2174" t="str">
        <f>HYPERLINK("https://bugs.eclipse.org/bugs/show_bug.cgi?id=79906", "79906")</f>
        <v>79906</v>
      </c>
      <c r="C2174" t="s">
        <v>35</v>
      </c>
      <c r="D2174" t="s">
        <v>11</v>
      </c>
      <c r="E2174" t="s">
        <v>12</v>
      </c>
      <c r="F2174" t="s">
        <v>26</v>
      </c>
      <c r="G2174" t="s">
        <v>9924</v>
      </c>
      <c r="L2174" t="s">
        <v>9925</v>
      </c>
      <c r="M2174" t="s">
        <v>9926</v>
      </c>
      <c r="N2174" t="s">
        <v>9925</v>
      </c>
      <c r="T2174" t="s">
        <v>9927</v>
      </c>
      <c r="U2174" t="s">
        <v>9928</v>
      </c>
      <c r="V2174" t="s">
        <v>9926</v>
      </c>
      <c r="W2174" t="s">
        <v>2668</v>
      </c>
      <c r="X2174" t="s">
        <v>9929</v>
      </c>
      <c r="Y2174">
        <v>1</v>
      </c>
      <c r="Z2174">
        <v>176.95833333333329</v>
      </c>
    </row>
    <row r="2175" spans="1:26">
      <c r="A2175" s="1">
        <v>2173</v>
      </c>
      <c r="B2175" t="str">
        <f>HYPERLINK("https://bugs.eclipse.org/bugs/show_bug.cgi?id=79942", "79942")</f>
        <v>79942</v>
      </c>
      <c r="C2175" t="s">
        <v>4646</v>
      </c>
      <c r="D2175" t="s">
        <v>10</v>
      </c>
      <c r="E2175" t="s">
        <v>15</v>
      </c>
      <c r="F2175" t="s">
        <v>26</v>
      </c>
      <c r="L2175" t="s">
        <v>9930</v>
      </c>
      <c r="Q2175" t="s">
        <v>9930</v>
      </c>
      <c r="T2175" t="s">
        <v>9931</v>
      </c>
      <c r="U2175" t="s">
        <v>9932</v>
      </c>
      <c r="V2175" t="s">
        <v>9930</v>
      </c>
      <c r="W2175" t="s">
        <v>86</v>
      </c>
      <c r="X2175" t="s">
        <v>9933</v>
      </c>
      <c r="Y2175">
        <v>0</v>
      </c>
      <c r="Z2175">
        <v>1</v>
      </c>
    </row>
    <row r="2176" spans="1:26">
      <c r="A2176" s="1">
        <v>2174</v>
      </c>
      <c r="B2176" t="str">
        <f>HYPERLINK("https://bugs.eclipse.org/bugs/show_bug.cgi?id=79994", "79994")</f>
        <v>79994</v>
      </c>
      <c r="C2176" t="s">
        <v>191</v>
      </c>
      <c r="D2176" t="s">
        <v>192</v>
      </c>
      <c r="E2176" t="s">
        <v>14</v>
      </c>
      <c r="F2176" t="s">
        <v>26</v>
      </c>
      <c r="T2176" t="s">
        <v>9934</v>
      </c>
      <c r="U2176" t="s">
        <v>9935</v>
      </c>
      <c r="V2176" t="s">
        <v>9936</v>
      </c>
      <c r="W2176" t="s">
        <v>65</v>
      </c>
      <c r="X2176" t="s">
        <v>9937</v>
      </c>
      <c r="Y2176">
        <v>0</v>
      </c>
      <c r="Z2176">
        <v>5389.958333333333</v>
      </c>
    </row>
    <row r="2177" spans="1:26">
      <c r="A2177" s="1">
        <v>2175</v>
      </c>
      <c r="B2177" t="str">
        <f>HYPERLINK("https://bugs.eclipse.org/bugs/show_bug.cgi?id=80023", "80023")</f>
        <v>80023</v>
      </c>
      <c r="C2177" t="s">
        <v>56</v>
      </c>
      <c r="D2177" t="s">
        <v>10</v>
      </c>
      <c r="E2177" t="s">
        <v>14</v>
      </c>
      <c r="F2177" t="s">
        <v>26</v>
      </c>
      <c r="L2177" t="s">
        <v>9938</v>
      </c>
      <c r="P2177" t="s">
        <v>9938</v>
      </c>
      <c r="T2177" t="s">
        <v>9939</v>
      </c>
      <c r="U2177" t="s">
        <v>9940</v>
      </c>
      <c r="V2177" t="s">
        <v>9938</v>
      </c>
      <c r="W2177" t="s">
        <v>86</v>
      </c>
      <c r="X2177" t="s">
        <v>9941</v>
      </c>
      <c r="Y2177">
        <v>0</v>
      </c>
      <c r="Z2177">
        <v>1</v>
      </c>
    </row>
    <row r="2178" spans="1:26">
      <c r="A2178" s="1">
        <v>2176</v>
      </c>
      <c r="B2178" t="str">
        <f>HYPERLINK("https://bugs.eclipse.org/bugs/show_bug.cgi?id=80192", "80192")</f>
        <v>80192</v>
      </c>
      <c r="C2178" t="s">
        <v>56</v>
      </c>
      <c r="D2178" t="s">
        <v>10</v>
      </c>
      <c r="E2178" t="s">
        <v>14</v>
      </c>
      <c r="F2178" t="s">
        <v>26</v>
      </c>
      <c r="L2178" t="s">
        <v>9942</v>
      </c>
      <c r="P2178" t="s">
        <v>9942</v>
      </c>
      <c r="T2178" t="s">
        <v>9943</v>
      </c>
      <c r="U2178" t="s">
        <v>9944</v>
      </c>
      <c r="V2178" t="s">
        <v>9942</v>
      </c>
      <c r="W2178" t="s">
        <v>143</v>
      </c>
      <c r="X2178" t="s">
        <v>9945</v>
      </c>
      <c r="Y2178">
        <v>2</v>
      </c>
      <c r="Z2178">
        <v>3</v>
      </c>
    </row>
    <row r="2179" spans="1:26">
      <c r="A2179" s="1">
        <v>2177</v>
      </c>
      <c r="B2179" t="str">
        <f>HYPERLINK("https://bugs.eclipse.org/bugs/show_bug.cgi?id=80228", "80228")</f>
        <v>80228</v>
      </c>
      <c r="C2179" t="s">
        <v>56</v>
      </c>
      <c r="D2179" t="s">
        <v>10</v>
      </c>
      <c r="E2179" t="s">
        <v>14</v>
      </c>
      <c r="F2179" t="s">
        <v>51</v>
      </c>
      <c r="L2179" t="s">
        <v>9946</v>
      </c>
      <c r="P2179" t="s">
        <v>9947</v>
      </c>
      <c r="T2179" t="s">
        <v>9948</v>
      </c>
      <c r="U2179" t="s">
        <v>9946</v>
      </c>
      <c r="V2179" t="s">
        <v>9947</v>
      </c>
      <c r="W2179" t="s">
        <v>80</v>
      </c>
      <c r="X2179" t="s">
        <v>9949</v>
      </c>
      <c r="Y2179">
        <v>1</v>
      </c>
      <c r="Z2179">
        <v>1728.958333333333</v>
      </c>
    </row>
    <row r="2180" spans="1:26">
      <c r="A2180" s="1">
        <v>2178</v>
      </c>
      <c r="B2180" t="str">
        <f>HYPERLINK("https://bugs.eclipse.org/bugs/show_bug.cgi?id=80251", "80251")</f>
        <v>80251</v>
      </c>
      <c r="C2180" t="s">
        <v>149</v>
      </c>
      <c r="D2180" t="s">
        <v>10</v>
      </c>
      <c r="E2180" t="s">
        <v>12</v>
      </c>
      <c r="F2180" t="s">
        <v>26</v>
      </c>
      <c r="L2180" t="s">
        <v>9950</v>
      </c>
      <c r="N2180" t="s">
        <v>9950</v>
      </c>
      <c r="T2180" t="s">
        <v>9951</v>
      </c>
      <c r="U2180" t="s">
        <v>9952</v>
      </c>
      <c r="V2180" t="s">
        <v>9950</v>
      </c>
      <c r="W2180" t="s">
        <v>2668</v>
      </c>
      <c r="X2180" t="s">
        <v>9953</v>
      </c>
      <c r="Y2180">
        <v>0</v>
      </c>
      <c r="Z2180">
        <v>0</v>
      </c>
    </row>
    <row r="2181" spans="1:26">
      <c r="A2181" s="1">
        <v>2179</v>
      </c>
      <c r="B2181" t="str">
        <f>HYPERLINK("https://bugs.eclipse.org/bugs/show_bug.cgi?id=80290", "80290")</f>
        <v>80290</v>
      </c>
      <c r="C2181" t="s">
        <v>3707</v>
      </c>
      <c r="D2181" t="s">
        <v>10</v>
      </c>
      <c r="E2181" t="s">
        <v>15</v>
      </c>
      <c r="F2181" t="s">
        <v>26</v>
      </c>
      <c r="L2181" t="s">
        <v>9954</v>
      </c>
      <c r="Q2181" t="s">
        <v>9954</v>
      </c>
      <c r="T2181" t="s">
        <v>9955</v>
      </c>
      <c r="U2181" t="s">
        <v>9954</v>
      </c>
      <c r="V2181" t="s">
        <v>9954</v>
      </c>
      <c r="W2181" t="s">
        <v>86</v>
      </c>
      <c r="X2181" t="s">
        <v>9956</v>
      </c>
      <c r="Y2181">
        <v>1</v>
      </c>
      <c r="Z2181">
        <v>1</v>
      </c>
    </row>
    <row r="2182" spans="1:26">
      <c r="A2182" s="1">
        <v>2180</v>
      </c>
      <c r="B2182" t="str">
        <f>HYPERLINK("https://bugs.eclipse.org/bugs/show_bug.cgi?id=80349", "80349")</f>
        <v>80349</v>
      </c>
      <c r="C2182" t="s">
        <v>149</v>
      </c>
      <c r="D2182" t="s">
        <v>10</v>
      </c>
      <c r="E2182" t="s">
        <v>12</v>
      </c>
      <c r="F2182" t="s">
        <v>26</v>
      </c>
      <c r="L2182" t="s">
        <v>9957</v>
      </c>
      <c r="N2182" t="s">
        <v>9957</v>
      </c>
      <c r="T2182" t="s">
        <v>9958</v>
      </c>
      <c r="U2182" t="s">
        <v>9959</v>
      </c>
      <c r="V2182" t="s">
        <v>9957</v>
      </c>
      <c r="W2182" t="s">
        <v>2668</v>
      </c>
      <c r="X2182" t="s">
        <v>9960</v>
      </c>
      <c r="Y2182">
        <v>0</v>
      </c>
      <c r="Z2182">
        <v>0</v>
      </c>
    </row>
    <row r="2183" spans="1:26">
      <c r="A2183" s="1">
        <v>2181</v>
      </c>
      <c r="B2183" t="str">
        <f>HYPERLINK("https://bugs.eclipse.org/bugs/show_bug.cgi?id=80353", "80353")</f>
        <v>80353</v>
      </c>
      <c r="C2183" t="s">
        <v>9961</v>
      </c>
      <c r="D2183" t="s">
        <v>10</v>
      </c>
      <c r="E2183" t="s">
        <v>15</v>
      </c>
      <c r="F2183" t="s">
        <v>26</v>
      </c>
      <c r="L2183" t="s">
        <v>9962</v>
      </c>
      <c r="Q2183" t="s">
        <v>9962</v>
      </c>
      <c r="S2183" t="s">
        <v>9963</v>
      </c>
      <c r="T2183" t="s">
        <v>9964</v>
      </c>
      <c r="U2183" t="s">
        <v>9965</v>
      </c>
      <c r="V2183" t="s">
        <v>9962</v>
      </c>
      <c r="W2183" t="s">
        <v>143</v>
      </c>
      <c r="X2183" t="s">
        <v>9966</v>
      </c>
      <c r="Y2183">
        <v>0</v>
      </c>
      <c r="Z2183">
        <v>0</v>
      </c>
    </row>
    <row r="2184" spans="1:26">
      <c r="A2184" s="1">
        <v>2182</v>
      </c>
      <c r="B2184" t="str">
        <f>HYPERLINK("https://bugs.eclipse.org/bugs/show_bug.cgi?id=80359", "80359")</f>
        <v>80359</v>
      </c>
      <c r="C2184" t="s">
        <v>35</v>
      </c>
      <c r="D2184" t="s">
        <v>11</v>
      </c>
      <c r="E2184" t="s">
        <v>12</v>
      </c>
      <c r="F2184" t="s">
        <v>26</v>
      </c>
      <c r="L2184" t="s">
        <v>9967</v>
      </c>
      <c r="M2184" t="s">
        <v>9968</v>
      </c>
      <c r="N2184" t="s">
        <v>9967</v>
      </c>
      <c r="T2184" t="s">
        <v>9969</v>
      </c>
      <c r="U2184" t="s">
        <v>9970</v>
      </c>
      <c r="V2184" t="s">
        <v>9968</v>
      </c>
      <c r="W2184" t="s">
        <v>2668</v>
      </c>
      <c r="X2184" t="s">
        <v>9971</v>
      </c>
      <c r="Y2184">
        <v>0</v>
      </c>
      <c r="Z2184">
        <v>170.95833333333329</v>
      </c>
    </row>
    <row r="2185" spans="1:26">
      <c r="A2185" s="1">
        <v>2183</v>
      </c>
      <c r="B2185" t="str">
        <f>HYPERLINK("https://bugs.eclipse.org/bugs/show_bug.cgi?id=80479", "80479")</f>
        <v>80479</v>
      </c>
      <c r="C2185" t="s">
        <v>9972</v>
      </c>
      <c r="D2185" t="s">
        <v>10</v>
      </c>
      <c r="E2185" t="s">
        <v>15</v>
      </c>
      <c r="F2185" t="s">
        <v>26</v>
      </c>
      <c r="L2185" t="s">
        <v>9973</v>
      </c>
      <c r="Q2185" t="s">
        <v>9973</v>
      </c>
      <c r="S2185" t="s">
        <v>9974</v>
      </c>
      <c r="T2185" t="s">
        <v>9975</v>
      </c>
      <c r="U2185" t="s">
        <v>9976</v>
      </c>
      <c r="V2185" t="s">
        <v>9973</v>
      </c>
      <c r="W2185" t="s">
        <v>86</v>
      </c>
      <c r="X2185" t="s">
        <v>9977</v>
      </c>
      <c r="Y2185">
        <v>0</v>
      </c>
      <c r="Z2185">
        <v>0</v>
      </c>
    </row>
    <row r="2186" spans="1:26">
      <c r="A2186" s="1">
        <v>2184</v>
      </c>
      <c r="B2186" t="str">
        <f>HYPERLINK("https://bugs.eclipse.org/bugs/show_bug.cgi?id=80484", "80484")</f>
        <v>80484</v>
      </c>
      <c r="C2186" t="s">
        <v>140</v>
      </c>
      <c r="D2186" t="s">
        <v>10</v>
      </c>
      <c r="E2186" t="s">
        <v>16</v>
      </c>
      <c r="F2186" t="s">
        <v>26</v>
      </c>
      <c r="L2186" t="s">
        <v>9978</v>
      </c>
      <c r="R2186" t="s">
        <v>9978</v>
      </c>
      <c r="T2186" t="s">
        <v>9979</v>
      </c>
      <c r="U2186" t="s">
        <v>9980</v>
      </c>
      <c r="V2186" t="s">
        <v>9978</v>
      </c>
      <c r="W2186" t="s">
        <v>851</v>
      </c>
      <c r="X2186" t="s">
        <v>9981</v>
      </c>
      <c r="Y2186">
        <v>0</v>
      </c>
      <c r="Z2186">
        <v>144.95833333333329</v>
      </c>
    </row>
    <row r="2187" spans="1:26">
      <c r="A2187" s="1">
        <v>2185</v>
      </c>
      <c r="B2187" t="str">
        <f>HYPERLINK("https://bugs.eclipse.org/bugs/show_bug.cgi?id=80595", "80595")</f>
        <v>80595</v>
      </c>
      <c r="C2187" t="s">
        <v>140</v>
      </c>
      <c r="D2187" t="s">
        <v>10</v>
      </c>
      <c r="E2187" t="s">
        <v>16</v>
      </c>
      <c r="F2187" t="s">
        <v>26</v>
      </c>
      <c r="L2187" t="s">
        <v>9982</v>
      </c>
      <c r="R2187" t="s">
        <v>9982</v>
      </c>
      <c r="T2187" t="s">
        <v>9983</v>
      </c>
      <c r="U2187" t="s">
        <v>9982</v>
      </c>
      <c r="V2187" t="s">
        <v>9982</v>
      </c>
      <c r="W2187" t="s">
        <v>851</v>
      </c>
      <c r="X2187" t="s">
        <v>9984</v>
      </c>
      <c r="Y2187">
        <v>8</v>
      </c>
      <c r="Z2187">
        <v>8</v>
      </c>
    </row>
    <row r="2188" spans="1:26">
      <c r="A2188" s="1">
        <v>2186</v>
      </c>
      <c r="B2188" t="str">
        <f>HYPERLINK("https://bugs.eclipse.org/bugs/show_bug.cgi?id=80664", "80664")</f>
        <v>80664</v>
      </c>
      <c r="C2188" t="s">
        <v>149</v>
      </c>
      <c r="D2188" t="s">
        <v>10</v>
      </c>
      <c r="E2188" t="s">
        <v>12</v>
      </c>
      <c r="F2188" t="s">
        <v>26</v>
      </c>
      <c r="L2188" t="s">
        <v>9985</v>
      </c>
      <c r="N2188" t="s">
        <v>9985</v>
      </c>
      <c r="T2188" t="s">
        <v>9986</v>
      </c>
      <c r="U2188" t="s">
        <v>9987</v>
      </c>
      <c r="V2188" t="s">
        <v>9985</v>
      </c>
      <c r="W2188" t="s">
        <v>851</v>
      </c>
      <c r="X2188" t="s">
        <v>9988</v>
      </c>
      <c r="Y2188">
        <v>1</v>
      </c>
      <c r="Z2188">
        <v>117.9583333333333</v>
      </c>
    </row>
    <row r="2189" spans="1:26">
      <c r="A2189" s="1">
        <v>2187</v>
      </c>
      <c r="B2189" t="str">
        <f>HYPERLINK("https://bugs.eclipse.org/bugs/show_bug.cgi?id=80688", "80688")</f>
        <v>80688</v>
      </c>
      <c r="C2189" t="s">
        <v>88</v>
      </c>
      <c r="D2189" t="s">
        <v>10</v>
      </c>
      <c r="E2189" t="s">
        <v>13</v>
      </c>
      <c r="F2189" t="s">
        <v>26</v>
      </c>
      <c r="L2189" t="s">
        <v>9989</v>
      </c>
      <c r="O2189" t="s">
        <v>9989</v>
      </c>
      <c r="T2189" t="s">
        <v>9990</v>
      </c>
      <c r="U2189" t="s">
        <v>9991</v>
      </c>
      <c r="V2189" t="s">
        <v>9989</v>
      </c>
      <c r="W2189" t="s">
        <v>851</v>
      </c>
      <c r="X2189" t="s">
        <v>9992</v>
      </c>
      <c r="Y2189">
        <v>3</v>
      </c>
      <c r="Z2189">
        <v>24</v>
      </c>
    </row>
    <row r="2190" spans="1:26">
      <c r="A2190" s="1">
        <v>2188</v>
      </c>
      <c r="B2190" t="str">
        <f>HYPERLINK("https://bugs.eclipse.org/bugs/show_bug.cgi?id=80785", "80785")</f>
        <v>80785</v>
      </c>
      <c r="C2190" t="s">
        <v>9993</v>
      </c>
      <c r="D2190" t="s">
        <v>10</v>
      </c>
      <c r="E2190" t="s">
        <v>15</v>
      </c>
      <c r="F2190" t="s">
        <v>26</v>
      </c>
      <c r="L2190" t="s">
        <v>9994</v>
      </c>
      <c r="Q2190" t="s">
        <v>9994</v>
      </c>
      <c r="T2190" t="s">
        <v>9995</v>
      </c>
      <c r="U2190" t="s">
        <v>9996</v>
      </c>
      <c r="V2190" t="s">
        <v>9994</v>
      </c>
      <c r="W2190" t="s">
        <v>86</v>
      </c>
      <c r="X2190" t="s">
        <v>9997</v>
      </c>
      <c r="Y2190">
        <v>0</v>
      </c>
      <c r="Z2190">
        <v>1</v>
      </c>
    </row>
    <row r="2191" spans="1:26">
      <c r="A2191" s="1">
        <v>2189</v>
      </c>
      <c r="B2191" t="str">
        <f>HYPERLINK("https://bugs.eclipse.org/bugs/show_bug.cgi?id=80797", "80797")</f>
        <v>80797</v>
      </c>
      <c r="C2191" t="s">
        <v>56</v>
      </c>
      <c r="D2191" t="s">
        <v>10</v>
      </c>
      <c r="E2191" t="s">
        <v>14</v>
      </c>
      <c r="F2191" t="s">
        <v>26</v>
      </c>
      <c r="L2191" t="s">
        <v>9998</v>
      </c>
      <c r="P2191" t="s">
        <v>9999</v>
      </c>
      <c r="R2191" t="s">
        <v>10000</v>
      </c>
      <c r="S2191" t="s">
        <v>10001</v>
      </c>
      <c r="T2191" t="s">
        <v>10002</v>
      </c>
      <c r="U2191" t="s">
        <v>10000</v>
      </c>
      <c r="V2191" t="s">
        <v>9999</v>
      </c>
      <c r="W2191" t="s">
        <v>75</v>
      </c>
      <c r="X2191" t="s">
        <v>10003</v>
      </c>
      <c r="Y2191">
        <v>0</v>
      </c>
      <c r="Z2191">
        <v>1720.958333333333</v>
      </c>
    </row>
    <row r="2192" spans="1:26">
      <c r="A2192" s="1">
        <v>2190</v>
      </c>
      <c r="B2192" t="str">
        <f>HYPERLINK("https://bugs.eclipse.org/bugs/show_bug.cgi?id=80891", "80891")</f>
        <v>80891</v>
      </c>
      <c r="C2192" t="s">
        <v>149</v>
      </c>
      <c r="D2192" t="s">
        <v>10</v>
      </c>
      <c r="E2192" t="s">
        <v>12</v>
      </c>
      <c r="F2192" t="s">
        <v>26</v>
      </c>
      <c r="L2192" t="s">
        <v>10004</v>
      </c>
      <c r="N2192" t="s">
        <v>10004</v>
      </c>
      <c r="T2192" t="s">
        <v>10005</v>
      </c>
      <c r="U2192" t="s">
        <v>10006</v>
      </c>
      <c r="V2192" t="s">
        <v>10004</v>
      </c>
      <c r="W2192" t="s">
        <v>2668</v>
      </c>
      <c r="X2192" t="s">
        <v>10007</v>
      </c>
      <c r="Y2192">
        <v>0</v>
      </c>
      <c r="Z2192">
        <v>1</v>
      </c>
    </row>
    <row r="2193" spans="1:26">
      <c r="A2193" s="1">
        <v>2191</v>
      </c>
      <c r="B2193" t="str">
        <f>HYPERLINK("https://bugs.eclipse.org/bugs/show_bug.cgi?id=80922", "80922")</f>
        <v>80922</v>
      </c>
      <c r="C2193" t="s">
        <v>10008</v>
      </c>
      <c r="D2193" t="s">
        <v>10</v>
      </c>
      <c r="E2193" t="s">
        <v>15</v>
      </c>
      <c r="F2193" t="s">
        <v>26</v>
      </c>
      <c r="L2193" t="s">
        <v>10009</v>
      </c>
      <c r="Q2193" t="s">
        <v>10009</v>
      </c>
      <c r="T2193" t="s">
        <v>10010</v>
      </c>
      <c r="U2193" t="s">
        <v>10011</v>
      </c>
      <c r="V2193" t="s">
        <v>10009</v>
      </c>
      <c r="W2193" t="s">
        <v>851</v>
      </c>
      <c r="X2193" t="s">
        <v>10012</v>
      </c>
      <c r="Y2193">
        <v>0</v>
      </c>
      <c r="Z2193">
        <v>56</v>
      </c>
    </row>
    <row r="2194" spans="1:26">
      <c r="A2194" s="1">
        <v>2192</v>
      </c>
      <c r="B2194" t="str">
        <f>HYPERLINK("https://bugs.eclipse.org/bugs/show_bug.cgi?id=80952", "80952")</f>
        <v>80952</v>
      </c>
      <c r="C2194" t="s">
        <v>149</v>
      </c>
      <c r="D2194" t="s">
        <v>10</v>
      </c>
      <c r="E2194" t="s">
        <v>12</v>
      </c>
      <c r="F2194" t="s">
        <v>26</v>
      </c>
      <c r="L2194" t="s">
        <v>10013</v>
      </c>
      <c r="N2194" t="s">
        <v>10013</v>
      </c>
      <c r="T2194" t="s">
        <v>10014</v>
      </c>
      <c r="U2194" t="s">
        <v>10015</v>
      </c>
      <c r="V2194" t="s">
        <v>10013</v>
      </c>
      <c r="W2194" t="s">
        <v>851</v>
      </c>
      <c r="X2194" t="s">
        <v>10016</v>
      </c>
      <c r="Y2194">
        <v>0</v>
      </c>
      <c r="Z2194">
        <v>0</v>
      </c>
    </row>
    <row r="2195" spans="1:26">
      <c r="A2195" s="1">
        <v>2193</v>
      </c>
      <c r="B2195" t="str">
        <f>HYPERLINK("https://bugs.eclipse.org/bugs/show_bug.cgi?id=80973", "80973")</f>
        <v>80973</v>
      </c>
      <c r="C2195" t="s">
        <v>149</v>
      </c>
      <c r="D2195" t="s">
        <v>10</v>
      </c>
      <c r="E2195" t="s">
        <v>12</v>
      </c>
      <c r="F2195" t="s">
        <v>26</v>
      </c>
      <c r="L2195" t="s">
        <v>10017</v>
      </c>
      <c r="N2195" t="s">
        <v>10017</v>
      </c>
      <c r="T2195" t="s">
        <v>10018</v>
      </c>
      <c r="U2195" t="s">
        <v>10019</v>
      </c>
      <c r="V2195" t="s">
        <v>10017</v>
      </c>
      <c r="W2195" t="s">
        <v>2668</v>
      </c>
      <c r="X2195" t="s">
        <v>10020</v>
      </c>
      <c r="Y2195">
        <v>1</v>
      </c>
      <c r="Z2195">
        <v>34</v>
      </c>
    </row>
    <row r="2196" spans="1:26">
      <c r="A2196" s="1">
        <v>2194</v>
      </c>
      <c r="B2196" t="str">
        <f>HYPERLINK("https://bugs.eclipse.org/bugs/show_bug.cgi?id=80999", "80999")</f>
        <v>80999</v>
      </c>
      <c r="C2196" t="s">
        <v>10021</v>
      </c>
      <c r="D2196" t="s">
        <v>10</v>
      </c>
      <c r="E2196" t="s">
        <v>15</v>
      </c>
      <c r="F2196" t="s">
        <v>26</v>
      </c>
      <c r="L2196" t="s">
        <v>10022</v>
      </c>
      <c r="Q2196" t="s">
        <v>10022</v>
      </c>
      <c r="T2196" t="s">
        <v>10023</v>
      </c>
      <c r="U2196" t="s">
        <v>10022</v>
      </c>
      <c r="V2196" t="s">
        <v>10022</v>
      </c>
      <c r="W2196" t="s">
        <v>86</v>
      </c>
      <c r="X2196" t="s">
        <v>10024</v>
      </c>
      <c r="Y2196">
        <v>1</v>
      </c>
      <c r="Z2196">
        <v>1</v>
      </c>
    </row>
    <row r="2197" spans="1:26">
      <c r="A2197" s="1">
        <v>2195</v>
      </c>
      <c r="B2197" t="str">
        <f>HYPERLINK("https://bugs.eclipse.org/bugs/show_bug.cgi?id=81058", "81058")</f>
        <v>81058</v>
      </c>
      <c r="C2197" t="s">
        <v>35</v>
      </c>
      <c r="D2197" t="s">
        <v>11</v>
      </c>
      <c r="E2197" t="s">
        <v>12</v>
      </c>
      <c r="F2197" t="s">
        <v>26</v>
      </c>
      <c r="G2197" t="s">
        <v>10025</v>
      </c>
      <c r="L2197" t="s">
        <v>10026</v>
      </c>
      <c r="M2197" t="s">
        <v>10027</v>
      </c>
      <c r="N2197" t="s">
        <v>10026</v>
      </c>
      <c r="T2197" t="s">
        <v>10028</v>
      </c>
      <c r="U2197" t="s">
        <v>10029</v>
      </c>
      <c r="V2197" t="s">
        <v>10009</v>
      </c>
      <c r="W2197" t="s">
        <v>851</v>
      </c>
      <c r="X2197" t="s">
        <v>10030</v>
      </c>
      <c r="Y2197">
        <v>0</v>
      </c>
      <c r="Z2197">
        <v>55</v>
      </c>
    </row>
    <row r="2198" spans="1:26">
      <c r="A2198" s="1">
        <v>2196</v>
      </c>
      <c r="B2198" t="str">
        <f>HYPERLINK("https://bugs.eclipse.org/bugs/show_bug.cgi?id=81059", "81059")</f>
        <v>81059</v>
      </c>
      <c r="C2198" t="s">
        <v>35</v>
      </c>
      <c r="D2198" t="s">
        <v>11</v>
      </c>
      <c r="E2198" t="s">
        <v>12</v>
      </c>
      <c r="F2198" t="s">
        <v>26</v>
      </c>
      <c r="L2198" t="s">
        <v>10031</v>
      </c>
      <c r="M2198" t="s">
        <v>10032</v>
      </c>
      <c r="N2198" t="s">
        <v>10031</v>
      </c>
      <c r="T2198" t="s">
        <v>10033</v>
      </c>
      <c r="U2198" t="s">
        <v>10034</v>
      </c>
      <c r="V2198" t="s">
        <v>10032</v>
      </c>
      <c r="W2198" t="s">
        <v>851</v>
      </c>
      <c r="X2198" t="s">
        <v>10035</v>
      </c>
      <c r="Y2198">
        <v>0</v>
      </c>
      <c r="Z2198">
        <v>65</v>
      </c>
    </row>
    <row r="2199" spans="1:26">
      <c r="A2199" s="1">
        <v>2197</v>
      </c>
      <c r="B2199" t="str">
        <f>HYPERLINK("https://bugs.eclipse.org/bugs/show_bug.cgi?id=81101", "81101")</f>
        <v>81101</v>
      </c>
      <c r="C2199" t="s">
        <v>191</v>
      </c>
      <c r="D2199" t="s">
        <v>192</v>
      </c>
      <c r="E2199" t="s">
        <v>14</v>
      </c>
      <c r="F2199" t="s">
        <v>26</v>
      </c>
      <c r="G2199" t="s">
        <v>10036</v>
      </c>
      <c r="P2199" t="s">
        <v>10037</v>
      </c>
      <c r="T2199" t="s">
        <v>10038</v>
      </c>
      <c r="U2199" t="s">
        <v>10039</v>
      </c>
      <c r="V2199" t="s">
        <v>10037</v>
      </c>
      <c r="W2199" t="s">
        <v>65</v>
      </c>
      <c r="X2199" t="s">
        <v>10040</v>
      </c>
      <c r="Y2199">
        <v>0</v>
      </c>
      <c r="Z2199">
        <v>5607.958333333333</v>
      </c>
    </row>
    <row r="2200" spans="1:26">
      <c r="A2200" s="1">
        <v>2198</v>
      </c>
      <c r="B2200" t="str">
        <f>HYPERLINK("https://bugs.eclipse.org/bugs/show_bug.cgi?id=81104", "81104")</f>
        <v>81104</v>
      </c>
      <c r="C2200" t="s">
        <v>140</v>
      </c>
      <c r="D2200" t="s">
        <v>10</v>
      </c>
      <c r="E2200" t="s">
        <v>16</v>
      </c>
      <c r="F2200" t="s">
        <v>26</v>
      </c>
      <c r="L2200" t="s">
        <v>10041</v>
      </c>
      <c r="R2200" t="s">
        <v>10041</v>
      </c>
      <c r="T2200" t="s">
        <v>10042</v>
      </c>
      <c r="U2200" t="s">
        <v>10043</v>
      </c>
      <c r="V2200" t="s">
        <v>10041</v>
      </c>
      <c r="W2200" t="s">
        <v>2668</v>
      </c>
      <c r="X2200" t="s">
        <v>10044</v>
      </c>
      <c r="Y2200">
        <v>0</v>
      </c>
      <c r="Z2200">
        <v>36</v>
      </c>
    </row>
    <row r="2201" spans="1:26">
      <c r="A2201" s="1">
        <v>2199</v>
      </c>
      <c r="B2201" t="str">
        <f>HYPERLINK("https://bugs.eclipse.org/bugs/show_bug.cgi?id=81106", "81106")</f>
        <v>81106</v>
      </c>
      <c r="C2201" t="s">
        <v>35</v>
      </c>
      <c r="D2201" t="s">
        <v>11</v>
      </c>
      <c r="E2201" t="s">
        <v>12</v>
      </c>
      <c r="F2201" t="s">
        <v>150</v>
      </c>
      <c r="G2201" t="s">
        <v>10045</v>
      </c>
      <c r="L2201" t="s">
        <v>10046</v>
      </c>
      <c r="M2201" t="s">
        <v>10047</v>
      </c>
      <c r="N2201" t="s">
        <v>10046</v>
      </c>
      <c r="S2201" t="s">
        <v>10048</v>
      </c>
      <c r="T2201" t="s">
        <v>10049</v>
      </c>
      <c r="U2201" t="s">
        <v>10050</v>
      </c>
      <c r="V2201" t="s">
        <v>10047</v>
      </c>
      <c r="W2201" t="s">
        <v>86</v>
      </c>
      <c r="X2201" t="s">
        <v>10051</v>
      </c>
      <c r="Y2201">
        <v>0</v>
      </c>
      <c r="Z2201">
        <v>162.95833333333329</v>
      </c>
    </row>
    <row r="2202" spans="1:26">
      <c r="A2202" s="1">
        <v>2200</v>
      </c>
      <c r="B2202" t="str">
        <f>HYPERLINK("https://bugs.eclipse.org/bugs/show_bug.cgi?id=81108", "81108")</f>
        <v>81108</v>
      </c>
      <c r="C2202" t="s">
        <v>140</v>
      </c>
      <c r="D2202" t="s">
        <v>10</v>
      </c>
      <c r="E2202" t="s">
        <v>16</v>
      </c>
      <c r="F2202" t="s">
        <v>26</v>
      </c>
      <c r="L2202" t="s">
        <v>10052</v>
      </c>
      <c r="N2202" t="s">
        <v>10053</v>
      </c>
      <c r="R2202" t="s">
        <v>10052</v>
      </c>
      <c r="S2202" t="s">
        <v>10054</v>
      </c>
      <c r="T2202" t="s">
        <v>10055</v>
      </c>
      <c r="U2202" t="s">
        <v>10056</v>
      </c>
      <c r="V2202" t="s">
        <v>10052</v>
      </c>
      <c r="W2202" t="s">
        <v>2668</v>
      </c>
      <c r="X2202" t="s">
        <v>10057</v>
      </c>
      <c r="Y2202">
        <v>0</v>
      </c>
      <c r="Z2202">
        <v>54</v>
      </c>
    </row>
    <row r="2203" spans="1:26">
      <c r="A2203" s="1">
        <v>2201</v>
      </c>
      <c r="B2203" t="str">
        <f>HYPERLINK("https://bugs.eclipse.org/bugs/show_bug.cgi?id=81110", "81110")</f>
        <v>81110</v>
      </c>
      <c r="C2203" t="s">
        <v>10058</v>
      </c>
      <c r="D2203" t="s">
        <v>10</v>
      </c>
      <c r="E2203" t="s">
        <v>15</v>
      </c>
      <c r="F2203" t="s">
        <v>26</v>
      </c>
      <c r="L2203" t="s">
        <v>10059</v>
      </c>
      <c r="Q2203" t="s">
        <v>10059</v>
      </c>
      <c r="T2203" t="s">
        <v>10060</v>
      </c>
      <c r="U2203" t="s">
        <v>10059</v>
      </c>
      <c r="V2203" t="s">
        <v>10059</v>
      </c>
      <c r="W2203" t="s">
        <v>86</v>
      </c>
      <c r="X2203" t="s">
        <v>10061</v>
      </c>
      <c r="Y2203">
        <v>2</v>
      </c>
      <c r="Z2203">
        <v>2</v>
      </c>
    </row>
    <row r="2204" spans="1:26">
      <c r="A2204" s="1">
        <v>2202</v>
      </c>
      <c r="B2204" t="str">
        <f>HYPERLINK("https://bugs.eclipse.org/bugs/show_bug.cgi?id=81120", "81120")</f>
        <v>81120</v>
      </c>
      <c r="C2204" t="s">
        <v>149</v>
      </c>
      <c r="D2204" t="s">
        <v>10</v>
      </c>
      <c r="E2204" t="s">
        <v>12</v>
      </c>
      <c r="F2204" t="s">
        <v>26</v>
      </c>
      <c r="L2204" t="s">
        <v>10062</v>
      </c>
      <c r="N2204" t="s">
        <v>10062</v>
      </c>
      <c r="T2204" t="s">
        <v>10063</v>
      </c>
      <c r="U2204" t="s">
        <v>10064</v>
      </c>
      <c r="V2204" t="s">
        <v>10062</v>
      </c>
      <c r="W2204" t="s">
        <v>851</v>
      </c>
      <c r="X2204" t="s">
        <v>10065</v>
      </c>
      <c r="Y2204">
        <v>0</v>
      </c>
      <c r="Z2204">
        <v>55</v>
      </c>
    </row>
    <row r="2205" spans="1:26">
      <c r="A2205" s="1">
        <v>2203</v>
      </c>
      <c r="B2205" t="str">
        <f>HYPERLINK("https://bugs.eclipse.org/bugs/show_bug.cgi?id=81130", "81130")</f>
        <v>81130</v>
      </c>
      <c r="C2205" t="s">
        <v>149</v>
      </c>
      <c r="D2205" t="s">
        <v>10</v>
      </c>
      <c r="E2205" t="s">
        <v>12</v>
      </c>
      <c r="F2205" t="s">
        <v>26</v>
      </c>
      <c r="L2205" t="s">
        <v>10066</v>
      </c>
      <c r="N2205" t="s">
        <v>10066</v>
      </c>
      <c r="T2205" t="s">
        <v>10067</v>
      </c>
      <c r="U2205" t="s">
        <v>10068</v>
      </c>
      <c r="V2205" t="s">
        <v>10066</v>
      </c>
      <c r="W2205" t="s">
        <v>2668</v>
      </c>
      <c r="X2205" t="s">
        <v>10069</v>
      </c>
      <c r="Y2205">
        <v>0</v>
      </c>
      <c r="Z2205">
        <v>20</v>
      </c>
    </row>
    <row r="2206" spans="1:26">
      <c r="A2206" s="1">
        <v>2204</v>
      </c>
      <c r="B2206" t="str">
        <f>HYPERLINK("https://bugs.eclipse.org/bugs/show_bug.cgi?id=81131", "81131")</f>
        <v>81131</v>
      </c>
      <c r="C2206" t="s">
        <v>35</v>
      </c>
      <c r="D2206" t="s">
        <v>11</v>
      </c>
      <c r="E2206" t="s">
        <v>12</v>
      </c>
      <c r="F2206" t="s">
        <v>26</v>
      </c>
      <c r="L2206" t="s">
        <v>10070</v>
      </c>
      <c r="M2206" t="s">
        <v>10071</v>
      </c>
      <c r="N2206" t="s">
        <v>10070</v>
      </c>
      <c r="T2206" t="s">
        <v>10072</v>
      </c>
      <c r="U2206" t="s">
        <v>10073</v>
      </c>
      <c r="V2206" t="s">
        <v>10071</v>
      </c>
      <c r="W2206" t="s">
        <v>49</v>
      </c>
      <c r="X2206" t="s">
        <v>10074</v>
      </c>
      <c r="Y2206">
        <v>0</v>
      </c>
      <c r="Z2206">
        <v>1</v>
      </c>
    </row>
    <row r="2207" spans="1:26">
      <c r="A2207" s="1">
        <v>2205</v>
      </c>
      <c r="B2207" t="str">
        <f>HYPERLINK("https://bugs.eclipse.org/bugs/show_bug.cgi?id=81138", "81138")</f>
        <v>81138</v>
      </c>
      <c r="C2207" t="s">
        <v>149</v>
      </c>
      <c r="D2207" t="s">
        <v>10</v>
      </c>
      <c r="E2207" t="s">
        <v>12</v>
      </c>
      <c r="F2207" t="s">
        <v>26</v>
      </c>
      <c r="L2207" t="s">
        <v>10075</v>
      </c>
      <c r="N2207" t="s">
        <v>10075</v>
      </c>
      <c r="T2207" t="s">
        <v>10076</v>
      </c>
      <c r="U2207" t="s">
        <v>10077</v>
      </c>
      <c r="V2207" t="s">
        <v>10075</v>
      </c>
      <c r="W2207" t="s">
        <v>2668</v>
      </c>
      <c r="X2207" t="s">
        <v>10078</v>
      </c>
      <c r="Y2207">
        <v>0</v>
      </c>
      <c r="Z2207">
        <v>21</v>
      </c>
    </row>
    <row r="2208" spans="1:26">
      <c r="A2208" s="1">
        <v>2206</v>
      </c>
      <c r="B2208" t="str">
        <f>HYPERLINK("https://bugs.eclipse.org/bugs/show_bug.cgi?id=81143", "81143")</f>
        <v>81143</v>
      </c>
      <c r="C2208" t="s">
        <v>149</v>
      </c>
      <c r="D2208" t="s">
        <v>10</v>
      </c>
      <c r="E2208" t="s">
        <v>12</v>
      </c>
      <c r="F2208" t="s">
        <v>26</v>
      </c>
      <c r="L2208" t="s">
        <v>10079</v>
      </c>
      <c r="N2208" t="s">
        <v>10079</v>
      </c>
      <c r="T2208" t="s">
        <v>10080</v>
      </c>
      <c r="U2208" t="s">
        <v>10081</v>
      </c>
      <c r="V2208" t="s">
        <v>10079</v>
      </c>
      <c r="W2208" t="s">
        <v>2668</v>
      </c>
      <c r="X2208" t="s">
        <v>10082</v>
      </c>
      <c r="Y2208">
        <v>0</v>
      </c>
      <c r="Z2208">
        <v>21</v>
      </c>
    </row>
    <row r="2209" spans="1:26">
      <c r="A2209" s="1">
        <v>2207</v>
      </c>
      <c r="B2209" t="str">
        <f>HYPERLINK("https://bugs.eclipse.org/bugs/show_bug.cgi?id=81146", "81146")</f>
        <v>81146</v>
      </c>
      <c r="C2209" t="s">
        <v>149</v>
      </c>
      <c r="D2209" t="s">
        <v>10</v>
      </c>
      <c r="E2209" t="s">
        <v>12</v>
      </c>
      <c r="F2209" t="s">
        <v>26</v>
      </c>
      <c r="L2209" t="s">
        <v>10083</v>
      </c>
      <c r="N2209" t="s">
        <v>10083</v>
      </c>
      <c r="T2209" t="s">
        <v>10084</v>
      </c>
      <c r="U2209" t="s">
        <v>10085</v>
      </c>
      <c r="V2209" t="s">
        <v>10083</v>
      </c>
      <c r="W2209" t="s">
        <v>2668</v>
      </c>
      <c r="X2209" t="s">
        <v>10086</v>
      </c>
      <c r="Y2209">
        <v>0</v>
      </c>
      <c r="Z2209">
        <v>21</v>
      </c>
    </row>
    <row r="2210" spans="1:26">
      <c r="A2210" s="1">
        <v>2208</v>
      </c>
      <c r="B2210" t="str">
        <f>HYPERLINK("https://bugs.eclipse.org/bugs/show_bug.cgi?id=81151", "81151")</f>
        <v>81151</v>
      </c>
      <c r="C2210" t="s">
        <v>149</v>
      </c>
      <c r="D2210" t="s">
        <v>10</v>
      </c>
      <c r="E2210" t="s">
        <v>12</v>
      </c>
      <c r="F2210" t="s">
        <v>26</v>
      </c>
      <c r="G2210" t="s">
        <v>10087</v>
      </c>
      <c r="L2210" t="s">
        <v>10088</v>
      </c>
      <c r="N2210" t="s">
        <v>10088</v>
      </c>
      <c r="T2210" t="s">
        <v>10089</v>
      </c>
      <c r="U2210" t="s">
        <v>10090</v>
      </c>
      <c r="V2210" t="s">
        <v>10088</v>
      </c>
      <c r="W2210" t="s">
        <v>2668</v>
      </c>
      <c r="X2210" t="s">
        <v>10091</v>
      </c>
      <c r="Y2210">
        <v>0</v>
      </c>
      <c r="Z2210">
        <v>138.95833333333329</v>
      </c>
    </row>
    <row r="2211" spans="1:26">
      <c r="A2211" s="1">
        <v>2209</v>
      </c>
      <c r="B2211" t="str">
        <f>HYPERLINK("https://bugs.eclipse.org/bugs/show_bug.cgi?id=81177", "81177")</f>
        <v>81177</v>
      </c>
      <c r="C2211" t="s">
        <v>149</v>
      </c>
      <c r="D2211" t="s">
        <v>10</v>
      </c>
      <c r="E2211" t="s">
        <v>12</v>
      </c>
      <c r="F2211" t="s">
        <v>26</v>
      </c>
      <c r="L2211" t="s">
        <v>10092</v>
      </c>
      <c r="N2211" t="s">
        <v>10092</v>
      </c>
      <c r="T2211" t="s">
        <v>10093</v>
      </c>
      <c r="U2211" t="s">
        <v>10094</v>
      </c>
      <c r="V2211" t="s">
        <v>10095</v>
      </c>
      <c r="W2211" t="s">
        <v>851</v>
      </c>
      <c r="X2211" t="s">
        <v>10096</v>
      </c>
      <c r="Y2211">
        <v>0</v>
      </c>
      <c r="Z2211">
        <v>68</v>
      </c>
    </row>
    <row r="2212" spans="1:26">
      <c r="A2212" s="1">
        <v>2210</v>
      </c>
      <c r="B2212" t="str">
        <f>HYPERLINK("https://bugs.eclipse.org/bugs/show_bug.cgi?id=81178", "81178")</f>
        <v>81178</v>
      </c>
      <c r="C2212" t="s">
        <v>35</v>
      </c>
      <c r="D2212" t="s">
        <v>11</v>
      </c>
      <c r="E2212" t="s">
        <v>12</v>
      </c>
      <c r="F2212" t="s">
        <v>26</v>
      </c>
      <c r="L2212" t="s">
        <v>10097</v>
      </c>
      <c r="M2212" t="s">
        <v>10098</v>
      </c>
      <c r="N2212" t="s">
        <v>10097</v>
      </c>
      <c r="T2212" t="s">
        <v>10099</v>
      </c>
      <c r="U2212" t="s">
        <v>10100</v>
      </c>
      <c r="V2212" t="s">
        <v>10098</v>
      </c>
      <c r="W2212" t="s">
        <v>86</v>
      </c>
      <c r="X2212" t="s">
        <v>10101</v>
      </c>
      <c r="Y2212">
        <v>0</v>
      </c>
      <c r="Z2212">
        <v>162.95833333333329</v>
      </c>
    </row>
    <row r="2213" spans="1:26">
      <c r="A2213" s="1">
        <v>2211</v>
      </c>
      <c r="B2213" t="str">
        <f>HYPERLINK("https://bugs.eclipse.org/bugs/show_bug.cgi?id=81181", "81181")</f>
        <v>81181</v>
      </c>
      <c r="C2213" t="s">
        <v>149</v>
      </c>
      <c r="D2213" t="s">
        <v>10</v>
      </c>
      <c r="E2213" t="s">
        <v>12</v>
      </c>
      <c r="F2213" t="s">
        <v>26</v>
      </c>
      <c r="L2213" t="s">
        <v>10102</v>
      </c>
      <c r="N2213" t="s">
        <v>10102</v>
      </c>
      <c r="T2213" t="s">
        <v>10103</v>
      </c>
      <c r="U2213" t="s">
        <v>10104</v>
      </c>
      <c r="V2213" t="s">
        <v>10102</v>
      </c>
      <c r="W2213" t="s">
        <v>851</v>
      </c>
      <c r="X2213" t="s">
        <v>10105</v>
      </c>
      <c r="Y2213">
        <v>0</v>
      </c>
      <c r="Z2213">
        <v>42</v>
      </c>
    </row>
    <row r="2214" spans="1:26">
      <c r="A2214" s="1">
        <v>2212</v>
      </c>
      <c r="B2214" t="str">
        <f>HYPERLINK("https://bugs.eclipse.org/bugs/show_bug.cgi?id=81187", "81187")</f>
        <v>81187</v>
      </c>
      <c r="C2214" t="s">
        <v>10106</v>
      </c>
      <c r="D2214" t="s">
        <v>10</v>
      </c>
      <c r="E2214" t="s">
        <v>15</v>
      </c>
      <c r="F2214" t="s">
        <v>26</v>
      </c>
      <c r="L2214" t="s">
        <v>10107</v>
      </c>
      <c r="Q2214" t="s">
        <v>10107</v>
      </c>
      <c r="T2214" t="s">
        <v>10108</v>
      </c>
      <c r="U2214" t="s">
        <v>10109</v>
      </c>
      <c r="V2214" t="s">
        <v>10107</v>
      </c>
      <c r="W2214" t="s">
        <v>86</v>
      </c>
      <c r="X2214" t="s">
        <v>10110</v>
      </c>
      <c r="Y2214">
        <v>0</v>
      </c>
      <c r="Z2214">
        <v>0</v>
      </c>
    </row>
    <row r="2215" spans="1:26">
      <c r="A2215" s="1">
        <v>2213</v>
      </c>
      <c r="B2215" t="str">
        <f>HYPERLINK("https://bugs.eclipse.org/bugs/show_bug.cgi?id=81207", "81207")</f>
        <v>81207</v>
      </c>
      <c r="C2215" t="s">
        <v>149</v>
      </c>
      <c r="D2215" t="s">
        <v>10</v>
      </c>
      <c r="E2215" t="s">
        <v>12</v>
      </c>
      <c r="F2215" t="s">
        <v>26</v>
      </c>
      <c r="L2215" t="s">
        <v>10111</v>
      </c>
      <c r="N2215" t="s">
        <v>10111</v>
      </c>
      <c r="T2215" t="s">
        <v>10112</v>
      </c>
      <c r="U2215" t="s">
        <v>10113</v>
      </c>
      <c r="V2215" t="s">
        <v>10111</v>
      </c>
      <c r="W2215" t="s">
        <v>851</v>
      </c>
      <c r="X2215" t="s">
        <v>10114</v>
      </c>
      <c r="Y2215">
        <v>0</v>
      </c>
      <c r="Z2215">
        <v>75</v>
      </c>
    </row>
    <row r="2216" spans="1:26">
      <c r="A2216" s="1">
        <v>2214</v>
      </c>
      <c r="B2216" t="str">
        <f>HYPERLINK("https://bugs.eclipse.org/bugs/show_bug.cgi?id=81253", "81253")</f>
        <v>81253</v>
      </c>
      <c r="C2216" t="s">
        <v>149</v>
      </c>
      <c r="D2216" t="s">
        <v>10</v>
      </c>
      <c r="E2216" t="s">
        <v>12</v>
      </c>
      <c r="F2216" t="s">
        <v>26</v>
      </c>
      <c r="L2216" t="s">
        <v>10115</v>
      </c>
      <c r="N2216" t="s">
        <v>10115</v>
      </c>
      <c r="T2216" t="s">
        <v>10116</v>
      </c>
      <c r="U2216" t="s">
        <v>10117</v>
      </c>
      <c r="V2216" t="s">
        <v>10115</v>
      </c>
      <c r="W2216" t="s">
        <v>2668</v>
      </c>
      <c r="X2216" t="s">
        <v>10118</v>
      </c>
      <c r="Y2216">
        <v>0</v>
      </c>
      <c r="Z2216">
        <v>63</v>
      </c>
    </row>
    <row r="2217" spans="1:26">
      <c r="A2217" s="1">
        <v>2215</v>
      </c>
      <c r="B2217" t="str">
        <f>HYPERLINK("https://bugs.eclipse.org/bugs/show_bug.cgi?id=81257", "81257")</f>
        <v>81257</v>
      </c>
      <c r="C2217" t="s">
        <v>191</v>
      </c>
      <c r="D2217" t="s">
        <v>192</v>
      </c>
      <c r="E2217" t="s">
        <v>14</v>
      </c>
      <c r="F2217" t="s">
        <v>26</v>
      </c>
      <c r="P2217" t="s">
        <v>10119</v>
      </c>
      <c r="T2217" t="s">
        <v>10120</v>
      </c>
      <c r="U2217" t="s">
        <v>10121</v>
      </c>
      <c r="V2217" t="s">
        <v>10119</v>
      </c>
      <c r="W2217" t="s">
        <v>65</v>
      </c>
      <c r="X2217" t="s">
        <v>10122</v>
      </c>
      <c r="Y2217">
        <v>0</v>
      </c>
      <c r="Z2217">
        <v>5534</v>
      </c>
    </row>
    <row r="2218" spans="1:26">
      <c r="A2218" s="1">
        <v>2216</v>
      </c>
      <c r="B2218" t="str">
        <f>HYPERLINK("https://bugs.eclipse.org/bugs/show_bug.cgi?id=81374", "81374")</f>
        <v>81374</v>
      </c>
      <c r="C2218" t="s">
        <v>191</v>
      </c>
      <c r="D2218" t="s">
        <v>192</v>
      </c>
      <c r="E2218" t="s">
        <v>14</v>
      </c>
      <c r="F2218" t="s">
        <v>26</v>
      </c>
      <c r="G2218" t="s">
        <v>10123</v>
      </c>
      <c r="T2218" t="s">
        <v>10124</v>
      </c>
      <c r="U2218" t="s">
        <v>10125</v>
      </c>
      <c r="V2218" t="s">
        <v>10126</v>
      </c>
      <c r="W2218" t="s">
        <v>65</v>
      </c>
      <c r="X2218" t="s">
        <v>10127</v>
      </c>
      <c r="Y2218">
        <v>0</v>
      </c>
      <c r="Z2218">
        <v>5197</v>
      </c>
    </row>
    <row r="2219" spans="1:26">
      <c r="A2219" s="1">
        <v>2217</v>
      </c>
      <c r="B2219" t="str">
        <f>HYPERLINK("https://bugs.eclipse.org/bugs/show_bug.cgi?id=81441", "81441")</f>
        <v>81441</v>
      </c>
      <c r="C2219" t="s">
        <v>149</v>
      </c>
      <c r="D2219" t="s">
        <v>10</v>
      </c>
      <c r="E2219" t="s">
        <v>12</v>
      </c>
      <c r="F2219" t="s">
        <v>26</v>
      </c>
      <c r="G2219" t="s">
        <v>10128</v>
      </c>
      <c r="L2219" t="s">
        <v>10129</v>
      </c>
      <c r="N2219" t="s">
        <v>10129</v>
      </c>
      <c r="T2219" t="s">
        <v>10130</v>
      </c>
      <c r="U2219" t="s">
        <v>10131</v>
      </c>
      <c r="V2219" t="s">
        <v>10129</v>
      </c>
      <c r="W2219" t="s">
        <v>851</v>
      </c>
      <c r="X2219" t="s">
        <v>10132</v>
      </c>
      <c r="Y2219">
        <v>0</v>
      </c>
      <c r="Z2219">
        <v>136.95833333333329</v>
      </c>
    </row>
    <row r="2220" spans="1:26">
      <c r="A2220" s="1">
        <v>2218</v>
      </c>
      <c r="B2220" t="str">
        <f>HYPERLINK("https://bugs.eclipse.org/bugs/show_bug.cgi?id=81483", "81483")</f>
        <v>81483</v>
      </c>
      <c r="C2220" t="s">
        <v>149</v>
      </c>
      <c r="D2220" t="s">
        <v>10</v>
      </c>
      <c r="E2220" t="s">
        <v>12</v>
      </c>
      <c r="F2220" t="s">
        <v>26</v>
      </c>
      <c r="L2220" t="s">
        <v>10133</v>
      </c>
      <c r="N2220" t="s">
        <v>10133</v>
      </c>
      <c r="T2220" t="s">
        <v>10134</v>
      </c>
      <c r="U2220" t="s">
        <v>10135</v>
      </c>
      <c r="V2220" t="s">
        <v>10133</v>
      </c>
      <c r="W2220" t="s">
        <v>2777</v>
      </c>
      <c r="X2220" t="s">
        <v>10136</v>
      </c>
      <c r="Y2220">
        <v>57</v>
      </c>
      <c r="Z2220">
        <v>1995.958333333333</v>
      </c>
    </row>
    <row r="2221" spans="1:26">
      <c r="A2221" s="1">
        <v>2219</v>
      </c>
      <c r="B2221" t="str">
        <f>HYPERLINK("https://bugs.eclipse.org/bugs/show_bug.cgi?id=81504", "81504")</f>
        <v>81504</v>
      </c>
      <c r="C2221" t="s">
        <v>149</v>
      </c>
      <c r="D2221" t="s">
        <v>10</v>
      </c>
      <c r="E2221" t="s">
        <v>12</v>
      </c>
      <c r="F2221" t="s">
        <v>26</v>
      </c>
      <c r="L2221" t="s">
        <v>10137</v>
      </c>
      <c r="N2221" t="s">
        <v>10137</v>
      </c>
      <c r="T2221" t="s">
        <v>10138</v>
      </c>
      <c r="U2221" t="s">
        <v>10139</v>
      </c>
      <c r="V2221" t="s">
        <v>10137</v>
      </c>
      <c r="W2221" t="s">
        <v>86</v>
      </c>
      <c r="X2221" t="s">
        <v>10140</v>
      </c>
      <c r="Y2221">
        <v>0</v>
      </c>
      <c r="Z2221">
        <v>37</v>
      </c>
    </row>
    <row r="2222" spans="1:26">
      <c r="A2222" s="1">
        <v>2220</v>
      </c>
      <c r="B2222" t="str">
        <f>HYPERLINK("https://bugs.eclipse.org/bugs/show_bug.cgi?id=81526", "81526")</f>
        <v>81526</v>
      </c>
      <c r="C2222" t="s">
        <v>191</v>
      </c>
      <c r="D2222" t="s">
        <v>192</v>
      </c>
      <c r="E2222" t="s">
        <v>14</v>
      </c>
      <c r="F2222" t="s">
        <v>26</v>
      </c>
      <c r="G2222" t="s">
        <v>10141</v>
      </c>
      <c r="P2222" t="s">
        <v>10142</v>
      </c>
      <c r="T2222" t="s">
        <v>10143</v>
      </c>
      <c r="U2222" t="s">
        <v>10144</v>
      </c>
      <c r="V2222" t="s">
        <v>10142</v>
      </c>
      <c r="W2222" t="s">
        <v>65</v>
      </c>
      <c r="X2222" t="s">
        <v>10145</v>
      </c>
      <c r="Y2222">
        <v>0</v>
      </c>
      <c r="Z2222">
        <v>5591.958333333333</v>
      </c>
    </row>
    <row r="2223" spans="1:26">
      <c r="A2223" s="1">
        <v>2221</v>
      </c>
      <c r="B2223" t="str">
        <f>HYPERLINK("https://bugs.eclipse.org/bugs/show_bug.cgi?id=81612", "81612")</f>
        <v>81612</v>
      </c>
      <c r="C2223" t="s">
        <v>35</v>
      </c>
      <c r="D2223" t="s">
        <v>11</v>
      </c>
      <c r="E2223" t="s">
        <v>12</v>
      </c>
      <c r="F2223" t="s">
        <v>150</v>
      </c>
      <c r="G2223" t="s">
        <v>10146</v>
      </c>
      <c r="L2223" t="s">
        <v>10147</v>
      </c>
      <c r="M2223" t="s">
        <v>10148</v>
      </c>
      <c r="N2223" t="s">
        <v>10147</v>
      </c>
      <c r="T2223" t="s">
        <v>10149</v>
      </c>
      <c r="U2223" t="s">
        <v>10150</v>
      </c>
      <c r="V2223" t="s">
        <v>10148</v>
      </c>
      <c r="W2223" t="s">
        <v>49</v>
      </c>
      <c r="X2223" t="s">
        <v>10151</v>
      </c>
      <c r="Y2223">
        <v>0</v>
      </c>
      <c r="Z2223">
        <v>61</v>
      </c>
    </row>
    <row r="2224" spans="1:26">
      <c r="A2224" s="1">
        <v>2222</v>
      </c>
      <c r="B2224" t="str">
        <f>HYPERLINK("https://bugs.eclipse.org/bugs/show_bug.cgi?id=81705", "81705")</f>
        <v>81705</v>
      </c>
      <c r="C2224" t="s">
        <v>10152</v>
      </c>
      <c r="D2224" t="s">
        <v>10</v>
      </c>
      <c r="E2224" t="s">
        <v>15</v>
      </c>
      <c r="F2224" t="s">
        <v>26</v>
      </c>
      <c r="L2224" t="s">
        <v>10153</v>
      </c>
      <c r="Q2224" t="s">
        <v>10153</v>
      </c>
      <c r="T2224" t="s">
        <v>10154</v>
      </c>
      <c r="U2224" t="s">
        <v>10153</v>
      </c>
      <c r="V2224" t="s">
        <v>10153</v>
      </c>
      <c r="W2224" t="s">
        <v>86</v>
      </c>
      <c r="X2224" t="s">
        <v>10155</v>
      </c>
      <c r="Y2224">
        <v>1</v>
      </c>
      <c r="Z2224">
        <v>1</v>
      </c>
    </row>
    <row r="2225" spans="1:26">
      <c r="A2225" s="1">
        <v>2223</v>
      </c>
      <c r="B2225" t="str">
        <f>HYPERLINK("https://bugs.eclipse.org/bugs/show_bug.cgi?id=81712", "81712")</f>
        <v>81712</v>
      </c>
      <c r="C2225" t="s">
        <v>149</v>
      </c>
      <c r="D2225" t="s">
        <v>10</v>
      </c>
      <c r="E2225" t="s">
        <v>12</v>
      </c>
      <c r="F2225" t="s">
        <v>26</v>
      </c>
      <c r="L2225" t="s">
        <v>10156</v>
      </c>
      <c r="N2225" t="s">
        <v>10156</v>
      </c>
      <c r="T2225" t="s">
        <v>10157</v>
      </c>
      <c r="U2225" t="s">
        <v>10158</v>
      </c>
      <c r="V2225" t="s">
        <v>10156</v>
      </c>
      <c r="W2225" t="s">
        <v>851</v>
      </c>
      <c r="X2225" t="s">
        <v>10159</v>
      </c>
      <c r="Y2225">
        <v>0</v>
      </c>
      <c r="Z2225">
        <v>49</v>
      </c>
    </row>
    <row r="2226" spans="1:26">
      <c r="A2226" s="1">
        <v>2224</v>
      </c>
      <c r="B2226" t="str">
        <f>HYPERLINK("https://bugs.eclipse.org/bugs/show_bug.cgi?id=81733", "81733")</f>
        <v>81733</v>
      </c>
      <c r="C2226" t="s">
        <v>149</v>
      </c>
      <c r="D2226" t="s">
        <v>10</v>
      </c>
      <c r="E2226" t="s">
        <v>12</v>
      </c>
      <c r="F2226" t="s">
        <v>26</v>
      </c>
      <c r="L2226" t="s">
        <v>10160</v>
      </c>
      <c r="N2226" t="s">
        <v>10160</v>
      </c>
      <c r="T2226" t="s">
        <v>10161</v>
      </c>
      <c r="U2226" t="s">
        <v>10160</v>
      </c>
      <c r="V2226" t="s">
        <v>10160</v>
      </c>
      <c r="W2226" t="s">
        <v>86</v>
      </c>
      <c r="X2226" t="s">
        <v>10162</v>
      </c>
      <c r="Y2226">
        <v>1</v>
      </c>
      <c r="Z2226">
        <v>1</v>
      </c>
    </row>
    <row r="2227" spans="1:26">
      <c r="A2227" s="1">
        <v>2225</v>
      </c>
      <c r="B2227" t="str">
        <f>HYPERLINK("https://bugs.eclipse.org/bugs/show_bug.cgi?id=81750", "81750")</f>
        <v>81750</v>
      </c>
      <c r="C2227" t="s">
        <v>140</v>
      </c>
      <c r="D2227" t="s">
        <v>10</v>
      </c>
      <c r="E2227" t="s">
        <v>16</v>
      </c>
      <c r="F2227" t="s">
        <v>26</v>
      </c>
      <c r="L2227" t="s">
        <v>10163</v>
      </c>
      <c r="R2227" t="s">
        <v>10163</v>
      </c>
      <c r="T2227" t="s">
        <v>10164</v>
      </c>
      <c r="U2227" t="s">
        <v>10163</v>
      </c>
      <c r="V2227" t="s">
        <v>10163</v>
      </c>
      <c r="W2227" t="s">
        <v>86</v>
      </c>
      <c r="X2227" t="s">
        <v>10165</v>
      </c>
      <c r="Y2227">
        <v>1</v>
      </c>
      <c r="Z2227">
        <v>1</v>
      </c>
    </row>
    <row r="2228" spans="1:26">
      <c r="A2228" s="1">
        <v>2226</v>
      </c>
      <c r="B2228" t="str">
        <f>HYPERLINK("https://bugs.eclipse.org/bugs/show_bug.cgi?id=81817", "81817")</f>
        <v>81817</v>
      </c>
      <c r="C2228" t="s">
        <v>149</v>
      </c>
      <c r="D2228" t="s">
        <v>10</v>
      </c>
      <c r="E2228" t="s">
        <v>12</v>
      </c>
      <c r="F2228" t="s">
        <v>26</v>
      </c>
      <c r="H2228" t="s">
        <v>10166</v>
      </c>
      <c r="L2228" t="s">
        <v>10167</v>
      </c>
      <c r="N2228" t="s">
        <v>10167</v>
      </c>
      <c r="T2228" t="s">
        <v>10168</v>
      </c>
      <c r="U2228" t="s">
        <v>10169</v>
      </c>
      <c r="V2228" t="s">
        <v>10170</v>
      </c>
      <c r="W2228" t="s">
        <v>86</v>
      </c>
      <c r="X2228" t="s">
        <v>10171</v>
      </c>
      <c r="Y2228">
        <v>0</v>
      </c>
      <c r="Z2228">
        <v>12</v>
      </c>
    </row>
    <row r="2229" spans="1:26">
      <c r="A2229" s="1">
        <v>2227</v>
      </c>
      <c r="B2229" t="str">
        <f>HYPERLINK("https://bugs.eclipse.org/bugs/show_bug.cgi?id=81850", "81850")</f>
        <v>81850</v>
      </c>
      <c r="C2229" t="s">
        <v>140</v>
      </c>
      <c r="D2229" t="s">
        <v>10</v>
      </c>
      <c r="E2229" t="s">
        <v>16</v>
      </c>
      <c r="F2229" t="s">
        <v>26</v>
      </c>
      <c r="G2229" t="s">
        <v>10172</v>
      </c>
      <c r="L2229" t="s">
        <v>10173</v>
      </c>
      <c r="R2229" t="s">
        <v>10173</v>
      </c>
      <c r="T2229" t="s">
        <v>10174</v>
      </c>
      <c r="U2229" t="s">
        <v>10175</v>
      </c>
      <c r="V2229" t="s">
        <v>10173</v>
      </c>
      <c r="W2229" t="s">
        <v>86</v>
      </c>
      <c r="X2229" t="s">
        <v>10176</v>
      </c>
      <c r="Y2229">
        <v>4</v>
      </c>
      <c r="Z2229">
        <v>136.95833333333329</v>
      </c>
    </row>
    <row r="2230" spans="1:26">
      <c r="A2230" s="1">
        <v>2228</v>
      </c>
      <c r="B2230" t="str">
        <f>HYPERLINK("https://bugs.eclipse.org/bugs/show_bug.cgi?id=81924", "81924")</f>
        <v>81924</v>
      </c>
      <c r="C2230" t="s">
        <v>149</v>
      </c>
      <c r="D2230" t="s">
        <v>10</v>
      </c>
      <c r="E2230" t="s">
        <v>12</v>
      </c>
      <c r="F2230" t="s">
        <v>26</v>
      </c>
      <c r="L2230" t="s">
        <v>10177</v>
      </c>
      <c r="N2230" t="s">
        <v>10177</v>
      </c>
      <c r="T2230" t="s">
        <v>10178</v>
      </c>
      <c r="U2230" t="s">
        <v>10179</v>
      </c>
      <c r="V2230" t="s">
        <v>10177</v>
      </c>
      <c r="W2230" t="s">
        <v>2668</v>
      </c>
      <c r="X2230" t="s">
        <v>10180</v>
      </c>
      <c r="Y2230">
        <v>27</v>
      </c>
      <c r="Z2230">
        <v>86</v>
      </c>
    </row>
    <row r="2231" spans="1:26">
      <c r="A2231" s="1">
        <v>2229</v>
      </c>
      <c r="B2231" t="str">
        <f>HYPERLINK("https://bugs.eclipse.org/bugs/show_bug.cgi?id=81926", "81926")</f>
        <v>81926</v>
      </c>
      <c r="C2231" t="s">
        <v>25</v>
      </c>
      <c r="D2231" t="s">
        <v>25</v>
      </c>
      <c r="F2231" t="s">
        <v>26</v>
      </c>
      <c r="T2231" t="s">
        <v>10181</v>
      </c>
      <c r="U2231" t="s">
        <v>10182</v>
      </c>
      <c r="V2231" t="s">
        <v>10183</v>
      </c>
      <c r="W2231" t="s">
        <v>6360</v>
      </c>
      <c r="X2231" t="s">
        <v>10184</v>
      </c>
      <c r="Y2231">
        <v>13</v>
      </c>
    </row>
    <row r="2232" spans="1:26">
      <c r="A2232" s="1">
        <v>2230</v>
      </c>
      <c r="B2232" t="str">
        <f>HYPERLINK("https://bugs.eclipse.org/bugs/show_bug.cgi?id=82005", "82005")</f>
        <v>82005</v>
      </c>
      <c r="C2232" t="s">
        <v>149</v>
      </c>
      <c r="D2232" t="s">
        <v>10</v>
      </c>
      <c r="E2232" t="s">
        <v>12</v>
      </c>
      <c r="F2232" t="s">
        <v>26</v>
      </c>
      <c r="G2232" t="s">
        <v>10185</v>
      </c>
      <c r="L2232" t="s">
        <v>10186</v>
      </c>
      <c r="N2232" t="s">
        <v>10186</v>
      </c>
      <c r="T2232" t="s">
        <v>10187</v>
      </c>
      <c r="U2232" t="s">
        <v>10188</v>
      </c>
      <c r="V2232" t="s">
        <v>10186</v>
      </c>
      <c r="W2232" t="s">
        <v>86</v>
      </c>
      <c r="X2232" t="s">
        <v>10189</v>
      </c>
      <c r="Y2232">
        <v>0</v>
      </c>
      <c r="Z2232">
        <v>44</v>
      </c>
    </row>
    <row r="2233" spans="1:26">
      <c r="A2233" s="1">
        <v>2231</v>
      </c>
      <c r="B2233" t="str">
        <f>HYPERLINK("https://bugs.eclipse.org/bugs/show_bug.cgi?id=82045", "82045")</f>
        <v>82045</v>
      </c>
      <c r="C2233" t="s">
        <v>149</v>
      </c>
      <c r="D2233" t="s">
        <v>10</v>
      </c>
      <c r="E2233" t="s">
        <v>12</v>
      </c>
      <c r="F2233" t="s">
        <v>26</v>
      </c>
      <c r="L2233" t="s">
        <v>10190</v>
      </c>
      <c r="N2233" t="s">
        <v>10190</v>
      </c>
      <c r="T2233" t="s">
        <v>10191</v>
      </c>
      <c r="U2233" t="s">
        <v>10192</v>
      </c>
      <c r="V2233" t="s">
        <v>10190</v>
      </c>
      <c r="W2233" t="s">
        <v>2668</v>
      </c>
      <c r="X2233" t="s">
        <v>10193</v>
      </c>
      <c r="Y2233">
        <v>2</v>
      </c>
      <c r="Z2233">
        <v>33</v>
      </c>
    </row>
    <row r="2234" spans="1:26">
      <c r="A2234" s="1">
        <v>2232</v>
      </c>
      <c r="B2234" t="str">
        <f>HYPERLINK("https://bugs.eclipse.org/bugs/show_bug.cgi?id=82123", "82123")</f>
        <v>82123</v>
      </c>
      <c r="C2234" t="s">
        <v>35</v>
      </c>
      <c r="D2234" t="s">
        <v>11</v>
      </c>
      <c r="E2234" t="s">
        <v>12</v>
      </c>
      <c r="F2234" t="s">
        <v>26</v>
      </c>
      <c r="L2234" t="s">
        <v>10194</v>
      </c>
      <c r="M2234" t="s">
        <v>10195</v>
      </c>
      <c r="N2234" t="s">
        <v>10194</v>
      </c>
      <c r="T2234" t="s">
        <v>10196</v>
      </c>
      <c r="U2234" t="s">
        <v>10197</v>
      </c>
      <c r="V2234" t="s">
        <v>10195</v>
      </c>
      <c r="W2234" t="s">
        <v>49</v>
      </c>
      <c r="X2234" t="s">
        <v>10198</v>
      </c>
      <c r="Y2234">
        <v>0</v>
      </c>
      <c r="Z2234">
        <v>45</v>
      </c>
    </row>
    <row r="2235" spans="1:26">
      <c r="A2235" s="1">
        <v>2233</v>
      </c>
      <c r="B2235" t="str">
        <f>HYPERLINK("https://bugs.eclipse.org/bugs/show_bug.cgi?id=82254", "82254")</f>
        <v>82254</v>
      </c>
      <c r="C2235" t="s">
        <v>35</v>
      </c>
      <c r="D2235" t="s">
        <v>11</v>
      </c>
      <c r="E2235" t="s">
        <v>12</v>
      </c>
      <c r="F2235" t="s">
        <v>26</v>
      </c>
      <c r="G2235" t="s">
        <v>10199</v>
      </c>
      <c r="L2235" t="s">
        <v>10200</v>
      </c>
      <c r="M2235" t="s">
        <v>10201</v>
      </c>
      <c r="N2235" t="s">
        <v>10200</v>
      </c>
      <c r="T2235" t="s">
        <v>10202</v>
      </c>
      <c r="U2235" t="s">
        <v>10203</v>
      </c>
      <c r="V2235" t="s">
        <v>10201</v>
      </c>
      <c r="W2235" t="s">
        <v>851</v>
      </c>
      <c r="X2235" t="s">
        <v>10204</v>
      </c>
      <c r="Y2235">
        <v>18</v>
      </c>
      <c r="Z2235">
        <v>301</v>
      </c>
    </row>
    <row r="2236" spans="1:26">
      <c r="A2236" s="1">
        <v>2234</v>
      </c>
      <c r="B2236" t="str">
        <f>HYPERLINK("https://bugs.eclipse.org/bugs/show_bug.cgi?id=82259", "82259")</f>
        <v>82259</v>
      </c>
      <c r="C2236" t="s">
        <v>56</v>
      </c>
      <c r="D2236" t="s">
        <v>10</v>
      </c>
      <c r="E2236" t="s">
        <v>14</v>
      </c>
      <c r="F2236" t="s">
        <v>26</v>
      </c>
      <c r="L2236" t="s">
        <v>10205</v>
      </c>
      <c r="P2236" t="s">
        <v>10205</v>
      </c>
      <c r="T2236" t="s">
        <v>10206</v>
      </c>
      <c r="U2236" t="s">
        <v>10205</v>
      </c>
      <c r="V2236" t="s">
        <v>10205</v>
      </c>
      <c r="W2236" t="s">
        <v>86</v>
      </c>
      <c r="X2236" t="s">
        <v>10207</v>
      </c>
      <c r="Y2236">
        <v>18</v>
      </c>
      <c r="Z2236">
        <v>18</v>
      </c>
    </row>
    <row r="2237" spans="1:26">
      <c r="A2237" s="1">
        <v>2235</v>
      </c>
      <c r="B2237" t="str">
        <f>HYPERLINK("https://bugs.eclipse.org/bugs/show_bug.cgi?id=82330", "82330")</f>
        <v>82330</v>
      </c>
      <c r="C2237" t="s">
        <v>149</v>
      </c>
      <c r="D2237" t="s">
        <v>10</v>
      </c>
      <c r="E2237" t="s">
        <v>12</v>
      </c>
      <c r="F2237" t="s">
        <v>26</v>
      </c>
      <c r="L2237" t="s">
        <v>10208</v>
      </c>
      <c r="N2237" t="s">
        <v>10208</v>
      </c>
      <c r="T2237" t="s">
        <v>10209</v>
      </c>
      <c r="U2237" t="s">
        <v>10210</v>
      </c>
      <c r="V2237" t="s">
        <v>10208</v>
      </c>
      <c r="W2237" t="s">
        <v>86</v>
      </c>
      <c r="X2237" t="s">
        <v>10211</v>
      </c>
      <c r="Y2237">
        <v>0</v>
      </c>
      <c r="Z2237">
        <v>1</v>
      </c>
    </row>
    <row r="2238" spans="1:26">
      <c r="A2238" s="1">
        <v>2236</v>
      </c>
      <c r="B2238" t="str">
        <f>HYPERLINK("https://bugs.eclipse.org/bugs/show_bug.cgi?id=82337", "82337")</f>
        <v>82337</v>
      </c>
      <c r="C2238" t="s">
        <v>149</v>
      </c>
      <c r="D2238" t="s">
        <v>10</v>
      </c>
      <c r="E2238" t="s">
        <v>12</v>
      </c>
      <c r="F2238" t="s">
        <v>26</v>
      </c>
      <c r="G2238" t="s">
        <v>10212</v>
      </c>
      <c r="L2238" t="s">
        <v>10213</v>
      </c>
      <c r="N2238" t="s">
        <v>10213</v>
      </c>
      <c r="T2238" t="s">
        <v>10214</v>
      </c>
      <c r="U2238" t="s">
        <v>10215</v>
      </c>
      <c r="V2238" t="s">
        <v>10213</v>
      </c>
      <c r="W2238" t="s">
        <v>2668</v>
      </c>
      <c r="X2238" t="s">
        <v>10216</v>
      </c>
      <c r="Y2238">
        <v>0</v>
      </c>
      <c r="Z2238">
        <v>27</v>
      </c>
    </row>
    <row r="2239" spans="1:26">
      <c r="A2239" s="1">
        <v>2237</v>
      </c>
      <c r="B2239" t="str">
        <f>HYPERLINK("https://bugs.eclipse.org/bugs/show_bug.cgi?id=82356", "82356")</f>
        <v>82356</v>
      </c>
      <c r="C2239" t="s">
        <v>149</v>
      </c>
      <c r="D2239" t="s">
        <v>10</v>
      </c>
      <c r="E2239" t="s">
        <v>12</v>
      </c>
      <c r="F2239" t="s">
        <v>26</v>
      </c>
      <c r="L2239" t="s">
        <v>10217</v>
      </c>
      <c r="N2239" t="s">
        <v>10217</v>
      </c>
      <c r="T2239" t="s">
        <v>10218</v>
      </c>
      <c r="U2239" t="s">
        <v>10219</v>
      </c>
      <c r="V2239" t="s">
        <v>10217</v>
      </c>
      <c r="W2239" t="s">
        <v>86</v>
      </c>
      <c r="X2239" t="s">
        <v>10220</v>
      </c>
      <c r="Y2239">
        <v>1</v>
      </c>
      <c r="Z2239">
        <v>7</v>
      </c>
    </row>
    <row r="2240" spans="1:26">
      <c r="A2240" s="1">
        <v>2238</v>
      </c>
      <c r="B2240" t="str">
        <f>HYPERLINK("https://bugs.eclipse.org/bugs/show_bug.cgi?id=82420", "82420")</f>
        <v>82420</v>
      </c>
      <c r="C2240" t="s">
        <v>10221</v>
      </c>
      <c r="D2240" t="s">
        <v>10</v>
      </c>
      <c r="E2240" t="s">
        <v>15</v>
      </c>
      <c r="F2240" t="s">
        <v>26</v>
      </c>
      <c r="L2240" t="s">
        <v>10222</v>
      </c>
      <c r="Q2240" t="s">
        <v>10222</v>
      </c>
      <c r="T2240" t="s">
        <v>10223</v>
      </c>
      <c r="U2240" t="s">
        <v>10224</v>
      </c>
      <c r="V2240" t="s">
        <v>10222</v>
      </c>
      <c r="W2240" t="s">
        <v>2668</v>
      </c>
      <c r="X2240" t="s">
        <v>10225</v>
      </c>
      <c r="Y2240">
        <v>1</v>
      </c>
      <c r="Z2240">
        <v>18</v>
      </c>
    </row>
    <row r="2241" spans="1:26">
      <c r="A2241" s="1">
        <v>2239</v>
      </c>
      <c r="B2241" t="str">
        <f>HYPERLINK("https://bugs.eclipse.org/bugs/show_bug.cgi?id=82422", "82422")</f>
        <v>82422</v>
      </c>
      <c r="C2241" t="s">
        <v>56</v>
      </c>
      <c r="D2241" t="s">
        <v>10</v>
      </c>
      <c r="E2241" t="s">
        <v>14</v>
      </c>
      <c r="F2241" t="s">
        <v>26</v>
      </c>
      <c r="L2241" t="s">
        <v>10226</v>
      </c>
      <c r="P2241" t="s">
        <v>10226</v>
      </c>
      <c r="T2241" t="s">
        <v>10227</v>
      </c>
      <c r="U2241" t="s">
        <v>10228</v>
      </c>
      <c r="V2241" t="s">
        <v>10226</v>
      </c>
      <c r="W2241" t="s">
        <v>49</v>
      </c>
      <c r="X2241" t="s">
        <v>10229</v>
      </c>
      <c r="Y2241">
        <v>38</v>
      </c>
      <c r="Z2241">
        <v>39</v>
      </c>
    </row>
    <row r="2242" spans="1:26">
      <c r="A2242" s="1">
        <v>2240</v>
      </c>
      <c r="B2242" t="str">
        <f>HYPERLINK("https://bugs.eclipse.org/bugs/show_bug.cgi?id=82475", "82475")</f>
        <v>82475</v>
      </c>
      <c r="C2242" t="s">
        <v>149</v>
      </c>
      <c r="D2242" t="s">
        <v>10</v>
      </c>
      <c r="E2242" t="s">
        <v>12</v>
      </c>
      <c r="F2242" t="s">
        <v>26</v>
      </c>
      <c r="H2242" t="s">
        <v>10230</v>
      </c>
      <c r="L2242" t="s">
        <v>10231</v>
      </c>
      <c r="N2242" t="s">
        <v>10231</v>
      </c>
      <c r="T2242" t="s">
        <v>10232</v>
      </c>
      <c r="U2242" t="s">
        <v>10233</v>
      </c>
      <c r="V2242" t="s">
        <v>10231</v>
      </c>
      <c r="W2242" t="s">
        <v>86</v>
      </c>
      <c r="X2242" t="s">
        <v>10234</v>
      </c>
      <c r="Y2242">
        <v>1</v>
      </c>
      <c r="Z2242">
        <v>12</v>
      </c>
    </row>
    <row r="2243" spans="1:26">
      <c r="A2243" s="1">
        <v>2241</v>
      </c>
      <c r="B2243" t="str">
        <f>HYPERLINK("https://bugs.eclipse.org/bugs/show_bug.cgi?id=82536", "82536")</f>
        <v>82536</v>
      </c>
      <c r="C2243" t="s">
        <v>149</v>
      </c>
      <c r="D2243" t="s">
        <v>10</v>
      </c>
      <c r="E2243" t="s">
        <v>12</v>
      </c>
      <c r="F2243" t="s">
        <v>26</v>
      </c>
      <c r="G2243" t="s">
        <v>10235</v>
      </c>
      <c r="L2243" t="s">
        <v>10236</v>
      </c>
      <c r="N2243" t="s">
        <v>10236</v>
      </c>
      <c r="T2243" t="s">
        <v>10237</v>
      </c>
      <c r="U2243" t="s">
        <v>10238</v>
      </c>
      <c r="V2243" t="s">
        <v>10236</v>
      </c>
      <c r="W2243" t="s">
        <v>49</v>
      </c>
      <c r="X2243" t="s">
        <v>10239</v>
      </c>
      <c r="Y2243">
        <v>0</v>
      </c>
      <c r="Z2243">
        <v>12</v>
      </c>
    </row>
    <row r="2244" spans="1:26">
      <c r="A2244" s="1">
        <v>2242</v>
      </c>
      <c r="B2244" t="str">
        <f>HYPERLINK("https://bugs.eclipse.org/bugs/show_bug.cgi?id=82584", "82584")</f>
        <v>82584</v>
      </c>
      <c r="C2244" t="s">
        <v>10240</v>
      </c>
      <c r="D2244" t="s">
        <v>10</v>
      </c>
      <c r="E2244" t="s">
        <v>15</v>
      </c>
      <c r="F2244" t="s">
        <v>26</v>
      </c>
      <c r="L2244" t="s">
        <v>10241</v>
      </c>
      <c r="Q2244" t="s">
        <v>10241</v>
      </c>
      <c r="T2244" t="s">
        <v>10242</v>
      </c>
      <c r="U2244" t="s">
        <v>10243</v>
      </c>
      <c r="V2244" t="s">
        <v>10241</v>
      </c>
      <c r="W2244" t="s">
        <v>86</v>
      </c>
      <c r="X2244" t="s">
        <v>10244</v>
      </c>
      <c r="Y2244">
        <v>0</v>
      </c>
      <c r="Z2244">
        <v>3</v>
      </c>
    </row>
    <row r="2245" spans="1:26">
      <c r="A2245" s="1">
        <v>2243</v>
      </c>
      <c r="B2245" t="str">
        <f>HYPERLINK("https://bugs.eclipse.org/bugs/show_bug.cgi?id=82630", "82630")</f>
        <v>82630</v>
      </c>
      <c r="C2245" t="s">
        <v>149</v>
      </c>
      <c r="D2245" t="s">
        <v>10</v>
      </c>
      <c r="E2245" t="s">
        <v>12</v>
      </c>
      <c r="F2245" t="s">
        <v>26</v>
      </c>
      <c r="L2245" t="s">
        <v>10245</v>
      </c>
      <c r="N2245" t="s">
        <v>10245</v>
      </c>
      <c r="T2245" t="s">
        <v>10246</v>
      </c>
      <c r="U2245" t="s">
        <v>10247</v>
      </c>
      <c r="V2245" t="s">
        <v>10245</v>
      </c>
      <c r="W2245" t="s">
        <v>2668</v>
      </c>
      <c r="X2245" t="s">
        <v>10248</v>
      </c>
      <c r="Y2245">
        <v>0</v>
      </c>
      <c r="Z2245">
        <v>6</v>
      </c>
    </row>
    <row r="2246" spans="1:26">
      <c r="A2246" s="1">
        <v>2244</v>
      </c>
      <c r="B2246" t="str">
        <f>HYPERLINK("https://bugs.eclipse.org/bugs/show_bug.cgi?id=82654", "82654")</f>
        <v>82654</v>
      </c>
      <c r="C2246" t="s">
        <v>140</v>
      </c>
      <c r="D2246" t="s">
        <v>10</v>
      </c>
      <c r="E2246" t="s">
        <v>16</v>
      </c>
      <c r="F2246" t="s">
        <v>26</v>
      </c>
      <c r="L2246" t="s">
        <v>10249</v>
      </c>
      <c r="R2246" t="s">
        <v>10249</v>
      </c>
      <c r="T2246" t="s">
        <v>10250</v>
      </c>
      <c r="U2246" t="s">
        <v>10251</v>
      </c>
      <c r="V2246" t="s">
        <v>10249</v>
      </c>
      <c r="W2246" t="s">
        <v>86</v>
      </c>
      <c r="X2246" t="s">
        <v>10252</v>
      </c>
      <c r="Y2246">
        <v>0</v>
      </c>
      <c r="Z2246">
        <v>102.9583333333333</v>
      </c>
    </row>
    <row r="2247" spans="1:26">
      <c r="A2247" s="1">
        <v>2245</v>
      </c>
      <c r="B2247" t="str">
        <f>HYPERLINK("https://bugs.eclipse.org/bugs/show_bug.cgi?id=82685", "82685")</f>
        <v>82685</v>
      </c>
      <c r="C2247" t="s">
        <v>191</v>
      </c>
      <c r="D2247" t="s">
        <v>192</v>
      </c>
      <c r="E2247" t="s">
        <v>14</v>
      </c>
      <c r="F2247" t="s">
        <v>26</v>
      </c>
      <c r="P2247" t="s">
        <v>10253</v>
      </c>
      <c r="T2247" t="s">
        <v>10254</v>
      </c>
      <c r="U2247" t="s">
        <v>10255</v>
      </c>
      <c r="V2247" t="s">
        <v>10253</v>
      </c>
      <c r="W2247" t="s">
        <v>65</v>
      </c>
      <c r="X2247" t="s">
        <v>10256</v>
      </c>
      <c r="Y2247">
        <v>0</v>
      </c>
      <c r="Z2247">
        <v>5591.958333333333</v>
      </c>
    </row>
    <row r="2248" spans="1:26">
      <c r="A2248" s="1">
        <v>2246</v>
      </c>
      <c r="B2248" t="str">
        <f>HYPERLINK("https://bugs.eclipse.org/bugs/show_bug.cgi?id=82724", "82724")</f>
        <v>82724</v>
      </c>
      <c r="C2248" t="s">
        <v>35</v>
      </c>
      <c r="D2248" t="s">
        <v>11</v>
      </c>
      <c r="E2248" t="s">
        <v>12</v>
      </c>
      <c r="F2248" t="s">
        <v>26</v>
      </c>
      <c r="L2248" t="s">
        <v>10257</v>
      </c>
      <c r="M2248" t="s">
        <v>10258</v>
      </c>
      <c r="N2248" t="s">
        <v>10257</v>
      </c>
      <c r="T2248" t="s">
        <v>10259</v>
      </c>
      <c r="U2248" t="s">
        <v>10260</v>
      </c>
      <c r="V2248" t="s">
        <v>10258</v>
      </c>
      <c r="W2248" t="s">
        <v>2668</v>
      </c>
      <c r="X2248" t="s">
        <v>10261</v>
      </c>
      <c r="Y2248">
        <v>0</v>
      </c>
      <c r="Z2248">
        <v>37</v>
      </c>
    </row>
    <row r="2249" spans="1:26">
      <c r="A2249" s="1">
        <v>2247</v>
      </c>
      <c r="B2249" t="str">
        <f>HYPERLINK("https://bugs.eclipse.org/bugs/show_bug.cgi?id=82832", "82832")</f>
        <v>82832</v>
      </c>
      <c r="C2249" t="s">
        <v>149</v>
      </c>
      <c r="D2249" t="s">
        <v>10</v>
      </c>
      <c r="E2249" t="s">
        <v>12</v>
      </c>
      <c r="F2249" t="s">
        <v>26</v>
      </c>
      <c r="L2249" t="s">
        <v>10262</v>
      </c>
      <c r="N2249" t="s">
        <v>10262</v>
      </c>
      <c r="T2249" t="s">
        <v>10263</v>
      </c>
      <c r="U2249" t="s">
        <v>10264</v>
      </c>
      <c r="V2249" t="s">
        <v>10262</v>
      </c>
      <c r="W2249" t="s">
        <v>2668</v>
      </c>
      <c r="X2249" t="s">
        <v>10265</v>
      </c>
      <c r="Y2249">
        <v>0</v>
      </c>
      <c r="Z2249">
        <v>0</v>
      </c>
    </row>
    <row r="2250" spans="1:26">
      <c r="A2250" s="1">
        <v>2248</v>
      </c>
      <c r="B2250" t="str">
        <f>HYPERLINK("https://bugs.eclipse.org/bugs/show_bug.cgi?id=82845", "82845")</f>
        <v>82845</v>
      </c>
      <c r="C2250" t="s">
        <v>149</v>
      </c>
      <c r="D2250" t="s">
        <v>10</v>
      </c>
      <c r="E2250" t="s">
        <v>12</v>
      </c>
      <c r="F2250" t="s">
        <v>26</v>
      </c>
      <c r="L2250" t="s">
        <v>10266</v>
      </c>
      <c r="N2250" t="s">
        <v>10266</v>
      </c>
      <c r="T2250" t="s">
        <v>10267</v>
      </c>
      <c r="U2250" t="s">
        <v>10268</v>
      </c>
      <c r="V2250" t="s">
        <v>10269</v>
      </c>
      <c r="W2250" t="s">
        <v>2668</v>
      </c>
      <c r="X2250" t="s">
        <v>10270</v>
      </c>
      <c r="Y2250">
        <v>3</v>
      </c>
      <c r="Z2250">
        <v>14</v>
      </c>
    </row>
    <row r="2251" spans="1:26">
      <c r="A2251" s="1">
        <v>2249</v>
      </c>
      <c r="B2251" t="str">
        <f>HYPERLINK("https://bugs.eclipse.org/bugs/show_bug.cgi?id=82857", "82857")</f>
        <v>82857</v>
      </c>
      <c r="C2251" t="s">
        <v>4692</v>
      </c>
      <c r="D2251" t="s">
        <v>4692</v>
      </c>
      <c r="F2251" t="s">
        <v>26</v>
      </c>
      <c r="T2251" t="s">
        <v>10271</v>
      </c>
      <c r="U2251" t="s">
        <v>10272</v>
      </c>
      <c r="V2251" t="s">
        <v>10273</v>
      </c>
      <c r="W2251" t="s">
        <v>49</v>
      </c>
      <c r="X2251" t="s">
        <v>10274</v>
      </c>
      <c r="Y2251">
        <v>0</v>
      </c>
    </row>
    <row r="2252" spans="1:26">
      <c r="A2252" s="1">
        <v>2250</v>
      </c>
      <c r="B2252" t="str">
        <f>HYPERLINK("https://bugs.eclipse.org/bugs/show_bug.cgi?id=82950", "82950")</f>
        <v>82950</v>
      </c>
      <c r="C2252" t="s">
        <v>149</v>
      </c>
      <c r="D2252" t="s">
        <v>10</v>
      </c>
      <c r="E2252" t="s">
        <v>12</v>
      </c>
      <c r="F2252" t="s">
        <v>26</v>
      </c>
      <c r="L2252" t="s">
        <v>10275</v>
      </c>
      <c r="N2252" t="s">
        <v>10275</v>
      </c>
      <c r="T2252" t="s">
        <v>10276</v>
      </c>
      <c r="U2252" t="s">
        <v>10277</v>
      </c>
      <c r="V2252" t="s">
        <v>10275</v>
      </c>
      <c r="W2252" t="s">
        <v>2668</v>
      </c>
      <c r="X2252" t="s">
        <v>10278</v>
      </c>
      <c r="Y2252">
        <v>0</v>
      </c>
      <c r="Z2252">
        <v>16</v>
      </c>
    </row>
    <row r="2253" spans="1:26">
      <c r="A2253" s="1">
        <v>2251</v>
      </c>
      <c r="B2253" t="str">
        <f>HYPERLINK("https://bugs.eclipse.org/bugs/show_bug.cgi?id=82992", "82992")</f>
        <v>82992</v>
      </c>
      <c r="C2253" t="s">
        <v>149</v>
      </c>
      <c r="D2253" t="s">
        <v>10</v>
      </c>
      <c r="E2253" t="s">
        <v>12</v>
      </c>
      <c r="F2253" t="s">
        <v>26</v>
      </c>
      <c r="L2253" t="s">
        <v>10279</v>
      </c>
      <c r="N2253" t="s">
        <v>10279</v>
      </c>
      <c r="T2253" t="s">
        <v>10280</v>
      </c>
      <c r="U2253" t="s">
        <v>10281</v>
      </c>
      <c r="V2253" t="s">
        <v>10279</v>
      </c>
      <c r="W2253" t="s">
        <v>2668</v>
      </c>
      <c r="X2253" t="s">
        <v>10282</v>
      </c>
      <c r="Y2253">
        <v>0</v>
      </c>
      <c r="Z2253">
        <v>2</v>
      </c>
    </row>
    <row r="2254" spans="1:26">
      <c r="A2254" s="1">
        <v>2252</v>
      </c>
      <c r="B2254" t="str">
        <f>HYPERLINK("https://bugs.eclipse.org/bugs/show_bug.cgi?id=83041", "83041")</f>
        <v>83041</v>
      </c>
      <c r="C2254" t="s">
        <v>149</v>
      </c>
      <c r="D2254" t="s">
        <v>10</v>
      </c>
      <c r="E2254" t="s">
        <v>12</v>
      </c>
      <c r="F2254" t="s">
        <v>26</v>
      </c>
      <c r="L2254" t="s">
        <v>10283</v>
      </c>
      <c r="N2254" t="s">
        <v>10283</v>
      </c>
      <c r="T2254" t="s">
        <v>10284</v>
      </c>
      <c r="U2254" t="s">
        <v>10285</v>
      </c>
      <c r="V2254" t="s">
        <v>10283</v>
      </c>
      <c r="W2254" t="s">
        <v>86</v>
      </c>
      <c r="X2254" t="s">
        <v>10286</v>
      </c>
      <c r="Y2254">
        <v>1</v>
      </c>
      <c r="Z2254">
        <v>4</v>
      </c>
    </row>
    <row r="2255" spans="1:26">
      <c r="A2255" s="1">
        <v>2253</v>
      </c>
      <c r="B2255" t="str">
        <f>HYPERLINK("https://bugs.eclipse.org/bugs/show_bug.cgi?id=83042", "83042")</f>
        <v>83042</v>
      </c>
      <c r="C2255" t="s">
        <v>149</v>
      </c>
      <c r="D2255" t="s">
        <v>10</v>
      </c>
      <c r="E2255" t="s">
        <v>12</v>
      </c>
      <c r="F2255" t="s">
        <v>26</v>
      </c>
      <c r="L2255" t="s">
        <v>10287</v>
      </c>
      <c r="N2255" t="s">
        <v>10287</v>
      </c>
      <c r="T2255" t="s">
        <v>10288</v>
      </c>
      <c r="U2255" t="s">
        <v>10289</v>
      </c>
      <c r="V2255" t="s">
        <v>10287</v>
      </c>
      <c r="W2255" t="s">
        <v>86</v>
      </c>
      <c r="X2255" t="s">
        <v>10290</v>
      </c>
      <c r="Y2255">
        <v>1</v>
      </c>
      <c r="Z2255">
        <v>4</v>
      </c>
    </row>
    <row r="2256" spans="1:26">
      <c r="A2256" s="1">
        <v>2254</v>
      </c>
      <c r="B2256" t="str">
        <f>HYPERLINK("https://bugs.eclipse.org/bugs/show_bug.cgi?id=83187", "83187")</f>
        <v>83187</v>
      </c>
      <c r="C2256" t="s">
        <v>149</v>
      </c>
      <c r="D2256" t="s">
        <v>10</v>
      </c>
      <c r="E2256" t="s">
        <v>12</v>
      </c>
      <c r="F2256" t="s">
        <v>26</v>
      </c>
      <c r="L2256" t="s">
        <v>10291</v>
      </c>
      <c r="N2256" t="s">
        <v>10291</v>
      </c>
      <c r="T2256" t="s">
        <v>10292</v>
      </c>
      <c r="U2256" t="s">
        <v>10293</v>
      </c>
      <c r="V2256" t="s">
        <v>10291</v>
      </c>
      <c r="W2256" t="s">
        <v>86</v>
      </c>
      <c r="X2256" t="s">
        <v>10294</v>
      </c>
      <c r="Y2256">
        <v>0</v>
      </c>
      <c r="Z2256">
        <v>21</v>
      </c>
    </row>
    <row r="2257" spans="1:26">
      <c r="A2257" s="1">
        <v>2255</v>
      </c>
      <c r="B2257" t="str">
        <f>HYPERLINK("https://bugs.eclipse.org/bugs/show_bug.cgi?id=83234", "83234")</f>
        <v>83234</v>
      </c>
      <c r="C2257" t="s">
        <v>25</v>
      </c>
      <c r="D2257" t="s">
        <v>25</v>
      </c>
      <c r="F2257" t="s">
        <v>26</v>
      </c>
      <c r="G2257" t="s">
        <v>10295</v>
      </c>
      <c r="T2257" t="s">
        <v>10296</v>
      </c>
      <c r="U2257" t="s">
        <v>10297</v>
      </c>
      <c r="V2257" t="s">
        <v>10298</v>
      </c>
      <c r="W2257" t="s">
        <v>65</v>
      </c>
      <c r="X2257" t="s">
        <v>10299</v>
      </c>
      <c r="Y2257">
        <v>1</v>
      </c>
    </row>
    <row r="2258" spans="1:26">
      <c r="A2258" s="1">
        <v>2256</v>
      </c>
      <c r="B2258" t="str">
        <f>HYPERLINK("https://bugs.eclipse.org/bugs/show_bug.cgi?id=83293", "83293")</f>
        <v>83293</v>
      </c>
      <c r="C2258" t="s">
        <v>56</v>
      </c>
      <c r="D2258" t="s">
        <v>10</v>
      </c>
      <c r="E2258" t="s">
        <v>14</v>
      </c>
      <c r="F2258" t="s">
        <v>26</v>
      </c>
      <c r="L2258" t="s">
        <v>10300</v>
      </c>
      <c r="P2258" t="s">
        <v>10300</v>
      </c>
      <c r="T2258" t="s">
        <v>10301</v>
      </c>
      <c r="U2258" t="s">
        <v>10302</v>
      </c>
      <c r="V2258" t="s">
        <v>10300</v>
      </c>
      <c r="W2258" t="s">
        <v>851</v>
      </c>
      <c r="X2258" t="s">
        <v>10303</v>
      </c>
      <c r="Y2258">
        <v>0</v>
      </c>
      <c r="Z2258">
        <v>0</v>
      </c>
    </row>
    <row r="2259" spans="1:26">
      <c r="A2259" s="1">
        <v>2257</v>
      </c>
      <c r="B2259" t="str">
        <f>HYPERLINK("https://bugs.eclipse.org/bugs/show_bug.cgi?id=83440", "83440")</f>
        <v>83440</v>
      </c>
      <c r="C2259" t="s">
        <v>149</v>
      </c>
      <c r="D2259" t="s">
        <v>10</v>
      </c>
      <c r="E2259" t="s">
        <v>12</v>
      </c>
      <c r="F2259" t="s">
        <v>26</v>
      </c>
      <c r="L2259" t="s">
        <v>10304</v>
      </c>
      <c r="N2259" t="s">
        <v>10304</v>
      </c>
      <c r="T2259" t="s">
        <v>10305</v>
      </c>
      <c r="U2259" t="s">
        <v>10306</v>
      </c>
      <c r="V2259" t="s">
        <v>10304</v>
      </c>
      <c r="W2259" t="s">
        <v>86</v>
      </c>
      <c r="X2259" t="s">
        <v>10307</v>
      </c>
      <c r="Y2259">
        <v>0</v>
      </c>
      <c r="Z2259">
        <v>2</v>
      </c>
    </row>
    <row r="2260" spans="1:26">
      <c r="A2260" s="1">
        <v>2258</v>
      </c>
      <c r="B2260" t="str">
        <f>HYPERLINK("https://bugs.eclipse.org/bugs/show_bug.cgi?id=83457", "83457")</f>
        <v>83457</v>
      </c>
      <c r="C2260" t="s">
        <v>149</v>
      </c>
      <c r="D2260" t="s">
        <v>10</v>
      </c>
      <c r="E2260" t="s">
        <v>12</v>
      </c>
      <c r="F2260" t="s">
        <v>26</v>
      </c>
      <c r="L2260" t="s">
        <v>10308</v>
      </c>
      <c r="N2260" t="s">
        <v>10308</v>
      </c>
      <c r="T2260" t="s">
        <v>10309</v>
      </c>
      <c r="U2260" t="s">
        <v>10310</v>
      </c>
      <c r="V2260" t="s">
        <v>10308</v>
      </c>
      <c r="W2260" t="s">
        <v>2668</v>
      </c>
      <c r="X2260" t="s">
        <v>10311</v>
      </c>
      <c r="Y2260">
        <v>0</v>
      </c>
      <c r="Z2260">
        <v>12</v>
      </c>
    </row>
    <row r="2261" spans="1:26">
      <c r="A2261" s="1">
        <v>2259</v>
      </c>
      <c r="B2261" t="str">
        <f>HYPERLINK("https://bugs.eclipse.org/bugs/show_bug.cgi?id=83523", "83523")</f>
        <v>83523</v>
      </c>
      <c r="C2261" t="s">
        <v>35</v>
      </c>
      <c r="D2261" t="s">
        <v>11</v>
      </c>
      <c r="E2261" t="s">
        <v>12</v>
      </c>
      <c r="F2261" t="s">
        <v>150</v>
      </c>
      <c r="L2261" t="s">
        <v>10312</v>
      </c>
      <c r="M2261" t="s">
        <v>10313</v>
      </c>
      <c r="N2261" t="s">
        <v>10312</v>
      </c>
      <c r="T2261" t="s">
        <v>10314</v>
      </c>
      <c r="U2261" t="s">
        <v>10315</v>
      </c>
      <c r="V2261" t="s">
        <v>10313</v>
      </c>
      <c r="W2261" t="s">
        <v>143</v>
      </c>
      <c r="X2261" t="s">
        <v>10316</v>
      </c>
      <c r="Y2261">
        <v>0</v>
      </c>
      <c r="Z2261">
        <v>25</v>
      </c>
    </row>
    <row r="2262" spans="1:26">
      <c r="A2262" s="1">
        <v>2260</v>
      </c>
      <c r="B2262" t="str">
        <f>HYPERLINK("https://bugs.eclipse.org/bugs/show_bug.cgi?id=83641", "83641")</f>
        <v>83641</v>
      </c>
      <c r="C2262" t="s">
        <v>140</v>
      </c>
      <c r="D2262" t="s">
        <v>10</v>
      </c>
      <c r="E2262" t="s">
        <v>16</v>
      </c>
      <c r="F2262" t="s">
        <v>26</v>
      </c>
      <c r="L2262" t="s">
        <v>10317</v>
      </c>
      <c r="R2262" t="s">
        <v>10317</v>
      </c>
      <c r="T2262" t="s">
        <v>10318</v>
      </c>
      <c r="U2262" t="s">
        <v>10319</v>
      </c>
      <c r="V2262" t="s">
        <v>10317</v>
      </c>
      <c r="W2262" t="s">
        <v>49</v>
      </c>
      <c r="X2262" t="s">
        <v>10320</v>
      </c>
      <c r="Y2262">
        <v>1</v>
      </c>
      <c r="Z2262">
        <v>506.95833333333331</v>
      </c>
    </row>
    <row r="2263" spans="1:26">
      <c r="A2263" s="1">
        <v>2261</v>
      </c>
      <c r="B2263" t="str">
        <f>HYPERLINK("https://bugs.eclipse.org/bugs/show_bug.cgi?id=83728", "83728")</f>
        <v>83728</v>
      </c>
      <c r="C2263" t="s">
        <v>140</v>
      </c>
      <c r="D2263" t="s">
        <v>10</v>
      </c>
      <c r="E2263" t="s">
        <v>16</v>
      </c>
      <c r="F2263" t="s">
        <v>150</v>
      </c>
      <c r="G2263" t="s">
        <v>10321</v>
      </c>
      <c r="L2263" t="s">
        <v>10322</v>
      </c>
      <c r="R2263" t="s">
        <v>10322</v>
      </c>
      <c r="T2263" t="s">
        <v>10323</v>
      </c>
      <c r="U2263" t="s">
        <v>10324</v>
      </c>
      <c r="V2263" t="s">
        <v>10322</v>
      </c>
      <c r="W2263" t="s">
        <v>143</v>
      </c>
      <c r="X2263" t="s">
        <v>10325</v>
      </c>
      <c r="Y2263">
        <v>21</v>
      </c>
      <c r="Z2263">
        <v>22</v>
      </c>
    </row>
    <row r="2264" spans="1:26">
      <c r="A2264" s="1">
        <v>2262</v>
      </c>
      <c r="B2264" t="str">
        <f>HYPERLINK("https://bugs.eclipse.org/bugs/show_bug.cgi?id=83898", "83898")</f>
        <v>83898</v>
      </c>
      <c r="C2264" t="s">
        <v>149</v>
      </c>
      <c r="D2264" t="s">
        <v>10</v>
      </c>
      <c r="E2264" t="s">
        <v>12</v>
      </c>
      <c r="F2264" t="s">
        <v>26</v>
      </c>
      <c r="L2264" t="s">
        <v>10326</v>
      </c>
      <c r="N2264" t="s">
        <v>10326</v>
      </c>
      <c r="T2264" t="s">
        <v>10327</v>
      </c>
      <c r="U2264" t="s">
        <v>10328</v>
      </c>
      <c r="V2264" t="s">
        <v>10326</v>
      </c>
      <c r="W2264" t="s">
        <v>2668</v>
      </c>
      <c r="X2264" t="s">
        <v>10329</v>
      </c>
      <c r="Y2264">
        <v>1</v>
      </c>
      <c r="Z2264">
        <v>1</v>
      </c>
    </row>
    <row r="2265" spans="1:26">
      <c r="A2265" s="1">
        <v>2263</v>
      </c>
      <c r="B2265" t="str">
        <f>HYPERLINK("https://bugs.eclipse.org/bugs/show_bug.cgi?id=84010", "84010")</f>
        <v>84010</v>
      </c>
      <c r="C2265" t="s">
        <v>149</v>
      </c>
      <c r="D2265" t="s">
        <v>10</v>
      </c>
      <c r="E2265" t="s">
        <v>12</v>
      </c>
      <c r="F2265" t="s">
        <v>26</v>
      </c>
      <c r="G2265" t="s">
        <v>10330</v>
      </c>
      <c r="L2265" t="s">
        <v>10331</v>
      </c>
      <c r="N2265" t="s">
        <v>10331</v>
      </c>
      <c r="T2265" t="s">
        <v>10332</v>
      </c>
      <c r="U2265" t="s">
        <v>10333</v>
      </c>
      <c r="V2265" t="s">
        <v>10334</v>
      </c>
      <c r="W2265" t="s">
        <v>86</v>
      </c>
      <c r="X2265" t="s">
        <v>10335</v>
      </c>
      <c r="Y2265">
        <v>1</v>
      </c>
      <c r="Z2265">
        <v>11</v>
      </c>
    </row>
    <row r="2266" spans="1:26">
      <c r="A2266" s="1">
        <v>2264</v>
      </c>
      <c r="B2266" t="str">
        <f>HYPERLINK("https://bugs.eclipse.org/bugs/show_bug.cgi?id=84029", "84029")</f>
        <v>84029</v>
      </c>
      <c r="C2266" t="s">
        <v>6166</v>
      </c>
      <c r="D2266" t="s">
        <v>10</v>
      </c>
      <c r="E2266" t="s">
        <v>15</v>
      </c>
      <c r="F2266" t="s">
        <v>26</v>
      </c>
      <c r="L2266" t="s">
        <v>10336</v>
      </c>
      <c r="Q2266" t="s">
        <v>10336</v>
      </c>
      <c r="T2266" t="s">
        <v>10337</v>
      </c>
      <c r="U2266" t="s">
        <v>10338</v>
      </c>
      <c r="V2266" t="s">
        <v>10336</v>
      </c>
      <c r="W2266" t="s">
        <v>2668</v>
      </c>
      <c r="X2266" t="s">
        <v>10339</v>
      </c>
      <c r="Y2266">
        <v>0</v>
      </c>
      <c r="Z2266">
        <v>0</v>
      </c>
    </row>
    <row r="2267" spans="1:26">
      <c r="A2267" s="1">
        <v>2265</v>
      </c>
      <c r="B2267" t="str">
        <f>HYPERLINK("https://bugs.eclipse.org/bugs/show_bug.cgi?id=84129", "84129")</f>
        <v>84129</v>
      </c>
      <c r="C2267" t="s">
        <v>10340</v>
      </c>
      <c r="D2267" t="s">
        <v>10</v>
      </c>
      <c r="E2267" t="s">
        <v>15</v>
      </c>
      <c r="F2267" t="s">
        <v>26</v>
      </c>
      <c r="L2267" t="s">
        <v>10341</v>
      </c>
      <c r="Q2267" t="s">
        <v>10341</v>
      </c>
      <c r="T2267" t="s">
        <v>10342</v>
      </c>
      <c r="U2267" t="s">
        <v>10343</v>
      </c>
      <c r="V2267" t="s">
        <v>10341</v>
      </c>
      <c r="W2267" t="s">
        <v>851</v>
      </c>
      <c r="X2267" t="s">
        <v>10344</v>
      </c>
      <c r="Y2267">
        <v>0</v>
      </c>
      <c r="Z2267">
        <v>0</v>
      </c>
    </row>
    <row r="2268" spans="1:26">
      <c r="A2268" s="1">
        <v>2266</v>
      </c>
      <c r="B2268" t="str">
        <f>HYPERLINK("https://bugs.eclipse.org/bugs/show_bug.cgi?id=84198", "84198")</f>
        <v>84198</v>
      </c>
      <c r="C2268" t="s">
        <v>56</v>
      </c>
      <c r="D2268" t="s">
        <v>10</v>
      </c>
      <c r="E2268" t="s">
        <v>14</v>
      </c>
      <c r="F2268" t="s">
        <v>460</v>
      </c>
      <c r="L2268" t="s">
        <v>10345</v>
      </c>
      <c r="P2268" t="s">
        <v>10346</v>
      </c>
      <c r="T2268" t="s">
        <v>10347</v>
      </c>
      <c r="U2268" t="s">
        <v>10348</v>
      </c>
      <c r="V2268" t="s">
        <v>10346</v>
      </c>
      <c r="W2268" t="s">
        <v>75</v>
      </c>
      <c r="X2268" t="s">
        <v>10349</v>
      </c>
      <c r="Y2268">
        <v>0</v>
      </c>
      <c r="Z2268">
        <v>1670.958333333333</v>
      </c>
    </row>
    <row r="2269" spans="1:26">
      <c r="A2269" s="1">
        <v>2267</v>
      </c>
      <c r="B2269" t="str">
        <f>HYPERLINK("https://bugs.eclipse.org/bugs/show_bug.cgi?id=84239", "84239")</f>
        <v>84239</v>
      </c>
      <c r="C2269" t="s">
        <v>149</v>
      </c>
      <c r="D2269" t="s">
        <v>10</v>
      </c>
      <c r="E2269" t="s">
        <v>12</v>
      </c>
      <c r="F2269" t="s">
        <v>26</v>
      </c>
      <c r="L2269" t="s">
        <v>10350</v>
      </c>
      <c r="N2269" t="s">
        <v>10350</v>
      </c>
      <c r="T2269" t="s">
        <v>10351</v>
      </c>
      <c r="U2269" t="s">
        <v>10352</v>
      </c>
      <c r="V2269" t="s">
        <v>10350</v>
      </c>
      <c r="W2269" t="s">
        <v>2668</v>
      </c>
      <c r="X2269" t="s">
        <v>10353</v>
      </c>
      <c r="Y2269">
        <v>0</v>
      </c>
      <c r="Z2269">
        <v>0</v>
      </c>
    </row>
    <row r="2270" spans="1:26">
      <c r="A2270" s="1">
        <v>2268</v>
      </c>
      <c r="B2270" t="str">
        <f>HYPERLINK("https://bugs.eclipse.org/bugs/show_bug.cgi?id=84308", "84308")</f>
        <v>84308</v>
      </c>
      <c r="C2270" t="s">
        <v>8071</v>
      </c>
      <c r="D2270" t="s">
        <v>10</v>
      </c>
      <c r="E2270" t="s">
        <v>15</v>
      </c>
      <c r="F2270" t="s">
        <v>26</v>
      </c>
      <c r="L2270" t="s">
        <v>10354</v>
      </c>
      <c r="Q2270" t="s">
        <v>10354</v>
      </c>
      <c r="T2270" t="s">
        <v>10355</v>
      </c>
      <c r="U2270" t="s">
        <v>10354</v>
      </c>
      <c r="V2270" t="s">
        <v>10354</v>
      </c>
      <c r="W2270" t="s">
        <v>86</v>
      </c>
      <c r="X2270" t="s">
        <v>10356</v>
      </c>
      <c r="Y2270">
        <v>0</v>
      </c>
      <c r="Z2270">
        <v>0</v>
      </c>
    </row>
    <row r="2271" spans="1:26">
      <c r="A2271" s="1">
        <v>2269</v>
      </c>
      <c r="B2271" t="str">
        <f>HYPERLINK("https://bugs.eclipse.org/bugs/show_bug.cgi?id=84338", "84338")</f>
        <v>84338</v>
      </c>
      <c r="C2271" t="s">
        <v>149</v>
      </c>
      <c r="D2271" t="s">
        <v>10</v>
      </c>
      <c r="E2271" t="s">
        <v>12</v>
      </c>
      <c r="F2271" t="s">
        <v>26</v>
      </c>
      <c r="L2271" t="s">
        <v>10357</v>
      </c>
      <c r="N2271" t="s">
        <v>10357</v>
      </c>
      <c r="T2271" t="s">
        <v>10358</v>
      </c>
      <c r="U2271" t="s">
        <v>10359</v>
      </c>
      <c r="V2271" t="s">
        <v>10357</v>
      </c>
      <c r="W2271" t="s">
        <v>851</v>
      </c>
      <c r="X2271" t="s">
        <v>10360</v>
      </c>
      <c r="Y2271">
        <v>1</v>
      </c>
      <c r="Z2271">
        <v>12</v>
      </c>
    </row>
    <row r="2272" spans="1:26">
      <c r="A2272" s="1">
        <v>2270</v>
      </c>
      <c r="B2272" t="str">
        <f>HYPERLINK("https://bugs.eclipse.org/bugs/show_bug.cgi?id=84477", "84477")</f>
        <v>84477</v>
      </c>
      <c r="C2272" t="s">
        <v>149</v>
      </c>
      <c r="D2272" t="s">
        <v>10</v>
      </c>
      <c r="E2272" t="s">
        <v>12</v>
      </c>
      <c r="F2272" t="s">
        <v>26</v>
      </c>
      <c r="L2272" t="s">
        <v>10361</v>
      </c>
      <c r="N2272" t="s">
        <v>10361</v>
      </c>
      <c r="T2272" t="s">
        <v>10362</v>
      </c>
      <c r="U2272" t="s">
        <v>10361</v>
      </c>
      <c r="V2272" t="s">
        <v>10361</v>
      </c>
      <c r="W2272" t="s">
        <v>86</v>
      </c>
      <c r="X2272" t="s">
        <v>10363</v>
      </c>
      <c r="Y2272">
        <v>3</v>
      </c>
      <c r="Z2272">
        <v>3</v>
      </c>
    </row>
    <row r="2273" spans="1:26">
      <c r="A2273" s="1">
        <v>2271</v>
      </c>
      <c r="B2273" t="str">
        <f>HYPERLINK("https://bugs.eclipse.org/bugs/show_bug.cgi?id=84533", "84533")</f>
        <v>84533</v>
      </c>
      <c r="C2273" t="s">
        <v>35</v>
      </c>
      <c r="D2273" t="s">
        <v>11</v>
      </c>
      <c r="E2273" t="s">
        <v>12</v>
      </c>
      <c r="F2273" t="s">
        <v>26</v>
      </c>
      <c r="L2273" t="s">
        <v>10364</v>
      </c>
      <c r="M2273" t="s">
        <v>10365</v>
      </c>
      <c r="N2273" t="s">
        <v>10364</v>
      </c>
      <c r="T2273" t="s">
        <v>10366</v>
      </c>
      <c r="U2273" t="s">
        <v>10367</v>
      </c>
      <c r="V2273" t="s">
        <v>10365</v>
      </c>
      <c r="W2273" t="s">
        <v>2668</v>
      </c>
      <c r="X2273" t="s">
        <v>10368</v>
      </c>
      <c r="Y2273">
        <v>1</v>
      </c>
      <c r="Z2273">
        <v>12</v>
      </c>
    </row>
    <row r="2274" spans="1:26">
      <c r="A2274" s="1">
        <v>2272</v>
      </c>
      <c r="B2274" t="str">
        <f>HYPERLINK("https://bugs.eclipse.org/bugs/show_bug.cgi?id=84566", "84566")</f>
        <v>84566</v>
      </c>
      <c r="C2274" t="s">
        <v>191</v>
      </c>
      <c r="D2274" t="s">
        <v>192</v>
      </c>
      <c r="E2274" t="s">
        <v>14</v>
      </c>
      <c r="F2274" t="s">
        <v>26</v>
      </c>
      <c r="P2274" t="s">
        <v>10369</v>
      </c>
      <c r="T2274" t="s">
        <v>10370</v>
      </c>
      <c r="U2274" t="s">
        <v>10371</v>
      </c>
      <c r="V2274" t="s">
        <v>10369</v>
      </c>
      <c r="W2274" t="s">
        <v>65</v>
      </c>
      <c r="X2274" t="s">
        <v>10372</v>
      </c>
      <c r="Y2274">
        <v>0</v>
      </c>
      <c r="Z2274">
        <v>5498</v>
      </c>
    </row>
    <row r="2275" spans="1:26">
      <c r="A2275" s="1">
        <v>2273</v>
      </c>
      <c r="B2275" t="str">
        <f>HYPERLINK("https://bugs.eclipse.org/bugs/show_bug.cgi?id=84567", "84567")</f>
        <v>84567</v>
      </c>
      <c r="C2275" t="s">
        <v>56</v>
      </c>
      <c r="D2275" t="s">
        <v>10</v>
      </c>
      <c r="E2275" t="s">
        <v>14</v>
      </c>
      <c r="F2275" t="s">
        <v>51</v>
      </c>
      <c r="L2275" t="s">
        <v>10373</v>
      </c>
      <c r="P2275" t="s">
        <v>10374</v>
      </c>
      <c r="T2275" t="s">
        <v>10375</v>
      </c>
      <c r="U2275" t="s">
        <v>10376</v>
      </c>
      <c r="V2275" t="s">
        <v>10374</v>
      </c>
      <c r="W2275" t="s">
        <v>80</v>
      </c>
      <c r="X2275" t="s">
        <v>10377</v>
      </c>
      <c r="Y2275">
        <v>0</v>
      </c>
      <c r="Z2275">
        <v>1664.958333333333</v>
      </c>
    </row>
    <row r="2276" spans="1:26">
      <c r="A2276" s="1">
        <v>2274</v>
      </c>
      <c r="B2276" t="str">
        <f>HYPERLINK("https://bugs.eclipse.org/bugs/show_bug.cgi?id=84670", "84670")</f>
        <v>84670</v>
      </c>
      <c r="C2276" t="s">
        <v>35</v>
      </c>
      <c r="D2276" t="s">
        <v>11</v>
      </c>
      <c r="E2276" t="s">
        <v>12</v>
      </c>
      <c r="F2276" t="s">
        <v>26</v>
      </c>
      <c r="L2276" t="s">
        <v>10378</v>
      </c>
      <c r="M2276" t="s">
        <v>10379</v>
      </c>
      <c r="N2276" t="s">
        <v>10378</v>
      </c>
      <c r="T2276" t="s">
        <v>10380</v>
      </c>
      <c r="U2276" t="s">
        <v>10381</v>
      </c>
      <c r="V2276" t="s">
        <v>10379</v>
      </c>
      <c r="W2276" t="s">
        <v>851</v>
      </c>
      <c r="X2276" t="s">
        <v>10382</v>
      </c>
      <c r="Y2276">
        <v>0</v>
      </c>
      <c r="Z2276">
        <v>110.9583333333333</v>
      </c>
    </row>
    <row r="2277" spans="1:26">
      <c r="A2277" s="1">
        <v>2275</v>
      </c>
      <c r="B2277" t="str">
        <f>HYPERLINK("https://bugs.eclipse.org/bugs/show_bug.cgi?id=84747", "84747")</f>
        <v>84747</v>
      </c>
      <c r="C2277" t="s">
        <v>149</v>
      </c>
      <c r="D2277" t="s">
        <v>10</v>
      </c>
      <c r="E2277" t="s">
        <v>12</v>
      </c>
      <c r="F2277" t="s">
        <v>26</v>
      </c>
      <c r="G2277" t="s">
        <v>10383</v>
      </c>
      <c r="L2277" t="s">
        <v>10384</v>
      </c>
      <c r="N2277" t="s">
        <v>10384</v>
      </c>
      <c r="T2277" t="s">
        <v>10385</v>
      </c>
      <c r="U2277" t="s">
        <v>10386</v>
      </c>
      <c r="V2277" t="s">
        <v>10387</v>
      </c>
      <c r="W2277" t="s">
        <v>49</v>
      </c>
      <c r="X2277" t="s">
        <v>10388</v>
      </c>
      <c r="Y2277">
        <v>1</v>
      </c>
      <c r="Z2277">
        <v>3</v>
      </c>
    </row>
    <row r="2278" spans="1:26">
      <c r="A2278" s="1">
        <v>2276</v>
      </c>
      <c r="B2278" t="str">
        <f>HYPERLINK("https://bugs.eclipse.org/bugs/show_bug.cgi?id=84766", "84766")</f>
        <v>84766</v>
      </c>
      <c r="C2278" t="s">
        <v>140</v>
      </c>
      <c r="D2278" t="s">
        <v>10</v>
      </c>
      <c r="E2278" t="s">
        <v>16</v>
      </c>
      <c r="F2278" t="s">
        <v>26</v>
      </c>
      <c r="L2278" t="s">
        <v>10389</v>
      </c>
      <c r="R2278" t="s">
        <v>10389</v>
      </c>
      <c r="T2278" t="s">
        <v>10390</v>
      </c>
      <c r="U2278" t="s">
        <v>10391</v>
      </c>
      <c r="V2278" t="s">
        <v>10389</v>
      </c>
      <c r="W2278" t="s">
        <v>2668</v>
      </c>
      <c r="X2278" t="s">
        <v>10392</v>
      </c>
      <c r="Y2278">
        <v>0</v>
      </c>
      <c r="Z2278">
        <v>1</v>
      </c>
    </row>
    <row r="2279" spans="1:26">
      <c r="A2279" s="1">
        <v>2277</v>
      </c>
      <c r="B2279" t="str">
        <f>HYPERLINK("https://bugs.eclipse.org/bugs/show_bug.cgi?id=84777", "84777")</f>
        <v>84777</v>
      </c>
      <c r="C2279" t="s">
        <v>7302</v>
      </c>
      <c r="D2279" t="s">
        <v>10</v>
      </c>
      <c r="E2279" t="s">
        <v>15</v>
      </c>
      <c r="F2279" t="s">
        <v>26</v>
      </c>
      <c r="G2279" t="s">
        <v>10393</v>
      </c>
      <c r="L2279" t="s">
        <v>10394</v>
      </c>
      <c r="Q2279" t="s">
        <v>10394</v>
      </c>
      <c r="S2279" t="s">
        <v>10395</v>
      </c>
      <c r="T2279" t="s">
        <v>10396</v>
      </c>
      <c r="U2279" t="s">
        <v>10397</v>
      </c>
      <c r="V2279" t="s">
        <v>10394</v>
      </c>
      <c r="W2279" t="s">
        <v>851</v>
      </c>
      <c r="X2279" t="s">
        <v>10398</v>
      </c>
      <c r="Y2279">
        <v>0</v>
      </c>
      <c r="Z2279">
        <v>1222.958333333333</v>
      </c>
    </row>
    <row r="2280" spans="1:26">
      <c r="A2280" s="1">
        <v>2278</v>
      </c>
      <c r="B2280" t="str">
        <f>HYPERLINK("https://bugs.eclipse.org/bugs/show_bug.cgi?id=84857", "84857")</f>
        <v>84857</v>
      </c>
      <c r="C2280" t="s">
        <v>10399</v>
      </c>
      <c r="D2280" t="s">
        <v>10</v>
      </c>
      <c r="E2280" t="s">
        <v>15</v>
      </c>
      <c r="F2280" t="s">
        <v>26</v>
      </c>
      <c r="L2280" t="s">
        <v>10334</v>
      </c>
      <c r="Q2280" t="s">
        <v>10334</v>
      </c>
      <c r="T2280" t="s">
        <v>10400</v>
      </c>
      <c r="U2280" t="s">
        <v>10401</v>
      </c>
      <c r="V2280" t="s">
        <v>10334</v>
      </c>
      <c r="W2280" t="s">
        <v>86</v>
      </c>
      <c r="X2280" t="s">
        <v>10402</v>
      </c>
      <c r="Y2280">
        <v>0</v>
      </c>
      <c r="Z2280">
        <v>1</v>
      </c>
    </row>
    <row r="2281" spans="1:26">
      <c r="A2281" s="1">
        <v>2279</v>
      </c>
      <c r="B2281" t="str">
        <f>HYPERLINK("https://bugs.eclipse.org/bugs/show_bug.cgi?id=84918", "84918")</f>
        <v>84918</v>
      </c>
      <c r="C2281" t="s">
        <v>140</v>
      </c>
      <c r="D2281" t="s">
        <v>10</v>
      </c>
      <c r="E2281" t="s">
        <v>16</v>
      </c>
      <c r="F2281" t="s">
        <v>26</v>
      </c>
      <c r="L2281" t="s">
        <v>10403</v>
      </c>
      <c r="R2281" t="s">
        <v>10403</v>
      </c>
      <c r="T2281" t="s">
        <v>10404</v>
      </c>
      <c r="U2281" t="s">
        <v>10405</v>
      </c>
      <c r="V2281" t="s">
        <v>10403</v>
      </c>
      <c r="W2281" t="s">
        <v>86</v>
      </c>
      <c r="X2281" t="s">
        <v>10406</v>
      </c>
      <c r="Y2281">
        <v>0</v>
      </c>
      <c r="Z2281">
        <v>418.95833333333331</v>
      </c>
    </row>
    <row r="2282" spans="1:26">
      <c r="A2282" s="1">
        <v>2280</v>
      </c>
      <c r="B2282" t="str">
        <f>HYPERLINK("https://bugs.eclipse.org/bugs/show_bug.cgi?id=84924", "84924")</f>
        <v>84924</v>
      </c>
      <c r="C2282" t="s">
        <v>149</v>
      </c>
      <c r="D2282" t="s">
        <v>10</v>
      </c>
      <c r="E2282" t="s">
        <v>12</v>
      </c>
      <c r="F2282" t="s">
        <v>26</v>
      </c>
      <c r="L2282" t="s">
        <v>10407</v>
      </c>
      <c r="N2282" t="s">
        <v>10407</v>
      </c>
      <c r="T2282" t="s">
        <v>10408</v>
      </c>
      <c r="U2282" t="s">
        <v>10409</v>
      </c>
      <c r="V2282" t="s">
        <v>10407</v>
      </c>
      <c r="W2282" t="s">
        <v>2668</v>
      </c>
      <c r="X2282" t="s">
        <v>10410</v>
      </c>
      <c r="Y2282">
        <v>1</v>
      </c>
      <c r="Z2282">
        <v>14</v>
      </c>
    </row>
    <row r="2283" spans="1:26">
      <c r="A2283" s="1">
        <v>2281</v>
      </c>
      <c r="B2283" t="str">
        <f>HYPERLINK("https://bugs.eclipse.org/bugs/show_bug.cgi?id=84980", "84980")</f>
        <v>84980</v>
      </c>
      <c r="C2283" t="s">
        <v>149</v>
      </c>
      <c r="D2283" t="s">
        <v>10</v>
      </c>
      <c r="E2283" t="s">
        <v>12</v>
      </c>
      <c r="F2283" t="s">
        <v>26</v>
      </c>
      <c r="L2283" t="s">
        <v>10411</v>
      </c>
      <c r="N2283" t="s">
        <v>10411</v>
      </c>
      <c r="T2283" t="s">
        <v>10412</v>
      </c>
      <c r="U2283" t="s">
        <v>10413</v>
      </c>
      <c r="V2283" t="s">
        <v>10411</v>
      </c>
      <c r="W2283" t="s">
        <v>86</v>
      </c>
      <c r="X2283" t="s">
        <v>10414</v>
      </c>
      <c r="Y2283">
        <v>0</v>
      </c>
      <c r="Z2283">
        <v>0</v>
      </c>
    </row>
    <row r="2284" spans="1:26">
      <c r="A2284" s="1">
        <v>2282</v>
      </c>
      <c r="B2284" t="str">
        <f>HYPERLINK("https://bugs.eclipse.org/bugs/show_bug.cgi?id=84986", "84986")</f>
        <v>84986</v>
      </c>
      <c r="C2284" t="s">
        <v>149</v>
      </c>
      <c r="D2284" t="s">
        <v>10</v>
      </c>
      <c r="E2284" t="s">
        <v>12</v>
      </c>
      <c r="F2284" t="s">
        <v>26</v>
      </c>
      <c r="L2284" t="s">
        <v>10415</v>
      </c>
      <c r="N2284" t="s">
        <v>10415</v>
      </c>
      <c r="T2284" t="s">
        <v>10416</v>
      </c>
      <c r="U2284" t="s">
        <v>10415</v>
      </c>
      <c r="V2284" t="s">
        <v>10415</v>
      </c>
      <c r="W2284" t="s">
        <v>86</v>
      </c>
      <c r="X2284" t="s">
        <v>10417</v>
      </c>
      <c r="Y2284">
        <v>0</v>
      </c>
      <c r="Z2284">
        <v>0</v>
      </c>
    </row>
    <row r="2285" spans="1:26">
      <c r="A2285" s="1">
        <v>2283</v>
      </c>
      <c r="B2285" t="str">
        <f>HYPERLINK("https://bugs.eclipse.org/bugs/show_bug.cgi?id=85112", "85112")</f>
        <v>85112</v>
      </c>
      <c r="C2285" t="s">
        <v>10152</v>
      </c>
      <c r="D2285" t="s">
        <v>10</v>
      </c>
      <c r="E2285" t="s">
        <v>15</v>
      </c>
      <c r="F2285" t="s">
        <v>26</v>
      </c>
      <c r="L2285" t="s">
        <v>10418</v>
      </c>
      <c r="Q2285" t="s">
        <v>10418</v>
      </c>
      <c r="T2285" t="s">
        <v>10419</v>
      </c>
      <c r="U2285" t="s">
        <v>10420</v>
      </c>
      <c r="V2285" t="s">
        <v>10418</v>
      </c>
      <c r="W2285" t="s">
        <v>2668</v>
      </c>
      <c r="X2285" t="s">
        <v>10421</v>
      </c>
      <c r="Y2285">
        <v>1</v>
      </c>
      <c r="Z2285">
        <v>1</v>
      </c>
    </row>
    <row r="2286" spans="1:26">
      <c r="A2286" s="1">
        <v>2284</v>
      </c>
      <c r="B2286" t="str">
        <f>HYPERLINK("https://bugs.eclipse.org/bugs/show_bug.cgi?id=85154", "85154")</f>
        <v>85154</v>
      </c>
      <c r="C2286" t="s">
        <v>56</v>
      </c>
      <c r="D2286" t="s">
        <v>10</v>
      </c>
      <c r="E2286" t="s">
        <v>14</v>
      </c>
      <c r="F2286" t="s">
        <v>51</v>
      </c>
      <c r="L2286" t="s">
        <v>10422</v>
      </c>
      <c r="P2286" t="s">
        <v>10423</v>
      </c>
      <c r="T2286" t="s">
        <v>10424</v>
      </c>
      <c r="U2286" t="s">
        <v>10422</v>
      </c>
      <c r="V2286" t="s">
        <v>10423</v>
      </c>
      <c r="W2286" t="s">
        <v>75</v>
      </c>
      <c r="X2286" t="s">
        <v>10425</v>
      </c>
      <c r="Y2286">
        <v>28</v>
      </c>
      <c r="Z2286">
        <v>1657.958333333333</v>
      </c>
    </row>
    <row r="2287" spans="1:26">
      <c r="A2287" s="1">
        <v>2285</v>
      </c>
      <c r="B2287" t="str">
        <f>HYPERLINK("https://bugs.eclipse.org/bugs/show_bug.cgi?id=85162", "85162")</f>
        <v>85162</v>
      </c>
      <c r="C2287" t="s">
        <v>56</v>
      </c>
      <c r="D2287" t="s">
        <v>10</v>
      </c>
      <c r="E2287" t="s">
        <v>14</v>
      </c>
      <c r="F2287" t="s">
        <v>26</v>
      </c>
      <c r="L2287" t="s">
        <v>10426</v>
      </c>
      <c r="P2287" t="s">
        <v>10426</v>
      </c>
      <c r="T2287" t="s">
        <v>10427</v>
      </c>
      <c r="U2287" t="s">
        <v>10428</v>
      </c>
      <c r="V2287" t="s">
        <v>10426</v>
      </c>
      <c r="W2287" t="s">
        <v>49</v>
      </c>
      <c r="X2287" t="s">
        <v>10429</v>
      </c>
      <c r="Y2287">
        <v>1</v>
      </c>
      <c r="Z2287">
        <v>98.958333333333329</v>
      </c>
    </row>
    <row r="2288" spans="1:26">
      <c r="A2288" s="1">
        <v>2286</v>
      </c>
      <c r="B2288" t="str">
        <f>HYPERLINK("https://bugs.eclipse.org/bugs/show_bug.cgi?id=85173", "85173")</f>
        <v>85173</v>
      </c>
      <c r="C2288" t="s">
        <v>10430</v>
      </c>
      <c r="D2288" t="s">
        <v>10</v>
      </c>
      <c r="E2288" t="s">
        <v>15</v>
      </c>
      <c r="F2288" t="s">
        <v>26</v>
      </c>
      <c r="H2288" t="s">
        <v>10431</v>
      </c>
      <c r="L2288" t="s">
        <v>10324</v>
      </c>
      <c r="Q2288" t="s">
        <v>10324</v>
      </c>
      <c r="T2288" t="s">
        <v>10432</v>
      </c>
      <c r="U2288" t="s">
        <v>10433</v>
      </c>
      <c r="V2288" t="s">
        <v>10324</v>
      </c>
      <c r="W2288" t="s">
        <v>143</v>
      </c>
      <c r="X2288" t="s">
        <v>10434</v>
      </c>
      <c r="Y2288">
        <v>0</v>
      </c>
      <c r="Z2288">
        <v>2</v>
      </c>
    </row>
    <row r="2289" spans="1:26">
      <c r="A2289" s="1">
        <v>2287</v>
      </c>
      <c r="B2289" t="str">
        <f>HYPERLINK("https://bugs.eclipse.org/bugs/show_bug.cgi?id=85267", "85267")</f>
        <v>85267</v>
      </c>
      <c r="C2289" t="s">
        <v>35</v>
      </c>
      <c r="D2289" t="s">
        <v>11</v>
      </c>
      <c r="E2289" t="s">
        <v>12</v>
      </c>
      <c r="F2289" t="s">
        <v>26</v>
      </c>
      <c r="L2289" t="s">
        <v>10435</v>
      </c>
      <c r="M2289" t="s">
        <v>10436</v>
      </c>
      <c r="N2289" t="s">
        <v>10435</v>
      </c>
      <c r="T2289" t="s">
        <v>10437</v>
      </c>
      <c r="U2289" t="s">
        <v>10438</v>
      </c>
      <c r="V2289" t="s">
        <v>10436</v>
      </c>
      <c r="W2289" t="s">
        <v>1161</v>
      </c>
      <c r="X2289" t="s">
        <v>10439</v>
      </c>
      <c r="Y2289">
        <v>0</v>
      </c>
      <c r="Z2289">
        <v>3</v>
      </c>
    </row>
    <row r="2290" spans="1:26">
      <c r="A2290" s="1">
        <v>2288</v>
      </c>
      <c r="B2290" t="str">
        <f>HYPERLINK("https://bugs.eclipse.org/bugs/show_bug.cgi?id=85274", "85274")</f>
        <v>85274</v>
      </c>
      <c r="C2290" t="s">
        <v>35</v>
      </c>
      <c r="D2290" t="s">
        <v>11</v>
      </c>
      <c r="E2290" t="s">
        <v>12</v>
      </c>
      <c r="F2290" t="s">
        <v>26</v>
      </c>
      <c r="L2290" t="s">
        <v>10440</v>
      </c>
      <c r="M2290" t="s">
        <v>10441</v>
      </c>
      <c r="N2290" t="s">
        <v>10440</v>
      </c>
      <c r="T2290" t="s">
        <v>10442</v>
      </c>
      <c r="U2290" t="s">
        <v>10443</v>
      </c>
      <c r="V2290" t="s">
        <v>10441</v>
      </c>
      <c r="W2290" t="s">
        <v>86</v>
      </c>
      <c r="X2290" t="s">
        <v>10444</v>
      </c>
      <c r="Y2290">
        <v>0</v>
      </c>
      <c r="Z2290">
        <v>100.9583333333333</v>
      </c>
    </row>
    <row r="2291" spans="1:26">
      <c r="A2291" s="1">
        <v>2289</v>
      </c>
      <c r="B2291" t="str">
        <f>HYPERLINK("https://bugs.eclipse.org/bugs/show_bug.cgi?id=85320", "85320")</f>
        <v>85320</v>
      </c>
      <c r="C2291" t="s">
        <v>10445</v>
      </c>
      <c r="D2291" t="s">
        <v>10</v>
      </c>
      <c r="E2291" t="s">
        <v>15</v>
      </c>
      <c r="F2291" t="s">
        <v>26</v>
      </c>
      <c r="L2291" t="s">
        <v>10446</v>
      </c>
      <c r="Q2291" t="s">
        <v>10446</v>
      </c>
      <c r="T2291" t="s">
        <v>10447</v>
      </c>
      <c r="U2291" t="s">
        <v>10448</v>
      </c>
      <c r="V2291" t="s">
        <v>10446</v>
      </c>
      <c r="W2291" t="s">
        <v>851</v>
      </c>
      <c r="X2291" t="s">
        <v>10449</v>
      </c>
      <c r="Y2291">
        <v>1</v>
      </c>
      <c r="Z2291">
        <v>810.95833333333337</v>
      </c>
    </row>
    <row r="2292" spans="1:26">
      <c r="A2292" s="1">
        <v>2290</v>
      </c>
      <c r="B2292" t="str">
        <f>HYPERLINK("https://bugs.eclipse.org/bugs/show_bug.cgi?id=85415", "85415")</f>
        <v>85415</v>
      </c>
      <c r="C2292" t="s">
        <v>35</v>
      </c>
      <c r="D2292" t="s">
        <v>11</v>
      </c>
      <c r="E2292" t="s">
        <v>12</v>
      </c>
      <c r="F2292" t="s">
        <v>26</v>
      </c>
      <c r="L2292" t="s">
        <v>10450</v>
      </c>
      <c r="M2292" t="s">
        <v>10451</v>
      </c>
      <c r="N2292" t="s">
        <v>10450</v>
      </c>
      <c r="T2292" t="s">
        <v>10452</v>
      </c>
      <c r="U2292" t="s">
        <v>10453</v>
      </c>
      <c r="V2292" t="s">
        <v>10451</v>
      </c>
      <c r="W2292" t="s">
        <v>851</v>
      </c>
      <c r="X2292" t="s">
        <v>10454</v>
      </c>
      <c r="Y2292">
        <v>0</v>
      </c>
      <c r="Z2292">
        <v>2</v>
      </c>
    </row>
    <row r="2293" spans="1:26">
      <c r="A2293" s="1">
        <v>2291</v>
      </c>
      <c r="B2293" t="str">
        <f>HYPERLINK("https://bugs.eclipse.org/bugs/show_bug.cgi?id=85465", "85465")</f>
        <v>85465</v>
      </c>
      <c r="C2293" t="s">
        <v>149</v>
      </c>
      <c r="D2293" t="s">
        <v>10</v>
      </c>
      <c r="E2293" t="s">
        <v>12</v>
      </c>
      <c r="F2293" t="s">
        <v>26</v>
      </c>
      <c r="L2293" t="s">
        <v>10455</v>
      </c>
      <c r="N2293" t="s">
        <v>10455</v>
      </c>
      <c r="T2293" t="s">
        <v>10456</v>
      </c>
      <c r="U2293" t="s">
        <v>10457</v>
      </c>
      <c r="V2293" t="s">
        <v>10455</v>
      </c>
      <c r="W2293" t="s">
        <v>851</v>
      </c>
      <c r="X2293" t="s">
        <v>10458</v>
      </c>
      <c r="Y2293">
        <v>0</v>
      </c>
      <c r="Z2293">
        <v>22</v>
      </c>
    </row>
    <row r="2294" spans="1:26">
      <c r="A2294" s="1">
        <v>2292</v>
      </c>
      <c r="B2294" t="str">
        <f>HYPERLINK("https://bugs.eclipse.org/bugs/show_bug.cgi?id=85520", "85520")</f>
        <v>85520</v>
      </c>
      <c r="C2294" t="s">
        <v>149</v>
      </c>
      <c r="D2294" t="s">
        <v>10</v>
      </c>
      <c r="E2294" t="s">
        <v>12</v>
      </c>
      <c r="F2294" t="s">
        <v>26</v>
      </c>
      <c r="L2294" t="s">
        <v>10459</v>
      </c>
      <c r="N2294" t="s">
        <v>10459</v>
      </c>
      <c r="T2294" t="s">
        <v>10460</v>
      </c>
      <c r="U2294" t="s">
        <v>10461</v>
      </c>
      <c r="V2294" t="s">
        <v>10459</v>
      </c>
      <c r="W2294" t="s">
        <v>86</v>
      </c>
      <c r="X2294" t="s">
        <v>10462</v>
      </c>
      <c r="Y2294">
        <v>1</v>
      </c>
      <c r="Z2294">
        <v>35</v>
      </c>
    </row>
    <row r="2295" spans="1:26">
      <c r="A2295" s="1">
        <v>2293</v>
      </c>
      <c r="B2295" t="str">
        <f>HYPERLINK("https://bugs.eclipse.org/bugs/show_bug.cgi?id=85658", "85658")</f>
        <v>85658</v>
      </c>
      <c r="C2295" t="s">
        <v>35</v>
      </c>
      <c r="D2295" t="s">
        <v>11</v>
      </c>
      <c r="E2295" t="s">
        <v>12</v>
      </c>
      <c r="F2295" t="s">
        <v>26</v>
      </c>
      <c r="L2295" t="s">
        <v>10463</v>
      </c>
      <c r="M2295" t="s">
        <v>10464</v>
      </c>
      <c r="N2295" t="s">
        <v>10463</v>
      </c>
      <c r="T2295" t="s">
        <v>10465</v>
      </c>
      <c r="U2295" t="s">
        <v>10466</v>
      </c>
      <c r="V2295" t="s">
        <v>10464</v>
      </c>
      <c r="W2295" t="s">
        <v>1161</v>
      </c>
      <c r="X2295" t="s">
        <v>10467</v>
      </c>
      <c r="Y2295">
        <v>0</v>
      </c>
      <c r="Z2295">
        <v>1</v>
      </c>
    </row>
    <row r="2296" spans="1:26">
      <c r="A2296" s="1">
        <v>2294</v>
      </c>
      <c r="B2296" t="str">
        <f>HYPERLINK("https://bugs.eclipse.org/bugs/show_bug.cgi?id=85676", "85676")</f>
        <v>85676</v>
      </c>
      <c r="C2296" t="s">
        <v>10468</v>
      </c>
      <c r="D2296" t="s">
        <v>10</v>
      </c>
      <c r="E2296" t="s">
        <v>15</v>
      </c>
      <c r="F2296" t="s">
        <v>26</v>
      </c>
      <c r="L2296" t="s">
        <v>10469</v>
      </c>
      <c r="Q2296" t="s">
        <v>10469</v>
      </c>
      <c r="T2296" t="s">
        <v>10470</v>
      </c>
      <c r="U2296" t="s">
        <v>10471</v>
      </c>
      <c r="V2296" t="s">
        <v>10469</v>
      </c>
      <c r="W2296" t="s">
        <v>851</v>
      </c>
      <c r="X2296" t="s">
        <v>10472</v>
      </c>
      <c r="Y2296">
        <v>0</v>
      </c>
      <c r="Z2296">
        <v>6</v>
      </c>
    </row>
    <row r="2297" spans="1:26">
      <c r="A2297" s="1">
        <v>2295</v>
      </c>
      <c r="B2297" t="str">
        <f>HYPERLINK("https://bugs.eclipse.org/bugs/show_bug.cgi?id=85677", "85677")</f>
        <v>85677</v>
      </c>
      <c r="C2297" t="s">
        <v>149</v>
      </c>
      <c r="D2297" t="s">
        <v>10</v>
      </c>
      <c r="E2297" t="s">
        <v>12</v>
      </c>
      <c r="F2297" t="s">
        <v>26</v>
      </c>
      <c r="L2297" t="s">
        <v>10473</v>
      </c>
      <c r="N2297" t="s">
        <v>10473</v>
      </c>
      <c r="T2297" t="s">
        <v>10474</v>
      </c>
      <c r="U2297" t="s">
        <v>10475</v>
      </c>
      <c r="V2297" t="s">
        <v>10473</v>
      </c>
      <c r="W2297" t="s">
        <v>851</v>
      </c>
      <c r="X2297" t="s">
        <v>10476</v>
      </c>
      <c r="Y2297">
        <v>0</v>
      </c>
      <c r="Z2297">
        <v>79.958333333333329</v>
      </c>
    </row>
    <row r="2298" spans="1:26">
      <c r="A2298" s="1">
        <v>2296</v>
      </c>
      <c r="B2298" t="str">
        <f>HYPERLINK("https://bugs.eclipse.org/bugs/show_bug.cgi?id=85679", "85679")</f>
        <v>85679</v>
      </c>
      <c r="C2298" t="s">
        <v>191</v>
      </c>
      <c r="D2298" t="s">
        <v>192</v>
      </c>
      <c r="E2298" t="s">
        <v>14</v>
      </c>
      <c r="F2298" t="s">
        <v>26</v>
      </c>
      <c r="P2298" t="s">
        <v>10477</v>
      </c>
      <c r="T2298" t="s">
        <v>10478</v>
      </c>
      <c r="U2298" t="s">
        <v>10479</v>
      </c>
      <c r="V2298" t="s">
        <v>10477</v>
      </c>
      <c r="W2298" t="s">
        <v>65</v>
      </c>
      <c r="X2298" t="s">
        <v>10480</v>
      </c>
      <c r="Y2298">
        <v>0</v>
      </c>
      <c r="Z2298">
        <v>5447</v>
      </c>
    </row>
    <row r="2299" spans="1:26">
      <c r="A2299" s="1">
        <v>2297</v>
      </c>
      <c r="B2299" t="str">
        <f>HYPERLINK("https://bugs.eclipse.org/bugs/show_bug.cgi?id=85754", "85754")</f>
        <v>85754</v>
      </c>
      <c r="C2299" t="s">
        <v>149</v>
      </c>
      <c r="D2299" t="s">
        <v>10</v>
      </c>
      <c r="E2299" t="s">
        <v>12</v>
      </c>
      <c r="F2299" t="s">
        <v>26</v>
      </c>
      <c r="L2299" t="s">
        <v>10481</v>
      </c>
      <c r="N2299" t="s">
        <v>10481</v>
      </c>
      <c r="S2299" t="s">
        <v>10482</v>
      </c>
      <c r="T2299" t="s">
        <v>10483</v>
      </c>
      <c r="U2299" t="s">
        <v>10484</v>
      </c>
      <c r="V2299" t="s">
        <v>10481</v>
      </c>
      <c r="W2299" t="s">
        <v>49</v>
      </c>
      <c r="X2299" t="s">
        <v>10485</v>
      </c>
      <c r="Y2299">
        <v>1</v>
      </c>
      <c r="Z2299">
        <v>28</v>
      </c>
    </row>
    <row r="2300" spans="1:26">
      <c r="A2300" s="1">
        <v>2298</v>
      </c>
      <c r="B2300" t="str">
        <f>HYPERLINK("https://bugs.eclipse.org/bugs/show_bug.cgi?id=85799", "85799")</f>
        <v>85799</v>
      </c>
      <c r="C2300" t="s">
        <v>10486</v>
      </c>
      <c r="D2300" t="s">
        <v>10</v>
      </c>
      <c r="E2300" t="s">
        <v>15</v>
      </c>
      <c r="F2300" t="s">
        <v>26</v>
      </c>
      <c r="L2300" t="s">
        <v>10487</v>
      </c>
      <c r="Q2300" t="s">
        <v>10487</v>
      </c>
      <c r="T2300" t="s">
        <v>10488</v>
      </c>
      <c r="U2300" t="s">
        <v>10489</v>
      </c>
      <c r="V2300" t="s">
        <v>10487</v>
      </c>
      <c r="W2300" t="s">
        <v>49</v>
      </c>
      <c r="X2300" t="s">
        <v>10490</v>
      </c>
      <c r="Y2300">
        <v>0</v>
      </c>
      <c r="Z2300">
        <v>530.95833333333337</v>
      </c>
    </row>
    <row r="2301" spans="1:26">
      <c r="A2301" s="1">
        <v>2299</v>
      </c>
      <c r="B2301" t="str">
        <f>HYPERLINK("https://bugs.eclipse.org/bugs/show_bug.cgi?id=85804", "85804")</f>
        <v>85804</v>
      </c>
      <c r="C2301" t="s">
        <v>149</v>
      </c>
      <c r="D2301" t="s">
        <v>10</v>
      </c>
      <c r="E2301" t="s">
        <v>12</v>
      </c>
      <c r="F2301" t="s">
        <v>26</v>
      </c>
      <c r="G2301" t="s">
        <v>10491</v>
      </c>
      <c r="L2301" t="s">
        <v>10492</v>
      </c>
      <c r="N2301" t="s">
        <v>10492</v>
      </c>
      <c r="T2301" t="s">
        <v>10493</v>
      </c>
      <c r="U2301" t="s">
        <v>10494</v>
      </c>
      <c r="V2301" t="s">
        <v>10495</v>
      </c>
      <c r="W2301" t="s">
        <v>851</v>
      </c>
      <c r="X2301" t="s">
        <v>10496</v>
      </c>
      <c r="Y2301">
        <v>40</v>
      </c>
      <c r="Z2301">
        <v>97.958333333333329</v>
      </c>
    </row>
    <row r="2302" spans="1:26">
      <c r="A2302" s="1">
        <v>2300</v>
      </c>
      <c r="B2302" t="str">
        <f>HYPERLINK("https://bugs.eclipse.org/bugs/show_bug.cgi?id=85806", "85806")</f>
        <v>85806</v>
      </c>
      <c r="C2302" t="s">
        <v>56</v>
      </c>
      <c r="D2302" t="s">
        <v>10</v>
      </c>
      <c r="E2302" t="s">
        <v>14</v>
      </c>
      <c r="F2302" t="s">
        <v>26</v>
      </c>
      <c r="L2302" t="s">
        <v>10497</v>
      </c>
      <c r="P2302" t="s">
        <v>10497</v>
      </c>
      <c r="T2302" t="s">
        <v>10498</v>
      </c>
      <c r="U2302" t="s">
        <v>10499</v>
      </c>
      <c r="V2302" t="s">
        <v>10497</v>
      </c>
      <c r="W2302" t="s">
        <v>86</v>
      </c>
      <c r="X2302" t="s">
        <v>10500</v>
      </c>
      <c r="Y2302">
        <v>0</v>
      </c>
      <c r="Z2302">
        <v>95.958333333333329</v>
      </c>
    </row>
    <row r="2303" spans="1:26">
      <c r="A2303" s="1">
        <v>2301</v>
      </c>
      <c r="B2303" t="str">
        <f>HYPERLINK("https://bugs.eclipse.org/bugs/show_bug.cgi?id=85812", "85812")</f>
        <v>85812</v>
      </c>
      <c r="C2303" t="s">
        <v>149</v>
      </c>
      <c r="D2303" t="s">
        <v>10</v>
      </c>
      <c r="E2303" t="s">
        <v>12</v>
      </c>
      <c r="F2303" t="s">
        <v>26</v>
      </c>
      <c r="L2303" t="s">
        <v>10501</v>
      </c>
      <c r="N2303" t="s">
        <v>10501</v>
      </c>
      <c r="T2303" t="s">
        <v>10502</v>
      </c>
      <c r="U2303" t="s">
        <v>10503</v>
      </c>
      <c r="V2303" t="s">
        <v>10501</v>
      </c>
      <c r="W2303" t="s">
        <v>2668</v>
      </c>
      <c r="X2303" t="s">
        <v>10504</v>
      </c>
      <c r="Y2303">
        <v>0</v>
      </c>
      <c r="Z2303">
        <v>33</v>
      </c>
    </row>
    <row r="2304" spans="1:26">
      <c r="A2304" s="1">
        <v>2302</v>
      </c>
      <c r="B2304" t="str">
        <f>HYPERLINK("https://bugs.eclipse.org/bugs/show_bug.cgi?id=85950", "85950")</f>
        <v>85950</v>
      </c>
      <c r="C2304" t="s">
        <v>149</v>
      </c>
      <c r="D2304" t="s">
        <v>10</v>
      </c>
      <c r="E2304" t="s">
        <v>12</v>
      </c>
      <c r="F2304" t="s">
        <v>26</v>
      </c>
      <c r="G2304" t="s">
        <v>10505</v>
      </c>
      <c r="H2304" t="s">
        <v>10506</v>
      </c>
      <c r="L2304" t="s">
        <v>10507</v>
      </c>
      <c r="N2304" t="s">
        <v>10507</v>
      </c>
      <c r="T2304" t="s">
        <v>10508</v>
      </c>
      <c r="U2304" t="s">
        <v>10509</v>
      </c>
      <c r="V2304" t="s">
        <v>10507</v>
      </c>
      <c r="W2304" t="s">
        <v>86</v>
      </c>
      <c r="X2304" t="s">
        <v>10510</v>
      </c>
      <c r="Y2304">
        <v>0</v>
      </c>
      <c r="Z2304">
        <v>69.958333333333329</v>
      </c>
    </row>
    <row r="2305" spans="1:26">
      <c r="A2305" s="1">
        <v>2303</v>
      </c>
      <c r="B2305" t="str">
        <f>HYPERLINK("https://bugs.eclipse.org/bugs/show_bug.cgi?id=86127", "86127")</f>
        <v>86127</v>
      </c>
      <c r="C2305" t="s">
        <v>140</v>
      </c>
      <c r="D2305" t="s">
        <v>10</v>
      </c>
      <c r="E2305" t="s">
        <v>16</v>
      </c>
      <c r="F2305" t="s">
        <v>26</v>
      </c>
      <c r="L2305" t="s">
        <v>10511</v>
      </c>
      <c r="R2305" t="s">
        <v>10511</v>
      </c>
      <c r="T2305" t="s">
        <v>10512</v>
      </c>
      <c r="U2305" t="s">
        <v>10511</v>
      </c>
      <c r="V2305" t="s">
        <v>10513</v>
      </c>
      <c r="W2305" t="s">
        <v>2598</v>
      </c>
      <c r="X2305" t="s">
        <v>10514</v>
      </c>
      <c r="Y2305">
        <v>5</v>
      </c>
      <c r="Z2305">
        <v>14</v>
      </c>
    </row>
    <row r="2306" spans="1:26">
      <c r="A2306" s="1">
        <v>2304</v>
      </c>
      <c r="B2306" t="str">
        <f>HYPERLINK("https://bugs.eclipse.org/bugs/show_bug.cgi?id=86283", "86283")</f>
        <v>86283</v>
      </c>
      <c r="C2306" t="s">
        <v>56</v>
      </c>
      <c r="D2306" t="s">
        <v>10</v>
      </c>
      <c r="E2306" t="s">
        <v>14</v>
      </c>
      <c r="F2306" t="s">
        <v>26</v>
      </c>
      <c r="L2306" t="s">
        <v>10515</v>
      </c>
      <c r="P2306" t="s">
        <v>10516</v>
      </c>
      <c r="T2306" t="s">
        <v>10517</v>
      </c>
      <c r="U2306" t="s">
        <v>10515</v>
      </c>
      <c r="V2306" t="s">
        <v>10516</v>
      </c>
      <c r="W2306" t="s">
        <v>80</v>
      </c>
      <c r="X2306" t="s">
        <v>10518</v>
      </c>
      <c r="Y2306">
        <v>0</v>
      </c>
      <c r="Z2306">
        <v>1648.958333333333</v>
      </c>
    </row>
    <row r="2307" spans="1:26">
      <c r="A2307" s="1">
        <v>2305</v>
      </c>
      <c r="B2307" t="str">
        <f>HYPERLINK("https://bugs.eclipse.org/bugs/show_bug.cgi?id=86438", "86438")</f>
        <v>86438</v>
      </c>
      <c r="C2307" t="s">
        <v>25</v>
      </c>
      <c r="D2307" t="s">
        <v>25</v>
      </c>
      <c r="F2307" t="s">
        <v>460</v>
      </c>
      <c r="L2307" t="s">
        <v>10519</v>
      </c>
      <c r="P2307" t="s">
        <v>10520</v>
      </c>
      <c r="S2307" t="s">
        <v>10521</v>
      </c>
      <c r="T2307" t="s">
        <v>10522</v>
      </c>
      <c r="U2307" t="s">
        <v>10519</v>
      </c>
      <c r="V2307" t="s">
        <v>10523</v>
      </c>
      <c r="W2307" t="s">
        <v>851</v>
      </c>
      <c r="X2307" t="s">
        <v>10524</v>
      </c>
      <c r="Y2307">
        <v>0</v>
      </c>
    </row>
    <row r="2308" spans="1:26">
      <c r="A2308" s="1">
        <v>2306</v>
      </c>
      <c r="B2308" t="str">
        <f>HYPERLINK("https://bugs.eclipse.org/bugs/show_bug.cgi?id=86622", "86622")</f>
        <v>86622</v>
      </c>
      <c r="C2308" t="s">
        <v>35</v>
      </c>
      <c r="D2308" t="s">
        <v>11</v>
      </c>
      <c r="E2308" t="s">
        <v>12</v>
      </c>
      <c r="F2308" t="s">
        <v>26</v>
      </c>
      <c r="L2308" t="s">
        <v>10525</v>
      </c>
      <c r="M2308" t="s">
        <v>10526</v>
      </c>
      <c r="N2308" t="s">
        <v>10525</v>
      </c>
      <c r="S2308" t="s">
        <v>10527</v>
      </c>
      <c r="T2308" t="s">
        <v>10528</v>
      </c>
      <c r="U2308" t="s">
        <v>10529</v>
      </c>
      <c r="V2308" t="s">
        <v>10526</v>
      </c>
      <c r="W2308" t="s">
        <v>86</v>
      </c>
      <c r="X2308" t="s">
        <v>10530</v>
      </c>
      <c r="Y2308">
        <v>10</v>
      </c>
      <c r="Z2308">
        <v>14</v>
      </c>
    </row>
    <row r="2309" spans="1:26">
      <c r="A2309" s="1">
        <v>2307</v>
      </c>
      <c r="B2309" t="str">
        <f>HYPERLINK("https://bugs.eclipse.org/bugs/show_bug.cgi?id=86644", "86644")</f>
        <v>86644</v>
      </c>
      <c r="C2309" t="s">
        <v>149</v>
      </c>
      <c r="D2309" t="s">
        <v>10</v>
      </c>
      <c r="E2309" t="s">
        <v>12</v>
      </c>
      <c r="F2309" t="s">
        <v>26</v>
      </c>
      <c r="G2309" t="s">
        <v>10531</v>
      </c>
      <c r="L2309" t="s">
        <v>10532</v>
      </c>
      <c r="N2309" t="s">
        <v>10532</v>
      </c>
      <c r="T2309" t="s">
        <v>10533</v>
      </c>
      <c r="U2309" t="s">
        <v>10534</v>
      </c>
      <c r="V2309" t="s">
        <v>10532</v>
      </c>
      <c r="W2309" t="s">
        <v>851</v>
      </c>
      <c r="X2309" t="s">
        <v>10535</v>
      </c>
      <c r="Y2309">
        <v>0</v>
      </c>
      <c r="Z2309">
        <v>71.958333333333329</v>
      </c>
    </row>
    <row r="2310" spans="1:26">
      <c r="A2310" s="1">
        <v>2308</v>
      </c>
      <c r="B2310" t="str">
        <f>HYPERLINK("https://bugs.eclipse.org/bugs/show_bug.cgi?id=86699", "86699")</f>
        <v>86699</v>
      </c>
      <c r="C2310" t="s">
        <v>35</v>
      </c>
      <c r="D2310" t="s">
        <v>11</v>
      </c>
      <c r="E2310" t="s">
        <v>12</v>
      </c>
      <c r="F2310" t="s">
        <v>26</v>
      </c>
      <c r="L2310" t="s">
        <v>10536</v>
      </c>
      <c r="M2310" t="s">
        <v>10537</v>
      </c>
      <c r="N2310" t="s">
        <v>10536</v>
      </c>
      <c r="T2310" t="s">
        <v>10538</v>
      </c>
      <c r="U2310" t="s">
        <v>10539</v>
      </c>
      <c r="V2310" t="s">
        <v>10537</v>
      </c>
      <c r="W2310" t="s">
        <v>86</v>
      </c>
      <c r="X2310" t="s">
        <v>10540</v>
      </c>
      <c r="Y2310">
        <v>0</v>
      </c>
      <c r="Z2310">
        <v>103.9583333333333</v>
      </c>
    </row>
    <row r="2311" spans="1:26">
      <c r="A2311" s="1">
        <v>2309</v>
      </c>
      <c r="B2311" t="str">
        <f>HYPERLINK("https://bugs.eclipse.org/bugs/show_bug.cgi?id=86845", "86845")</f>
        <v>86845</v>
      </c>
      <c r="C2311" t="s">
        <v>191</v>
      </c>
      <c r="D2311" t="s">
        <v>192</v>
      </c>
      <c r="E2311" t="s">
        <v>14</v>
      </c>
      <c r="F2311" t="s">
        <v>26</v>
      </c>
      <c r="G2311" t="s">
        <v>10541</v>
      </c>
      <c r="L2311" t="s">
        <v>10542</v>
      </c>
      <c r="P2311" t="s">
        <v>10543</v>
      </c>
      <c r="S2311" t="s">
        <v>10544</v>
      </c>
      <c r="T2311" t="s">
        <v>10545</v>
      </c>
      <c r="U2311" t="s">
        <v>10546</v>
      </c>
      <c r="V2311" t="s">
        <v>10543</v>
      </c>
      <c r="W2311" t="s">
        <v>65</v>
      </c>
      <c r="X2311" t="s">
        <v>10547</v>
      </c>
      <c r="Y2311">
        <v>7</v>
      </c>
      <c r="Z2311">
        <v>5466</v>
      </c>
    </row>
    <row r="2312" spans="1:26">
      <c r="A2312" s="1">
        <v>2310</v>
      </c>
      <c r="B2312" t="str">
        <f>HYPERLINK("https://bugs.eclipse.org/bugs/show_bug.cgi?id=86896", "86896")</f>
        <v>86896</v>
      </c>
      <c r="C2312" t="s">
        <v>149</v>
      </c>
      <c r="D2312" t="s">
        <v>10</v>
      </c>
      <c r="E2312" t="s">
        <v>12</v>
      </c>
      <c r="F2312" t="s">
        <v>26</v>
      </c>
      <c r="L2312" t="s">
        <v>10548</v>
      </c>
      <c r="N2312" t="s">
        <v>10548</v>
      </c>
      <c r="T2312" t="s">
        <v>10549</v>
      </c>
      <c r="U2312" t="s">
        <v>10550</v>
      </c>
      <c r="V2312" t="s">
        <v>10548</v>
      </c>
      <c r="W2312" t="s">
        <v>86</v>
      </c>
      <c r="X2312" t="s">
        <v>10551</v>
      </c>
      <c r="Y2312">
        <v>0</v>
      </c>
      <c r="Z2312">
        <v>6</v>
      </c>
    </row>
    <row r="2313" spans="1:26">
      <c r="A2313" s="1">
        <v>2311</v>
      </c>
      <c r="B2313" t="str">
        <f>HYPERLINK("https://bugs.eclipse.org/bugs/show_bug.cgi?id=86968", "86968")</f>
        <v>86968</v>
      </c>
      <c r="C2313" t="s">
        <v>35</v>
      </c>
      <c r="D2313" t="s">
        <v>11</v>
      </c>
      <c r="E2313" t="s">
        <v>12</v>
      </c>
      <c r="F2313" t="s">
        <v>26</v>
      </c>
      <c r="L2313" t="s">
        <v>10552</v>
      </c>
      <c r="M2313" t="s">
        <v>10553</v>
      </c>
      <c r="N2313" t="s">
        <v>10552</v>
      </c>
      <c r="T2313" t="s">
        <v>10554</v>
      </c>
      <c r="U2313" t="s">
        <v>10555</v>
      </c>
      <c r="V2313" t="s">
        <v>10553</v>
      </c>
      <c r="W2313" t="s">
        <v>86</v>
      </c>
      <c r="X2313" t="s">
        <v>10556</v>
      </c>
      <c r="Y2313">
        <v>0</v>
      </c>
      <c r="Z2313">
        <v>85.958333333333329</v>
      </c>
    </row>
    <row r="2314" spans="1:26">
      <c r="A2314" s="1">
        <v>2312</v>
      </c>
      <c r="B2314" t="str">
        <f>HYPERLINK("https://bugs.eclipse.org/bugs/show_bug.cgi?id=86987", "86987")</f>
        <v>86987</v>
      </c>
      <c r="C2314" t="s">
        <v>56</v>
      </c>
      <c r="D2314" t="s">
        <v>10</v>
      </c>
      <c r="E2314" t="s">
        <v>14</v>
      </c>
      <c r="F2314" t="s">
        <v>26</v>
      </c>
      <c r="L2314" t="s">
        <v>10557</v>
      </c>
      <c r="P2314" t="s">
        <v>10557</v>
      </c>
      <c r="T2314" t="s">
        <v>10558</v>
      </c>
      <c r="U2314" t="s">
        <v>10559</v>
      </c>
      <c r="V2314" t="s">
        <v>10557</v>
      </c>
      <c r="W2314" t="s">
        <v>49</v>
      </c>
      <c r="X2314" t="s">
        <v>10560</v>
      </c>
      <c r="Y2314">
        <v>2</v>
      </c>
      <c r="Z2314">
        <v>81.958333333333329</v>
      </c>
    </row>
    <row r="2315" spans="1:26">
      <c r="A2315" s="1">
        <v>2313</v>
      </c>
      <c r="B2315" t="str">
        <f>HYPERLINK("https://bugs.eclipse.org/bugs/show_bug.cgi?id=87056", "87056")</f>
        <v>87056</v>
      </c>
      <c r="C2315" t="s">
        <v>2160</v>
      </c>
      <c r="D2315" t="s">
        <v>192</v>
      </c>
      <c r="E2315" t="s">
        <v>16</v>
      </c>
      <c r="F2315" t="s">
        <v>26</v>
      </c>
      <c r="R2315" t="s">
        <v>10561</v>
      </c>
      <c r="T2315" t="s">
        <v>10562</v>
      </c>
      <c r="U2315" t="s">
        <v>10563</v>
      </c>
      <c r="V2315" t="s">
        <v>10561</v>
      </c>
      <c r="W2315" t="s">
        <v>5069</v>
      </c>
      <c r="X2315" t="s">
        <v>10564</v>
      </c>
      <c r="Y2315">
        <v>0</v>
      </c>
      <c r="Z2315">
        <v>5597.958333333333</v>
      </c>
    </row>
    <row r="2316" spans="1:26">
      <c r="A2316" s="1">
        <v>2314</v>
      </c>
      <c r="B2316" t="str">
        <f>HYPERLINK("https://bugs.eclipse.org/bugs/show_bug.cgi?id=87077", "87077")</f>
        <v>87077</v>
      </c>
      <c r="C2316" t="s">
        <v>25</v>
      </c>
      <c r="D2316" t="s">
        <v>25</v>
      </c>
      <c r="F2316" t="s">
        <v>26</v>
      </c>
      <c r="T2316" t="s">
        <v>10565</v>
      </c>
      <c r="U2316" t="s">
        <v>10566</v>
      </c>
      <c r="V2316" t="s">
        <v>10567</v>
      </c>
      <c r="W2316" t="s">
        <v>65</v>
      </c>
      <c r="X2316" t="s">
        <v>10568</v>
      </c>
      <c r="Y2316">
        <v>0</v>
      </c>
    </row>
    <row r="2317" spans="1:26">
      <c r="A2317" s="1">
        <v>2315</v>
      </c>
      <c r="B2317" t="str">
        <f>HYPERLINK("https://bugs.eclipse.org/bugs/show_bug.cgi?id=87080", "87080")</f>
        <v>87080</v>
      </c>
      <c r="C2317" t="s">
        <v>149</v>
      </c>
      <c r="D2317" t="s">
        <v>10</v>
      </c>
      <c r="E2317" t="s">
        <v>12</v>
      </c>
      <c r="F2317" t="s">
        <v>26</v>
      </c>
      <c r="L2317" t="s">
        <v>10569</v>
      </c>
      <c r="N2317" t="s">
        <v>10569</v>
      </c>
      <c r="T2317" t="s">
        <v>10570</v>
      </c>
      <c r="U2317" t="s">
        <v>10571</v>
      </c>
      <c r="V2317" t="s">
        <v>10569</v>
      </c>
      <c r="W2317" t="s">
        <v>851</v>
      </c>
      <c r="X2317" t="s">
        <v>10572</v>
      </c>
      <c r="Y2317">
        <v>0</v>
      </c>
      <c r="Z2317">
        <v>61.958333333333343</v>
      </c>
    </row>
    <row r="2318" spans="1:26">
      <c r="A2318" s="1">
        <v>2316</v>
      </c>
      <c r="B2318" t="str">
        <f>HYPERLINK("https://bugs.eclipse.org/bugs/show_bug.cgi?id=87169", "87169")</f>
        <v>87169</v>
      </c>
      <c r="C2318" t="s">
        <v>10573</v>
      </c>
      <c r="D2318" t="s">
        <v>10</v>
      </c>
      <c r="E2318" t="s">
        <v>15</v>
      </c>
      <c r="F2318" t="s">
        <v>150</v>
      </c>
      <c r="L2318" t="s">
        <v>10574</v>
      </c>
      <c r="Q2318" t="s">
        <v>10574</v>
      </c>
      <c r="T2318" t="s">
        <v>10575</v>
      </c>
      <c r="U2318" t="s">
        <v>10576</v>
      </c>
      <c r="V2318" t="s">
        <v>10574</v>
      </c>
      <c r="W2318" t="s">
        <v>2668</v>
      </c>
      <c r="X2318" t="s">
        <v>10577</v>
      </c>
      <c r="Y2318">
        <v>0</v>
      </c>
      <c r="Z2318">
        <v>3</v>
      </c>
    </row>
    <row r="2319" spans="1:26">
      <c r="A2319" s="1">
        <v>2317</v>
      </c>
      <c r="B2319" t="str">
        <f>HYPERLINK("https://bugs.eclipse.org/bugs/show_bug.cgi?id=87172", "87172")</f>
        <v>87172</v>
      </c>
      <c r="C2319" t="s">
        <v>140</v>
      </c>
      <c r="D2319" t="s">
        <v>10</v>
      </c>
      <c r="E2319" t="s">
        <v>16</v>
      </c>
      <c r="F2319" t="s">
        <v>26</v>
      </c>
      <c r="L2319" t="s">
        <v>10578</v>
      </c>
      <c r="R2319" t="s">
        <v>10578</v>
      </c>
      <c r="T2319" t="s">
        <v>10579</v>
      </c>
      <c r="U2319" t="s">
        <v>10580</v>
      </c>
      <c r="V2319" t="s">
        <v>10578</v>
      </c>
      <c r="W2319" t="s">
        <v>851</v>
      </c>
      <c r="X2319" t="s">
        <v>10581</v>
      </c>
      <c r="Y2319">
        <v>0</v>
      </c>
      <c r="Z2319">
        <v>20</v>
      </c>
    </row>
    <row r="2320" spans="1:26">
      <c r="A2320" s="1">
        <v>2318</v>
      </c>
      <c r="B2320" t="str">
        <f>HYPERLINK("https://bugs.eclipse.org/bugs/show_bug.cgi?id=87175", "87175")</f>
        <v>87175</v>
      </c>
      <c r="C2320" t="s">
        <v>149</v>
      </c>
      <c r="D2320" t="s">
        <v>10</v>
      </c>
      <c r="E2320" t="s">
        <v>12</v>
      </c>
      <c r="F2320" t="s">
        <v>26</v>
      </c>
      <c r="G2320" t="s">
        <v>10582</v>
      </c>
      <c r="L2320" t="s">
        <v>10583</v>
      </c>
      <c r="N2320" t="s">
        <v>10583</v>
      </c>
      <c r="T2320" t="s">
        <v>10584</v>
      </c>
      <c r="U2320" t="s">
        <v>10585</v>
      </c>
      <c r="V2320" t="s">
        <v>10583</v>
      </c>
      <c r="W2320" t="s">
        <v>86</v>
      </c>
      <c r="X2320" t="s">
        <v>10586</v>
      </c>
      <c r="Y2320">
        <v>3</v>
      </c>
      <c r="Z2320">
        <v>59.958333333333343</v>
      </c>
    </row>
    <row r="2321" spans="1:26">
      <c r="A2321" s="1">
        <v>2319</v>
      </c>
      <c r="B2321" t="str">
        <f>HYPERLINK("https://bugs.eclipse.org/bugs/show_bug.cgi?id=87227", "87227")</f>
        <v>87227</v>
      </c>
      <c r="C2321" t="s">
        <v>10468</v>
      </c>
      <c r="D2321" t="s">
        <v>10</v>
      </c>
      <c r="E2321" t="s">
        <v>15</v>
      </c>
      <c r="F2321" t="s">
        <v>26</v>
      </c>
      <c r="L2321" t="s">
        <v>9797</v>
      </c>
      <c r="Q2321" t="s">
        <v>9797</v>
      </c>
      <c r="T2321" t="s">
        <v>10587</v>
      </c>
      <c r="U2321" t="s">
        <v>10588</v>
      </c>
      <c r="V2321" t="s">
        <v>9797</v>
      </c>
      <c r="W2321" t="s">
        <v>851</v>
      </c>
      <c r="X2321" t="s">
        <v>10589</v>
      </c>
      <c r="Y2321">
        <v>1</v>
      </c>
      <c r="Z2321">
        <v>2</v>
      </c>
    </row>
    <row r="2322" spans="1:26">
      <c r="A2322" s="1">
        <v>2320</v>
      </c>
      <c r="B2322" t="str">
        <f>HYPERLINK("https://bugs.eclipse.org/bugs/show_bug.cgi?id=87252", "87252")</f>
        <v>87252</v>
      </c>
      <c r="C2322" t="s">
        <v>25</v>
      </c>
      <c r="D2322" t="s">
        <v>25</v>
      </c>
      <c r="F2322" t="s">
        <v>26</v>
      </c>
      <c r="T2322" t="s">
        <v>10590</v>
      </c>
      <c r="U2322" t="s">
        <v>10591</v>
      </c>
      <c r="V2322" t="s">
        <v>10592</v>
      </c>
      <c r="W2322" t="s">
        <v>851</v>
      </c>
      <c r="X2322" t="s">
        <v>10593</v>
      </c>
      <c r="Y2322">
        <v>484.95833333333331</v>
      </c>
    </row>
    <row r="2323" spans="1:26">
      <c r="A2323" s="1">
        <v>2321</v>
      </c>
      <c r="B2323" t="str">
        <f>HYPERLINK("https://bugs.eclipse.org/bugs/show_bug.cgi?id=87256", "87256")</f>
        <v>87256</v>
      </c>
      <c r="C2323" t="s">
        <v>10594</v>
      </c>
      <c r="D2323" t="s">
        <v>11</v>
      </c>
      <c r="E2323" t="s">
        <v>16</v>
      </c>
      <c r="F2323" t="s">
        <v>26</v>
      </c>
      <c r="L2323" t="s">
        <v>10595</v>
      </c>
      <c r="M2323" t="s">
        <v>10596</v>
      </c>
      <c r="R2323" t="s">
        <v>10595</v>
      </c>
      <c r="T2323" t="s">
        <v>10597</v>
      </c>
      <c r="U2323" t="s">
        <v>10598</v>
      </c>
      <c r="V2323" t="s">
        <v>10596</v>
      </c>
      <c r="W2323" t="s">
        <v>86</v>
      </c>
      <c r="X2323" t="s">
        <v>10599</v>
      </c>
      <c r="Y2323">
        <v>0</v>
      </c>
      <c r="Z2323">
        <v>80.958333333333329</v>
      </c>
    </row>
    <row r="2324" spans="1:26">
      <c r="A2324" s="1">
        <v>2322</v>
      </c>
      <c r="B2324" t="str">
        <f>HYPERLINK("https://bugs.eclipse.org/bugs/show_bug.cgi?id=87311", "87311")</f>
        <v>87311</v>
      </c>
      <c r="C2324" t="s">
        <v>149</v>
      </c>
      <c r="D2324" t="s">
        <v>10</v>
      </c>
      <c r="E2324" t="s">
        <v>12</v>
      </c>
      <c r="F2324" t="s">
        <v>26</v>
      </c>
      <c r="L2324" t="s">
        <v>10600</v>
      </c>
      <c r="N2324" t="s">
        <v>10600</v>
      </c>
      <c r="T2324" t="s">
        <v>10601</v>
      </c>
      <c r="U2324" t="s">
        <v>10602</v>
      </c>
      <c r="V2324" t="s">
        <v>10600</v>
      </c>
      <c r="W2324" t="s">
        <v>86</v>
      </c>
      <c r="X2324" t="s">
        <v>10603</v>
      </c>
      <c r="Y2324">
        <v>1</v>
      </c>
      <c r="Z2324">
        <v>1</v>
      </c>
    </row>
    <row r="2325" spans="1:26">
      <c r="A2325" s="1">
        <v>2323</v>
      </c>
      <c r="B2325" t="str">
        <f>HYPERLINK("https://bugs.eclipse.org/bugs/show_bug.cgi?id=87339", "87339")</f>
        <v>87339</v>
      </c>
      <c r="C2325" t="s">
        <v>8071</v>
      </c>
      <c r="D2325" t="s">
        <v>10</v>
      </c>
      <c r="E2325" t="s">
        <v>15</v>
      </c>
      <c r="F2325" t="s">
        <v>26</v>
      </c>
      <c r="L2325" t="s">
        <v>10604</v>
      </c>
      <c r="Q2325" t="s">
        <v>10604</v>
      </c>
      <c r="T2325" t="s">
        <v>10605</v>
      </c>
      <c r="U2325" t="s">
        <v>10606</v>
      </c>
      <c r="V2325" t="s">
        <v>10604</v>
      </c>
      <c r="W2325" t="s">
        <v>86</v>
      </c>
      <c r="X2325" t="s">
        <v>10607</v>
      </c>
      <c r="Y2325">
        <v>0</v>
      </c>
      <c r="Z2325">
        <v>1</v>
      </c>
    </row>
    <row r="2326" spans="1:26">
      <c r="A2326" s="1">
        <v>2324</v>
      </c>
      <c r="B2326" t="str">
        <f>HYPERLINK("https://bugs.eclipse.org/bugs/show_bug.cgi?id=87386", "87386")</f>
        <v>87386</v>
      </c>
      <c r="C2326" t="s">
        <v>140</v>
      </c>
      <c r="D2326" t="s">
        <v>10</v>
      </c>
      <c r="E2326" t="s">
        <v>16</v>
      </c>
      <c r="F2326" t="s">
        <v>26</v>
      </c>
      <c r="L2326" t="s">
        <v>10608</v>
      </c>
      <c r="R2326" t="s">
        <v>10608</v>
      </c>
      <c r="T2326" t="s">
        <v>10609</v>
      </c>
      <c r="U2326" t="s">
        <v>10610</v>
      </c>
      <c r="V2326" t="s">
        <v>10608</v>
      </c>
      <c r="W2326" t="s">
        <v>2668</v>
      </c>
      <c r="X2326" t="s">
        <v>10611</v>
      </c>
      <c r="Y2326">
        <v>0</v>
      </c>
      <c r="Z2326">
        <v>24</v>
      </c>
    </row>
    <row r="2327" spans="1:26">
      <c r="A2327" s="1">
        <v>2325</v>
      </c>
      <c r="B2327" t="str">
        <f>HYPERLINK("https://bugs.eclipse.org/bugs/show_bug.cgi?id=87399", "87399")</f>
        <v>87399</v>
      </c>
      <c r="C2327" t="s">
        <v>88</v>
      </c>
      <c r="D2327" t="s">
        <v>10</v>
      </c>
      <c r="E2327" t="s">
        <v>13</v>
      </c>
      <c r="F2327" t="s">
        <v>26</v>
      </c>
      <c r="L2327" t="s">
        <v>10612</v>
      </c>
      <c r="O2327" t="s">
        <v>10613</v>
      </c>
      <c r="T2327" t="s">
        <v>10614</v>
      </c>
      <c r="U2327" t="s">
        <v>10615</v>
      </c>
      <c r="V2327" t="s">
        <v>10613</v>
      </c>
      <c r="W2327" t="s">
        <v>75</v>
      </c>
      <c r="X2327" t="s">
        <v>10616</v>
      </c>
      <c r="Y2327">
        <v>0</v>
      </c>
      <c r="Z2327">
        <v>1635.958333333333</v>
      </c>
    </row>
    <row r="2328" spans="1:26">
      <c r="A2328" s="1">
        <v>2326</v>
      </c>
      <c r="B2328" t="str">
        <f>HYPERLINK("https://bugs.eclipse.org/bugs/show_bug.cgi?id=87483", "87483")</f>
        <v>87483</v>
      </c>
      <c r="C2328" t="s">
        <v>149</v>
      </c>
      <c r="D2328" t="s">
        <v>10</v>
      </c>
      <c r="E2328" t="s">
        <v>12</v>
      </c>
      <c r="F2328" t="s">
        <v>26</v>
      </c>
      <c r="L2328" t="s">
        <v>10617</v>
      </c>
      <c r="N2328" t="s">
        <v>10617</v>
      </c>
      <c r="T2328" t="s">
        <v>10618</v>
      </c>
      <c r="U2328" t="s">
        <v>10619</v>
      </c>
      <c r="V2328" t="s">
        <v>10617</v>
      </c>
      <c r="W2328" t="s">
        <v>2668</v>
      </c>
      <c r="X2328" t="s">
        <v>10620</v>
      </c>
      <c r="Y2328">
        <v>0</v>
      </c>
      <c r="Z2328">
        <v>7</v>
      </c>
    </row>
    <row r="2329" spans="1:26">
      <c r="A2329" s="1">
        <v>2327</v>
      </c>
      <c r="B2329" t="str">
        <f>HYPERLINK("https://bugs.eclipse.org/bugs/show_bug.cgi?id=87492", "87492")</f>
        <v>87492</v>
      </c>
      <c r="C2329" t="s">
        <v>149</v>
      </c>
      <c r="D2329" t="s">
        <v>10</v>
      </c>
      <c r="E2329" t="s">
        <v>12</v>
      </c>
      <c r="F2329" t="s">
        <v>26</v>
      </c>
      <c r="L2329" t="s">
        <v>10621</v>
      </c>
      <c r="N2329" t="s">
        <v>10621</v>
      </c>
      <c r="T2329" t="s">
        <v>10622</v>
      </c>
      <c r="U2329" t="s">
        <v>10623</v>
      </c>
      <c r="V2329" t="s">
        <v>10621</v>
      </c>
      <c r="W2329" t="s">
        <v>851</v>
      </c>
      <c r="X2329" t="s">
        <v>10624</v>
      </c>
      <c r="Y2329">
        <v>112.9583333333333</v>
      </c>
      <c r="Z2329">
        <v>363</v>
      </c>
    </row>
    <row r="2330" spans="1:26">
      <c r="A2330" s="1">
        <v>2328</v>
      </c>
      <c r="B2330" t="str">
        <f>HYPERLINK("https://bugs.eclipse.org/bugs/show_bug.cgi?id=87493", "87493")</f>
        <v>87493</v>
      </c>
      <c r="C2330" t="s">
        <v>149</v>
      </c>
      <c r="D2330" t="s">
        <v>10</v>
      </c>
      <c r="E2330" t="s">
        <v>12</v>
      </c>
      <c r="F2330" t="s">
        <v>150</v>
      </c>
      <c r="L2330" t="s">
        <v>10625</v>
      </c>
      <c r="N2330" t="s">
        <v>10625</v>
      </c>
      <c r="T2330" t="s">
        <v>10626</v>
      </c>
      <c r="U2330" t="s">
        <v>10627</v>
      </c>
      <c r="V2330" t="s">
        <v>10625</v>
      </c>
      <c r="W2330" t="s">
        <v>2668</v>
      </c>
      <c r="X2330" t="s">
        <v>10628</v>
      </c>
      <c r="Y2330">
        <v>0</v>
      </c>
      <c r="Z2330">
        <v>36.958333333333343</v>
      </c>
    </row>
    <row r="2331" spans="1:26">
      <c r="A2331" s="1">
        <v>2329</v>
      </c>
      <c r="B2331" t="str">
        <f>HYPERLINK("https://bugs.eclipse.org/bugs/show_bug.cgi?id=87551", "87551")</f>
        <v>87551</v>
      </c>
      <c r="C2331" t="s">
        <v>56</v>
      </c>
      <c r="D2331" t="s">
        <v>10</v>
      </c>
      <c r="E2331" t="s">
        <v>14</v>
      </c>
      <c r="F2331" t="s">
        <v>26</v>
      </c>
      <c r="G2331" t="s">
        <v>10629</v>
      </c>
      <c r="L2331" t="s">
        <v>10630</v>
      </c>
      <c r="P2331" t="s">
        <v>10631</v>
      </c>
      <c r="T2331" t="s">
        <v>10632</v>
      </c>
      <c r="U2331" t="s">
        <v>10633</v>
      </c>
      <c r="V2331" t="s">
        <v>10631</v>
      </c>
      <c r="W2331" t="s">
        <v>80</v>
      </c>
      <c r="X2331" t="s">
        <v>10634</v>
      </c>
      <c r="Y2331">
        <v>0</v>
      </c>
      <c r="Z2331">
        <v>1634.958333333333</v>
      </c>
    </row>
    <row r="2332" spans="1:26">
      <c r="A2332" s="1">
        <v>2330</v>
      </c>
      <c r="B2332" t="str">
        <f>HYPERLINK("https://bugs.eclipse.org/bugs/show_bug.cgi?id=87620", "87620")</f>
        <v>87620</v>
      </c>
      <c r="C2332" t="s">
        <v>149</v>
      </c>
      <c r="D2332" t="s">
        <v>10</v>
      </c>
      <c r="E2332" t="s">
        <v>12</v>
      </c>
      <c r="F2332" t="s">
        <v>26</v>
      </c>
      <c r="L2332" t="s">
        <v>10635</v>
      </c>
      <c r="N2332" t="s">
        <v>10635</v>
      </c>
      <c r="T2332" t="s">
        <v>10636</v>
      </c>
      <c r="U2332" t="s">
        <v>10637</v>
      </c>
      <c r="V2332" t="s">
        <v>10635</v>
      </c>
      <c r="W2332" t="s">
        <v>86</v>
      </c>
      <c r="X2332" t="s">
        <v>10638</v>
      </c>
      <c r="Y2332">
        <v>1</v>
      </c>
      <c r="Z2332">
        <v>1</v>
      </c>
    </row>
    <row r="2333" spans="1:26">
      <c r="A2333" s="1">
        <v>2331</v>
      </c>
      <c r="B2333" t="str">
        <f>HYPERLINK("https://bugs.eclipse.org/bugs/show_bug.cgi?id=87641", "87641")</f>
        <v>87641</v>
      </c>
      <c r="C2333" t="s">
        <v>88</v>
      </c>
      <c r="D2333" t="s">
        <v>10</v>
      </c>
      <c r="E2333" t="s">
        <v>13</v>
      </c>
      <c r="F2333" t="s">
        <v>26</v>
      </c>
      <c r="L2333" t="s">
        <v>10639</v>
      </c>
      <c r="O2333" t="s">
        <v>10640</v>
      </c>
      <c r="T2333" t="s">
        <v>10641</v>
      </c>
      <c r="U2333" t="s">
        <v>10642</v>
      </c>
      <c r="V2333" t="s">
        <v>10640</v>
      </c>
      <c r="W2333" t="s">
        <v>75</v>
      </c>
      <c r="X2333" t="s">
        <v>10643</v>
      </c>
      <c r="Y2333">
        <v>0</v>
      </c>
      <c r="Z2333">
        <v>1633.958333333333</v>
      </c>
    </row>
    <row r="2334" spans="1:26">
      <c r="A2334" s="1">
        <v>2332</v>
      </c>
      <c r="B2334" t="str">
        <f>HYPERLINK("https://bugs.eclipse.org/bugs/show_bug.cgi?id=87764", "87764")</f>
        <v>87764</v>
      </c>
      <c r="C2334" t="s">
        <v>149</v>
      </c>
      <c r="D2334" t="s">
        <v>10</v>
      </c>
      <c r="E2334" t="s">
        <v>12</v>
      </c>
      <c r="F2334" t="s">
        <v>26</v>
      </c>
      <c r="L2334" t="s">
        <v>10644</v>
      </c>
      <c r="N2334" t="s">
        <v>10644</v>
      </c>
      <c r="T2334" t="s">
        <v>10645</v>
      </c>
      <c r="U2334" t="s">
        <v>10646</v>
      </c>
      <c r="V2334" t="s">
        <v>10644</v>
      </c>
      <c r="W2334" t="s">
        <v>86</v>
      </c>
      <c r="X2334" t="s">
        <v>10647</v>
      </c>
      <c r="Y2334">
        <v>0</v>
      </c>
      <c r="Z2334">
        <v>0</v>
      </c>
    </row>
    <row r="2335" spans="1:26">
      <c r="A2335" s="1">
        <v>2333</v>
      </c>
      <c r="B2335" t="str">
        <f>HYPERLINK("https://bugs.eclipse.org/bugs/show_bug.cgi?id=87871", "87871")</f>
        <v>87871</v>
      </c>
      <c r="C2335" t="s">
        <v>10648</v>
      </c>
      <c r="D2335" t="s">
        <v>10</v>
      </c>
      <c r="E2335" t="s">
        <v>15</v>
      </c>
      <c r="F2335" t="s">
        <v>26</v>
      </c>
      <c r="L2335" t="s">
        <v>10649</v>
      </c>
      <c r="Q2335" t="s">
        <v>10649</v>
      </c>
      <c r="T2335" t="s">
        <v>10650</v>
      </c>
      <c r="U2335" t="s">
        <v>10651</v>
      </c>
      <c r="V2335" t="s">
        <v>10649</v>
      </c>
      <c r="W2335" t="s">
        <v>86</v>
      </c>
      <c r="X2335" t="s">
        <v>10652</v>
      </c>
      <c r="Y2335">
        <v>0</v>
      </c>
      <c r="Z2335">
        <v>1</v>
      </c>
    </row>
    <row r="2336" spans="1:26">
      <c r="A2336" s="1">
        <v>2334</v>
      </c>
      <c r="B2336" t="str">
        <f>HYPERLINK("https://bugs.eclipse.org/bugs/show_bug.cgi?id=87920", "87920")</f>
        <v>87920</v>
      </c>
      <c r="C2336" t="s">
        <v>149</v>
      </c>
      <c r="D2336" t="s">
        <v>10</v>
      </c>
      <c r="E2336" t="s">
        <v>12</v>
      </c>
      <c r="F2336" t="s">
        <v>26</v>
      </c>
      <c r="L2336" t="s">
        <v>10653</v>
      </c>
      <c r="N2336" t="s">
        <v>10653</v>
      </c>
      <c r="T2336" t="s">
        <v>10654</v>
      </c>
      <c r="U2336" t="s">
        <v>10655</v>
      </c>
      <c r="V2336" t="s">
        <v>10653</v>
      </c>
      <c r="W2336" t="s">
        <v>86</v>
      </c>
      <c r="X2336" t="s">
        <v>10656</v>
      </c>
      <c r="Y2336">
        <v>0</v>
      </c>
      <c r="Z2336">
        <v>48.958333333333343</v>
      </c>
    </row>
    <row r="2337" spans="1:26">
      <c r="A2337" s="1">
        <v>2335</v>
      </c>
      <c r="B2337" t="str">
        <f>HYPERLINK("https://bugs.eclipse.org/bugs/show_bug.cgi?id=87921", "87921")</f>
        <v>87921</v>
      </c>
      <c r="C2337" t="s">
        <v>149</v>
      </c>
      <c r="D2337" t="s">
        <v>10</v>
      </c>
      <c r="E2337" t="s">
        <v>12</v>
      </c>
      <c r="F2337" t="s">
        <v>26</v>
      </c>
      <c r="L2337" t="s">
        <v>10657</v>
      </c>
      <c r="N2337" t="s">
        <v>10657</v>
      </c>
      <c r="T2337" t="s">
        <v>10658</v>
      </c>
      <c r="U2337" t="s">
        <v>10659</v>
      </c>
      <c r="V2337" t="s">
        <v>10657</v>
      </c>
      <c r="W2337" t="s">
        <v>2668</v>
      </c>
      <c r="X2337" t="s">
        <v>10660</v>
      </c>
      <c r="Y2337">
        <v>0</v>
      </c>
      <c r="Z2337">
        <v>2</v>
      </c>
    </row>
    <row r="2338" spans="1:26">
      <c r="A2338" s="1">
        <v>2336</v>
      </c>
      <c r="B2338" t="str">
        <f>HYPERLINK("https://bugs.eclipse.org/bugs/show_bug.cgi?id=87922", "87922")</f>
        <v>87922</v>
      </c>
      <c r="C2338" t="s">
        <v>149</v>
      </c>
      <c r="D2338" t="s">
        <v>10</v>
      </c>
      <c r="E2338" t="s">
        <v>12</v>
      </c>
      <c r="F2338" t="s">
        <v>26</v>
      </c>
      <c r="L2338" t="s">
        <v>10661</v>
      </c>
      <c r="N2338" t="s">
        <v>10661</v>
      </c>
      <c r="T2338" t="s">
        <v>10662</v>
      </c>
      <c r="U2338" t="s">
        <v>10663</v>
      </c>
      <c r="V2338" t="s">
        <v>10661</v>
      </c>
      <c r="W2338" t="s">
        <v>2668</v>
      </c>
      <c r="X2338" t="s">
        <v>10664</v>
      </c>
      <c r="Y2338">
        <v>0</v>
      </c>
      <c r="Z2338">
        <v>2</v>
      </c>
    </row>
    <row r="2339" spans="1:26">
      <c r="A2339" s="1">
        <v>2337</v>
      </c>
      <c r="B2339" t="str">
        <f>HYPERLINK("https://bugs.eclipse.org/bugs/show_bug.cgi?id=88020", "88020")</f>
        <v>88020</v>
      </c>
      <c r="C2339" t="s">
        <v>149</v>
      </c>
      <c r="D2339" t="s">
        <v>10</v>
      </c>
      <c r="E2339" t="s">
        <v>12</v>
      </c>
      <c r="F2339" t="s">
        <v>26</v>
      </c>
      <c r="L2339" t="s">
        <v>10665</v>
      </c>
      <c r="N2339" t="s">
        <v>10665</v>
      </c>
      <c r="T2339" t="s">
        <v>10666</v>
      </c>
      <c r="U2339" t="s">
        <v>10667</v>
      </c>
      <c r="V2339" t="s">
        <v>10665</v>
      </c>
      <c r="W2339" t="s">
        <v>2668</v>
      </c>
      <c r="X2339" t="s">
        <v>10668</v>
      </c>
      <c r="Y2339">
        <v>0</v>
      </c>
      <c r="Z2339">
        <v>1</v>
      </c>
    </row>
    <row r="2340" spans="1:26">
      <c r="A2340" s="1">
        <v>2338</v>
      </c>
      <c r="B2340" t="str">
        <f>HYPERLINK("https://bugs.eclipse.org/bugs/show_bug.cgi?id=88055", "88055")</f>
        <v>88055</v>
      </c>
      <c r="C2340" t="s">
        <v>10021</v>
      </c>
      <c r="D2340" t="s">
        <v>10</v>
      </c>
      <c r="E2340" t="s">
        <v>15</v>
      </c>
      <c r="F2340" t="s">
        <v>26</v>
      </c>
      <c r="L2340" t="s">
        <v>10669</v>
      </c>
      <c r="Q2340" t="s">
        <v>10669</v>
      </c>
      <c r="T2340" t="s">
        <v>10670</v>
      </c>
      <c r="U2340" t="s">
        <v>10669</v>
      </c>
      <c r="V2340" t="s">
        <v>10669</v>
      </c>
      <c r="W2340" t="s">
        <v>86</v>
      </c>
      <c r="X2340" t="s">
        <v>10671</v>
      </c>
      <c r="Y2340">
        <v>0</v>
      </c>
      <c r="Z2340">
        <v>0</v>
      </c>
    </row>
    <row r="2341" spans="1:26">
      <c r="A2341" s="1">
        <v>2339</v>
      </c>
      <c r="B2341" t="str">
        <f>HYPERLINK("https://bugs.eclipse.org/bugs/show_bug.cgi?id=88117", "88117")</f>
        <v>88117</v>
      </c>
      <c r="C2341" t="s">
        <v>4692</v>
      </c>
      <c r="D2341" t="s">
        <v>4692</v>
      </c>
      <c r="F2341" t="s">
        <v>26</v>
      </c>
      <c r="T2341" t="s">
        <v>10672</v>
      </c>
      <c r="U2341" t="s">
        <v>10673</v>
      </c>
      <c r="V2341" t="s">
        <v>10674</v>
      </c>
      <c r="W2341" t="s">
        <v>49</v>
      </c>
      <c r="X2341" t="s">
        <v>10675</v>
      </c>
      <c r="Y2341">
        <v>0</v>
      </c>
    </row>
    <row r="2342" spans="1:26">
      <c r="A2342" s="1">
        <v>2340</v>
      </c>
      <c r="B2342" t="str">
        <f>HYPERLINK("https://bugs.eclipse.org/bugs/show_bug.cgi?id=88167", "88167")</f>
        <v>88167</v>
      </c>
      <c r="C2342" t="s">
        <v>149</v>
      </c>
      <c r="D2342" t="s">
        <v>10</v>
      </c>
      <c r="E2342" t="s">
        <v>12</v>
      </c>
      <c r="F2342" t="s">
        <v>26</v>
      </c>
      <c r="G2342" t="s">
        <v>10676</v>
      </c>
      <c r="L2342" t="s">
        <v>10677</v>
      </c>
      <c r="N2342" t="s">
        <v>10677</v>
      </c>
      <c r="T2342" t="s">
        <v>10678</v>
      </c>
      <c r="U2342" t="s">
        <v>10679</v>
      </c>
      <c r="V2342" t="s">
        <v>10677</v>
      </c>
      <c r="W2342" t="s">
        <v>851</v>
      </c>
      <c r="X2342" t="s">
        <v>10680</v>
      </c>
      <c r="Y2342">
        <v>0</v>
      </c>
      <c r="Z2342">
        <v>48.958333333333343</v>
      </c>
    </row>
    <row r="2343" spans="1:26">
      <c r="A2343" s="1">
        <v>2341</v>
      </c>
      <c r="B2343" t="str">
        <f>HYPERLINK("https://bugs.eclipse.org/bugs/show_bug.cgi?id=88282", "88282")</f>
        <v>88282</v>
      </c>
      <c r="C2343" t="s">
        <v>10681</v>
      </c>
      <c r="D2343" t="s">
        <v>10</v>
      </c>
      <c r="E2343" t="s">
        <v>15</v>
      </c>
      <c r="F2343" t="s">
        <v>26</v>
      </c>
      <c r="L2343" t="s">
        <v>10682</v>
      </c>
      <c r="Q2343" t="s">
        <v>10682</v>
      </c>
      <c r="T2343" t="s">
        <v>10683</v>
      </c>
      <c r="U2343" t="s">
        <v>10682</v>
      </c>
      <c r="V2343" t="s">
        <v>10682</v>
      </c>
      <c r="W2343" t="s">
        <v>86</v>
      </c>
      <c r="X2343" t="s">
        <v>10684</v>
      </c>
      <c r="Y2343">
        <v>1</v>
      </c>
      <c r="Z2343">
        <v>1</v>
      </c>
    </row>
    <row r="2344" spans="1:26">
      <c r="A2344" s="1">
        <v>2342</v>
      </c>
      <c r="B2344" t="str">
        <f>HYPERLINK("https://bugs.eclipse.org/bugs/show_bug.cgi?id=88292", "88292")</f>
        <v>88292</v>
      </c>
      <c r="C2344" t="s">
        <v>56</v>
      </c>
      <c r="D2344" t="s">
        <v>10</v>
      </c>
      <c r="E2344" t="s">
        <v>14</v>
      </c>
      <c r="F2344" t="s">
        <v>51</v>
      </c>
      <c r="L2344" t="s">
        <v>10685</v>
      </c>
      <c r="P2344" t="s">
        <v>986</v>
      </c>
      <c r="T2344" t="s">
        <v>10686</v>
      </c>
      <c r="U2344" t="s">
        <v>10687</v>
      </c>
      <c r="V2344" t="s">
        <v>986</v>
      </c>
      <c r="W2344" t="s">
        <v>75</v>
      </c>
      <c r="X2344" t="s">
        <v>10688</v>
      </c>
      <c r="Y2344">
        <v>0</v>
      </c>
      <c r="Z2344">
        <v>1626.958333333333</v>
      </c>
    </row>
    <row r="2345" spans="1:26">
      <c r="A2345" s="1">
        <v>2343</v>
      </c>
      <c r="B2345" t="str">
        <f>HYPERLINK("https://bugs.eclipse.org/bugs/show_bug.cgi?id=88304", "88304")</f>
        <v>88304</v>
      </c>
      <c r="C2345" t="s">
        <v>35</v>
      </c>
      <c r="D2345" t="s">
        <v>11</v>
      </c>
      <c r="E2345" t="s">
        <v>12</v>
      </c>
      <c r="F2345" t="s">
        <v>150</v>
      </c>
      <c r="G2345" t="s">
        <v>10689</v>
      </c>
      <c r="L2345" t="s">
        <v>10690</v>
      </c>
      <c r="M2345" t="s">
        <v>10691</v>
      </c>
      <c r="N2345" t="s">
        <v>10690</v>
      </c>
      <c r="T2345" t="s">
        <v>10692</v>
      </c>
      <c r="U2345" t="s">
        <v>10693</v>
      </c>
      <c r="V2345" t="s">
        <v>10691</v>
      </c>
      <c r="W2345" t="s">
        <v>143</v>
      </c>
      <c r="X2345" t="s">
        <v>10694</v>
      </c>
      <c r="Y2345">
        <v>0</v>
      </c>
      <c r="Z2345">
        <v>13</v>
      </c>
    </row>
    <row r="2346" spans="1:26">
      <c r="A2346" s="1">
        <v>2344</v>
      </c>
      <c r="B2346" t="str">
        <f>HYPERLINK("https://bugs.eclipse.org/bugs/show_bug.cgi?id=88307", "88307")</f>
        <v>88307</v>
      </c>
      <c r="C2346" t="s">
        <v>10695</v>
      </c>
      <c r="D2346" t="s">
        <v>10</v>
      </c>
      <c r="E2346" t="s">
        <v>15</v>
      </c>
      <c r="F2346" t="s">
        <v>26</v>
      </c>
      <c r="L2346" t="s">
        <v>10696</v>
      </c>
      <c r="Q2346" t="s">
        <v>10696</v>
      </c>
      <c r="T2346" t="s">
        <v>10697</v>
      </c>
      <c r="U2346" t="s">
        <v>10698</v>
      </c>
      <c r="V2346" t="s">
        <v>10699</v>
      </c>
      <c r="W2346" t="s">
        <v>851</v>
      </c>
      <c r="X2346" t="s">
        <v>10700</v>
      </c>
      <c r="Y2346">
        <v>0</v>
      </c>
      <c r="Z2346">
        <v>0</v>
      </c>
    </row>
    <row r="2347" spans="1:26">
      <c r="A2347" s="1">
        <v>2345</v>
      </c>
      <c r="B2347" t="str">
        <f>HYPERLINK("https://bugs.eclipse.org/bugs/show_bug.cgi?id=88341", "88341")</f>
        <v>88341</v>
      </c>
      <c r="C2347" t="s">
        <v>140</v>
      </c>
      <c r="D2347" t="s">
        <v>10</v>
      </c>
      <c r="E2347" t="s">
        <v>16</v>
      </c>
      <c r="F2347" t="s">
        <v>26</v>
      </c>
      <c r="L2347" t="s">
        <v>10701</v>
      </c>
      <c r="R2347" t="s">
        <v>10701</v>
      </c>
      <c r="T2347" t="s">
        <v>10702</v>
      </c>
      <c r="U2347" t="s">
        <v>10703</v>
      </c>
      <c r="V2347" t="s">
        <v>10701</v>
      </c>
      <c r="W2347" t="s">
        <v>86</v>
      </c>
      <c r="X2347" t="s">
        <v>10704</v>
      </c>
      <c r="Y2347">
        <v>0</v>
      </c>
      <c r="Z2347">
        <v>0</v>
      </c>
    </row>
    <row r="2348" spans="1:26">
      <c r="A2348" s="1">
        <v>2346</v>
      </c>
      <c r="B2348" t="str">
        <f>HYPERLINK("https://bugs.eclipse.org/bugs/show_bug.cgi?id=88396", "88396")</f>
        <v>88396</v>
      </c>
      <c r="C2348" t="s">
        <v>35</v>
      </c>
      <c r="D2348" t="s">
        <v>11</v>
      </c>
      <c r="E2348" t="s">
        <v>12</v>
      </c>
      <c r="F2348" t="s">
        <v>26</v>
      </c>
      <c r="L2348" t="s">
        <v>10705</v>
      </c>
      <c r="M2348" t="s">
        <v>10706</v>
      </c>
      <c r="N2348" t="s">
        <v>10705</v>
      </c>
      <c r="T2348" t="s">
        <v>10707</v>
      </c>
      <c r="U2348" t="s">
        <v>10708</v>
      </c>
      <c r="V2348" t="s">
        <v>10709</v>
      </c>
      <c r="W2348" t="s">
        <v>10710</v>
      </c>
      <c r="X2348" t="s">
        <v>10711</v>
      </c>
      <c r="Y2348">
        <v>1</v>
      </c>
      <c r="Z2348">
        <v>1818</v>
      </c>
    </row>
    <row r="2349" spans="1:26">
      <c r="A2349" s="1">
        <v>2347</v>
      </c>
      <c r="B2349" t="str">
        <f>HYPERLINK("https://bugs.eclipse.org/bugs/show_bug.cgi?id=88439", "88439")</f>
        <v>88439</v>
      </c>
      <c r="C2349" t="s">
        <v>191</v>
      </c>
      <c r="D2349" t="s">
        <v>192</v>
      </c>
      <c r="E2349" t="s">
        <v>14</v>
      </c>
      <c r="F2349" t="s">
        <v>26</v>
      </c>
      <c r="G2349" t="s">
        <v>10712</v>
      </c>
      <c r="T2349" t="s">
        <v>10713</v>
      </c>
      <c r="U2349" t="s">
        <v>10714</v>
      </c>
      <c r="V2349" t="s">
        <v>10715</v>
      </c>
      <c r="W2349" t="s">
        <v>65</v>
      </c>
      <c r="X2349" t="s">
        <v>10716</v>
      </c>
      <c r="Y2349">
        <v>0</v>
      </c>
      <c r="Z2349">
        <v>5207.958333333333</v>
      </c>
    </row>
    <row r="2350" spans="1:26">
      <c r="A2350" s="1">
        <v>2348</v>
      </c>
      <c r="B2350" t="str">
        <f>HYPERLINK("https://bugs.eclipse.org/bugs/show_bug.cgi?id=88452", "88452")</f>
        <v>88452</v>
      </c>
      <c r="C2350" t="s">
        <v>149</v>
      </c>
      <c r="D2350" t="s">
        <v>10</v>
      </c>
      <c r="E2350" t="s">
        <v>12</v>
      </c>
      <c r="F2350" t="s">
        <v>26</v>
      </c>
      <c r="G2350" t="s">
        <v>10717</v>
      </c>
      <c r="L2350" t="s">
        <v>10718</v>
      </c>
      <c r="N2350" t="s">
        <v>10718</v>
      </c>
      <c r="T2350" t="s">
        <v>10719</v>
      </c>
      <c r="U2350" t="s">
        <v>10720</v>
      </c>
      <c r="V2350" t="s">
        <v>10718</v>
      </c>
      <c r="W2350" t="s">
        <v>49</v>
      </c>
      <c r="X2350" t="s">
        <v>10721</v>
      </c>
      <c r="Y2350">
        <v>0</v>
      </c>
      <c r="Z2350">
        <v>453.95833333333331</v>
      </c>
    </row>
    <row r="2351" spans="1:26">
      <c r="A2351" s="1">
        <v>2349</v>
      </c>
      <c r="B2351" t="str">
        <f>HYPERLINK("https://bugs.eclipse.org/bugs/show_bug.cgi?id=88686", "88686")</f>
        <v>88686</v>
      </c>
      <c r="C2351" t="s">
        <v>149</v>
      </c>
      <c r="D2351" t="s">
        <v>10</v>
      </c>
      <c r="E2351" t="s">
        <v>12</v>
      </c>
      <c r="F2351" t="s">
        <v>26</v>
      </c>
      <c r="L2351" t="s">
        <v>10722</v>
      </c>
      <c r="N2351" t="s">
        <v>10722</v>
      </c>
      <c r="T2351" t="s">
        <v>10723</v>
      </c>
      <c r="U2351" t="s">
        <v>10724</v>
      </c>
      <c r="V2351" t="s">
        <v>10725</v>
      </c>
      <c r="W2351" t="s">
        <v>9550</v>
      </c>
      <c r="X2351" t="s">
        <v>10726</v>
      </c>
      <c r="Y2351">
        <v>0</v>
      </c>
      <c r="Z2351">
        <v>3</v>
      </c>
    </row>
    <row r="2352" spans="1:26">
      <c r="A2352" s="1">
        <v>2350</v>
      </c>
      <c r="B2352" t="str">
        <f>HYPERLINK("https://bugs.eclipse.org/bugs/show_bug.cgi?id=88712", "88712")</f>
        <v>88712</v>
      </c>
      <c r="C2352" t="s">
        <v>56</v>
      </c>
      <c r="D2352" t="s">
        <v>10</v>
      </c>
      <c r="E2352" t="s">
        <v>14</v>
      </c>
      <c r="F2352" t="s">
        <v>26</v>
      </c>
      <c r="L2352" t="s">
        <v>10727</v>
      </c>
      <c r="P2352" t="s">
        <v>10728</v>
      </c>
      <c r="T2352" t="s">
        <v>10729</v>
      </c>
      <c r="U2352" t="s">
        <v>10727</v>
      </c>
      <c r="V2352" t="s">
        <v>10728</v>
      </c>
      <c r="W2352" t="s">
        <v>75</v>
      </c>
      <c r="X2352" t="s">
        <v>10730</v>
      </c>
      <c r="Y2352">
        <v>1</v>
      </c>
      <c r="Z2352">
        <v>1621.958333333333</v>
      </c>
    </row>
    <row r="2353" spans="1:26">
      <c r="A2353" s="1">
        <v>2351</v>
      </c>
      <c r="B2353" t="str">
        <f>HYPERLINK("https://bugs.eclipse.org/bugs/show_bug.cgi?id=88806", "88806")</f>
        <v>88806</v>
      </c>
      <c r="C2353" t="s">
        <v>35</v>
      </c>
      <c r="D2353" t="s">
        <v>11</v>
      </c>
      <c r="E2353" t="s">
        <v>12</v>
      </c>
      <c r="F2353" t="s">
        <v>26</v>
      </c>
      <c r="L2353" t="s">
        <v>10731</v>
      </c>
      <c r="M2353" t="s">
        <v>10732</v>
      </c>
      <c r="N2353" t="s">
        <v>10731</v>
      </c>
      <c r="T2353" t="s">
        <v>10733</v>
      </c>
      <c r="U2353" t="s">
        <v>10734</v>
      </c>
      <c r="V2353" t="s">
        <v>10732</v>
      </c>
      <c r="W2353" t="s">
        <v>86</v>
      </c>
      <c r="X2353" t="s">
        <v>10735</v>
      </c>
      <c r="Y2353">
        <v>0</v>
      </c>
      <c r="Z2353">
        <v>68.958333333333329</v>
      </c>
    </row>
    <row r="2354" spans="1:26">
      <c r="A2354" s="1">
        <v>2352</v>
      </c>
      <c r="B2354" t="str">
        <f>HYPERLINK("https://bugs.eclipse.org/bugs/show_bug.cgi?id=88854", "88854")</f>
        <v>88854</v>
      </c>
      <c r="C2354" t="s">
        <v>35</v>
      </c>
      <c r="D2354" t="s">
        <v>11</v>
      </c>
      <c r="E2354" t="s">
        <v>12</v>
      </c>
      <c r="F2354" t="s">
        <v>26</v>
      </c>
      <c r="L2354" t="s">
        <v>10736</v>
      </c>
      <c r="M2354" t="s">
        <v>10737</v>
      </c>
      <c r="N2354" t="s">
        <v>10736</v>
      </c>
      <c r="T2354" t="s">
        <v>10738</v>
      </c>
      <c r="U2354" t="s">
        <v>10739</v>
      </c>
      <c r="V2354" t="s">
        <v>10737</v>
      </c>
      <c r="W2354" t="s">
        <v>2668</v>
      </c>
      <c r="X2354" t="s">
        <v>10740</v>
      </c>
      <c r="Y2354">
        <v>0</v>
      </c>
      <c r="Z2354">
        <v>64.958333333333329</v>
      </c>
    </row>
    <row r="2355" spans="1:26">
      <c r="A2355" s="1">
        <v>2353</v>
      </c>
      <c r="B2355" t="str">
        <f>HYPERLINK("https://bugs.eclipse.org/bugs/show_bug.cgi?id=88948", "88948")</f>
        <v>88948</v>
      </c>
      <c r="C2355" t="s">
        <v>140</v>
      </c>
      <c r="D2355" t="s">
        <v>10</v>
      </c>
      <c r="E2355" t="s">
        <v>16</v>
      </c>
      <c r="F2355" t="s">
        <v>26</v>
      </c>
      <c r="L2355" t="s">
        <v>10741</v>
      </c>
      <c r="R2355" t="s">
        <v>10741</v>
      </c>
      <c r="T2355" t="s">
        <v>10742</v>
      </c>
      <c r="U2355" t="s">
        <v>10743</v>
      </c>
      <c r="V2355" t="s">
        <v>10741</v>
      </c>
      <c r="W2355" t="s">
        <v>86</v>
      </c>
      <c r="X2355" t="s">
        <v>10744</v>
      </c>
      <c r="Y2355">
        <v>1</v>
      </c>
      <c r="Z2355">
        <v>63.958333333333343</v>
      </c>
    </row>
    <row r="2356" spans="1:26">
      <c r="A2356" s="1">
        <v>2354</v>
      </c>
      <c r="B2356" t="str">
        <f>HYPERLINK("https://bugs.eclipse.org/bugs/show_bug.cgi?id=89015", "89015")</f>
        <v>89015</v>
      </c>
      <c r="C2356" t="s">
        <v>149</v>
      </c>
      <c r="D2356" t="s">
        <v>10</v>
      </c>
      <c r="E2356" t="s">
        <v>12</v>
      </c>
      <c r="F2356" t="s">
        <v>26</v>
      </c>
      <c r="L2356" t="s">
        <v>10745</v>
      </c>
      <c r="N2356" t="s">
        <v>10745</v>
      </c>
      <c r="T2356" t="s">
        <v>10746</v>
      </c>
      <c r="U2356" t="s">
        <v>10747</v>
      </c>
      <c r="V2356" t="s">
        <v>10745</v>
      </c>
      <c r="W2356" t="s">
        <v>2668</v>
      </c>
      <c r="X2356" t="s">
        <v>10748</v>
      </c>
      <c r="Y2356">
        <v>0</v>
      </c>
      <c r="Z2356">
        <v>10.95833333333333</v>
      </c>
    </row>
    <row r="2357" spans="1:26">
      <c r="A2357" s="1">
        <v>2355</v>
      </c>
      <c r="B2357" t="str">
        <f>HYPERLINK("https://bugs.eclipse.org/bugs/show_bug.cgi?id=89328", "89328")</f>
        <v>89328</v>
      </c>
      <c r="C2357" t="s">
        <v>149</v>
      </c>
      <c r="D2357" t="s">
        <v>10</v>
      </c>
      <c r="E2357" t="s">
        <v>12</v>
      </c>
      <c r="F2357" t="s">
        <v>26</v>
      </c>
      <c r="G2357" t="s">
        <v>10749</v>
      </c>
      <c r="L2357" t="s">
        <v>10750</v>
      </c>
      <c r="N2357" t="s">
        <v>10750</v>
      </c>
      <c r="T2357" t="s">
        <v>10751</v>
      </c>
      <c r="U2357" t="s">
        <v>10752</v>
      </c>
      <c r="V2357" t="s">
        <v>10750</v>
      </c>
      <c r="W2357" t="s">
        <v>851</v>
      </c>
      <c r="X2357" t="s">
        <v>10753</v>
      </c>
      <c r="Y2357">
        <v>0</v>
      </c>
      <c r="Z2357">
        <v>37.958333333333343</v>
      </c>
    </row>
    <row r="2358" spans="1:26">
      <c r="A2358" s="1">
        <v>2356</v>
      </c>
      <c r="B2358" t="str">
        <f>HYPERLINK("https://bugs.eclipse.org/bugs/show_bug.cgi?id=89352", "89352")</f>
        <v>89352</v>
      </c>
      <c r="C2358" t="s">
        <v>4646</v>
      </c>
      <c r="D2358" t="s">
        <v>10</v>
      </c>
      <c r="E2358" t="s">
        <v>15</v>
      </c>
      <c r="F2358" t="s">
        <v>26</v>
      </c>
      <c r="L2358" t="s">
        <v>10754</v>
      </c>
      <c r="Q2358" t="s">
        <v>10754</v>
      </c>
      <c r="S2358" t="s">
        <v>10755</v>
      </c>
      <c r="T2358" t="s">
        <v>10756</v>
      </c>
      <c r="U2358" t="s">
        <v>10757</v>
      </c>
      <c r="V2358" t="s">
        <v>10758</v>
      </c>
      <c r="W2358" t="s">
        <v>10759</v>
      </c>
      <c r="X2358" t="s">
        <v>10760</v>
      </c>
      <c r="Y2358">
        <v>0</v>
      </c>
      <c r="Z2358">
        <v>126.9583333333333</v>
      </c>
    </row>
    <row r="2359" spans="1:26">
      <c r="A2359" s="1">
        <v>2357</v>
      </c>
      <c r="B2359" t="str">
        <f>HYPERLINK("https://bugs.eclipse.org/bugs/show_bug.cgi?id=89422", "89422")</f>
        <v>89422</v>
      </c>
      <c r="C2359" t="s">
        <v>149</v>
      </c>
      <c r="D2359" t="s">
        <v>10</v>
      </c>
      <c r="E2359" t="s">
        <v>12</v>
      </c>
      <c r="F2359" t="s">
        <v>26</v>
      </c>
      <c r="L2359" t="s">
        <v>10761</v>
      </c>
      <c r="N2359" t="s">
        <v>10761</v>
      </c>
      <c r="S2359" t="s">
        <v>10762</v>
      </c>
      <c r="T2359" t="s">
        <v>10763</v>
      </c>
      <c r="U2359" t="s">
        <v>10764</v>
      </c>
      <c r="V2359" t="s">
        <v>10765</v>
      </c>
      <c r="W2359" t="s">
        <v>851</v>
      </c>
      <c r="X2359" t="s">
        <v>10766</v>
      </c>
      <c r="Y2359">
        <v>0</v>
      </c>
      <c r="Z2359">
        <v>1132.958333333333</v>
      </c>
    </row>
    <row r="2360" spans="1:26">
      <c r="A2360" s="1">
        <v>2358</v>
      </c>
      <c r="B2360" t="str">
        <f>HYPERLINK("https://bugs.eclipse.org/bugs/show_bug.cgi?id=89510", "89510")</f>
        <v>89510</v>
      </c>
      <c r="C2360" t="s">
        <v>149</v>
      </c>
      <c r="D2360" t="s">
        <v>10</v>
      </c>
      <c r="E2360" t="s">
        <v>12</v>
      </c>
      <c r="F2360" t="s">
        <v>26</v>
      </c>
      <c r="L2360" t="s">
        <v>10767</v>
      </c>
      <c r="N2360" t="s">
        <v>10767</v>
      </c>
      <c r="T2360" t="s">
        <v>10768</v>
      </c>
      <c r="U2360" t="s">
        <v>10769</v>
      </c>
      <c r="V2360" t="s">
        <v>10767</v>
      </c>
      <c r="W2360" t="s">
        <v>86</v>
      </c>
      <c r="X2360" t="s">
        <v>10770</v>
      </c>
      <c r="Y2360">
        <v>0</v>
      </c>
      <c r="Z2360">
        <v>33.958333333333343</v>
      </c>
    </row>
    <row r="2361" spans="1:26">
      <c r="A2361" s="1">
        <v>2359</v>
      </c>
      <c r="B2361" t="str">
        <f>HYPERLINK("https://bugs.eclipse.org/bugs/show_bug.cgi?id=89517", "89517")</f>
        <v>89517</v>
      </c>
      <c r="C2361" t="s">
        <v>149</v>
      </c>
      <c r="D2361" t="s">
        <v>10</v>
      </c>
      <c r="E2361" t="s">
        <v>12</v>
      </c>
      <c r="F2361" t="s">
        <v>26</v>
      </c>
      <c r="L2361" t="s">
        <v>10771</v>
      </c>
      <c r="N2361" t="s">
        <v>10771</v>
      </c>
      <c r="T2361" t="s">
        <v>10772</v>
      </c>
      <c r="U2361" t="s">
        <v>10773</v>
      </c>
      <c r="V2361" t="s">
        <v>10774</v>
      </c>
      <c r="W2361" t="s">
        <v>10775</v>
      </c>
      <c r="X2361" t="s">
        <v>10776</v>
      </c>
      <c r="Y2361">
        <v>0</v>
      </c>
      <c r="Z2361">
        <v>1215.958333333333</v>
      </c>
    </row>
    <row r="2362" spans="1:26">
      <c r="A2362" s="1">
        <v>2360</v>
      </c>
      <c r="B2362" t="str">
        <f>HYPERLINK("https://bugs.eclipse.org/bugs/show_bug.cgi?id=89520", "89520")</f>
        <v>89520</v>
      </c>
      <c r="C2362" t="s">
        <v>149</v>
      </c>
      <c r="D2362" t="s">
        <v>10</v>
      </c>
      <c r="E2362" t="s">
        <v>12</v>
      </c>
      <c r="F2362" t="s">
        <v>26</v>
      </c>
      <c r="L2362" t="s">
        <v>10777</v>
      </c>
      <c r="N2362" t="s">
        <v>10777</v>
      </c>
      <c r="T2362" t="s">
        <v>10778</v>
      </c>
      <c r="U2362" t="s">
        <v>10779</v>
      </c>
      <c r="V2362" t="s">
        <v>10777</v>
      </c>
      <c r="W2362" t="s">
        <v>2668</v>
      </c>
      <c r="X2362" t="s">
        <v>10780</v>
      </c>
      <c r="Y2362">
        <v>0</v>
      </c>
      <c r="Z2362">
        <v>4.958333333333333</v>
      </c>
    </row>
    <row r="2363" spans="1:26">
      <c r="A2363" s="1">
        <v>2361</v>
      </c>
      <c r="B2363" t="str">
        <f>HYPERLINK("https://bugs.eclipse.org/bugs/show_bug.cgi?id=89521", "89521")</f>
        <v>89521</v>
      </c>
      <c r="C2363" t="s">
        <v>149</v>
      </c>
      <c r="D2363" t="s">
        <v>10</v>
      </c>
      <c r="E2363" t="s">
        <v>12</v>
      </c>
      <c r="F2363" t="s">
        <v>26</v>
      </c>
      <c r="G2363" t="s">
        <v>10781</v>
      </c>
      <c r="L2363" t="s">
        <v>10782</v>
      </c>
      <c r="N2363" t="s">
        <v>10782</v>
      </c>
      <c r="T2363" t="s">
        <v>10783</v>
      </c>
      <c r="U2363" t="s">
        <v>10784</v>
      </c>
      <c r="V2363" t="s">
        <v>10782</v>
      </c>
      <c r="W2363" t="s">
        <v>86</v>
      </c>
      <c r="X2363" t="s">
        <v>10785</v>
      </c>
      <c r="Y2363">
        <v>0</v>
      </c>
      <c r="Z2363">
        <v>32.958333333333343</v>
      </c>
    </row>
    <row r="2364" spans="1:26">
      <c r="A2364" s="1">
        <v>2362</v>
      </c>
      <c r="B2364" t="str">
        <f>HYPERLINK("https://bugs.eclipse.org/bugs/show_bug.cgi?id=89522", "89522")</f>
        <v>89522</v>
      </c>
      <c r="C2364" t="s">
        <v>140</v>
      </c>
      <c r="D2364" t="s">
        <v>10</v>
      </c>
      <c r="E2364" t="s">
        <v>16</v>
      </c>
      <c r="F2364" t="s">
        <v>26</v>
      </c>
      <c r="L2364" t="s">
        <v>10786</v>
      </c>
      <c r="R2364" t="s">
        <v>10786</v>
      </c>
      <c r="T2364" t="s">
        <v>10787</v>
      </c>
      <c r="U2364" t="s">
        <v>10786</v>
      </c>
      <c r="V2364" t="s">
        <v>10786</v>
      </c>
      <c r="W2364" t="s">
        <v>851</v>
      </c>
      <c r="X2364" t="s">
        <v>10788</v>
      </c>
      <c r="Y2364">
        <v>435.95833333333331</v>
      </c>
      <c r="Z2364">
        <v>435.95833333333331</v>
      </c>
    </row>
    <row r="2365" spans="1:26">
      <c r="A2365" s="1">
        <v>2363</v>
      </c>
      <c r="B2365" t="str">
        <f>HYPERLINK("https://bugs.eclipse.org/bugs/show_bug.cgi?id=89523", "89523")</f>
        <v>89523</v>
      </c>
      <c r="C2365" t="s">
        <v>35</v>
      </c>
      <c r="D2365" t="s">
        <v>11</v>
      </c>
      <c r="E2365" t="s">
        <v>12</v>
      </c>
      <c r="F2365" t="s">
        <v>26</v>
      </c>
      <c r="L2365" t="s">
        <v>10789</v>
      </c>
      <c r="M2365" t="s">
        <v>10790</v>
      </c>
      <c r="N2365" t="s">
        <v>10789</v>
      </c>
      <c r="T2365" t="s">
        <v>10791</v>
      </c>
      <c r="U2365" t="s">
        <v>10792</v>
      </c>
      <c r="V2365" t="s">
        <v>10790</v>
      </c>
      <c r="W2365" t="s">
        <v>851</v>
      </c>
      <c r="X2365" t="s">
        <v>10793</v>
      </c>
      <c r="Y2365">
        <v>0</v>
      </c>
      <c r="Z2365">
        <v>2</v>
      </c>
    </row>
    <row r="2366" spans="1:26">
      <c r="A2366" s="1">
        <v>2364</v>
      </c>
      <c r="B2366" t="str">
        <f>HYPERLINK("https://bugs.eclipse.org/bugs/show_bug.cgi?id=89524", "89524")</f>
        <v>89524</v>
      </c>
      <c r="C2366" t="s">
        <v>149</v>
      </c>
      <c r="D2366" t="s">
        <v>10</v>
      </c>
      <c r="E2366" t="s">
        <v>12</v>
      </c>
      <c r="F2366" t="s">
        <v>26</v>
      </c>
      <c r="L2366" t="s">
        <v>10794</v>
      </c>
      <c r="N2366" t="s">
        <v>10794</v>
      </c>
      <c r="T2366" t="s">
        <v>10795</v>
      </c>
      <c r="U2366" t="s">
        <v>10796</v>
      </c>
      <c r="V2366" t="s">
        <v>10794</v>
      </c>
      <c r="W2366" t="s">
        <v>851</v>
      </c>
      <c r="X2366" t="s">
        <v>10797</v>
      </c>
      <c r="Y2366">
        <v>0</v>
      </c>
      <c r="Z2366">
        <v>6.958333333333333</v>
      </c>
    </row>
    <row r="2367" spans="1:26">
      <c r="A2367" s="1">
        <v>2365</v>
      </c>
      <c r="B2367" t="str">
        <f>HYPERLINK("https://bugs.eclipse.org/bugs/show_bug.cgi?id=89526", "89526")</f>
        <v>89526</v>
      </c>
      <c r="C2367" t="s">
        <v>149</v>
      </c>
      <c r="D2367" t="s">
        <v>10</v>
      </c>
      <c r="E2367" t="s">
        <v>12</v>
      </c>
      <c r="F2367" t="s">
        <v>26</v>
      </c>
      <c r="L2367" t="s">
        <v>10798</v>
      </c>
      <c r="N2367" t="s">
        <v>10798</v>
      </c>
      <c r="T2367" t="s">
        <v>10799</v>
      </c>
      <c r="U2367" t="s">
        <v>10800</v>
      </c>
      <c r="V2367" t="s">
        <v>10798</v>
      </c>
      <c r="W2367" t="s">
        <v>851</v>
      </c>
      <c r="X2367" t="s">
        <v>10801</v>
      </c>
      <c r="Y2367">
        <v>0</v>
      </c>
      <c r="Z2367">
        <v>5.958333333333333</v>
      </c>
    </row>
    <row r="2368" spans="1:26">
      <c r="A2368" s="1">
        <v>2366</v>
      </c>
      <c r="B2368" t="str">
        <f>HYPERLINK("https://bugs.eclipse.org/bugs/show_bug.cgi?id=89537", "89537")</f>
        <v>89537</v>
      </c>
      <c r="C2368" t="s">
        <v>149</v>
      </c>
      <c r="D2368" t="s">
        <v>10</v>
      </c>
      <c r="E2368" t="s">
        <v>12</v>
      </c>
      <c r="F2368" t="s">
        <v>26</v>
      </c>
      <c r="G2368" t="s">
        <v>10802</v>
      </c>
      <c r="H2368" t="s">
        <v>10803</v>
      </c>
      <c r="L2368" t="s">
        <v>10804</v>
      </c>
      <c r="N2368" t="s">
        <v>10804</v>
      </c>
      <c r="T2368" t="s">
        <v>10805</v>
      </c>
      <c r="U2368" t="s">
        <v>10806</v>
      </c>
      <c r="V2368" t="s">
        <v>10804</v>
      </c>
      <c r="W2368" t="s">
        <v>851</v>
      </c>
      <c r="X2368" t="s">
        <v>10807</v>
      </c>
      <c r="Y2368">
        <v>0</v>
      </c>
      <c r="Z2368">
        <v>34.958333333333343</v>
      </c>
    </row>
    <row r="2369" spans="1:26">
      <c r="A2369" s="1">
        <v>2367</v>
      </c>
      <c r="B2369" t="str">
        <f>HYPERLINK("https://bugs.eclipse.org/bugs/show_bug.cgi?id=89784", "89784")</f>
        <v>89784</v>
      </c>
      <c r="C2369" t="s">
        <v>35</v>
      </c>
      <c r="D2369" t="s">
        <v>11</v>
      </c>
      <c r="E2369" t="s">
        <v>12</v>
      </c>
      <c r="F2369" t="s">
        <v>26</v>
      </c>
      <c r="L2369" t="s">
        <v>10808</v>
      </c>
      <c r="M2369" t="s">
        <v>10809</v>
      </c>
      <c r="N2369" t="s">
        <v>10808</v>
      </c>
      <c r="T2369" t="s">
        <v>10810</v>
      </c>
      <c r="U2369" t="s">
        <v>10808</v>
      </c>
      <c r="V2369" t="s">
        <v>10809</v>
      </c>
      <c r="W2369" t="s">
        <v>851</v>
      </c>
      <c r="X2369" t="s">
        <v>10811</v>
      </c>
      <c r="Y2369">
        <v>0</v>
      </c>
      <c r="Z2369">
        <v>1</v>
      </c>
    </row>
    <row r="2370" spans="1:26">
      <c r="A2370" s="1">
        <v>2368</v>
      </c>
      <c r="B2370" t="str">
        <f>HYPERLINK("https://bugs.eclipse.org/bugs/show_bug.cgi?id=89796", "89796")</f>
        <v>89796</v>
      </c>
      <c r="C2370" t="s">
        <v>35</v>
      </c>
      <c r="D2370" t="s">
        <v>11</v>
      </c>
      <c r="E2370" t="s">
        <v>12</v>
      </c>
      <c r="F2370" t="s">
        <v>26</v>
      </c>
      <c r="G2370" t="s">
        <v>10812</v>
      </c>
      <c r="L2370" t="s">
        <v>10813</v>
      </c>
      <c r="M2370" t="s">
        <v>10814</v>
      </c>
      <c r="N2370" t="s">
        <v>10813</v>
      </c>
      <c r="T2370" t="s">
        <v>10815</v>
      </c>
      <c r="U2370" t="s">
        <v>10816</v>
      </c>
      <c r="V2370" t="s">
        <v>10814</v>
      </c>
      <c r="W2370" t="s">
        <v>851</v>
      </c>
      <c r="X2370" t="s">
        <v>10817</v>
      </c>
      <c r="Y2370">
        <v>0</v>
      </c>
      <c r="Z2370">
        <v>1</v>
      </c>
    </row>
    <row r="2371" spans="1:26">
      <c r="A2371" s="1">
        <v>2369</v>
      </c>
      <c r="B2371" t="str">
        <f>HYPERLINK("https://bugs.eclipse.org/bugs/show_bug.cgi?id=89799", "89799")</f>
        <v>89799</v>
      </c>
      <c r="C2371" t="s">
        <v>10818</v>
      </c>
      <c r="D2371" t="s">
        <v>10</v>
      </c>
      <c r="E2371" t="s">
        <v>15</v>
      </c>
      <c r="F2371" t="s">
        <v>26</v>
      </c>
      <c r="L2371" t="s">
        <v>10819</v>
      </c>
      <c r="Q2371" t="s">
        <v>10819</v>
      </c>
      <c r="T2371" t="s">
        <v>10820</v>
      </c>
      <c r="U2371" t="s">
        <v>10821</v>
      </c>
      <c r="V2371" t="s">
        <v>10819</v>
      </c>
      <c r="W2371" t="s">
        <v>2668</v>
      </c>
      <c r="X2371" t="s">
        <v>10822</v>
      </c>
      <c r="Y2371">
        <v>0</v>
      </c>
      <c r="Z2371">
        <v>0</v>
      </c>
    </row>
    <row r="2372" spans="1:26">
      <c r="A2372" s="1">
        <v>2370</v>
      </c>
      <c r="B2372" t="str">
        <f>HYPERLINK("https://bugs.eclipse.org/bugs/show_bug.cgi?id=89909", "89909")</f>
        <v>89909</v>
      </c>
      <c r="C2372" t="s">
        <v>10021</v>
      </c>
      <c r="D2372" t="s">
        <v>10</v>
      </c>
      <c r="E2372" t="s">
        <v>15</v>
      </c>
      <c r="F2372" t="s">
        <v>26</v>
      </c>
      <c r="L2372" t="s">
        <v>10823</v>
      </c>
      <c r="Q2372" t="s">
        <v>10823</v>
      </c>
      <c r="T2372" t="s">
        <v>10824</v>
      </c>
      <c r="U2372" t="s">
        <v>10823</v>
      </c>
      <c r="V2372" t="s">
        <v>10823</v>
      </c>
      <c r="W2372" t="s">
        <v>86</v>
      </c>
      <c r="X2372" t="s">
        <v>10825</v>
      </c>
      <c r="Y2372">
        <v>0</v>
      </c>
      <c r="Z2372">
        <v>0</v>
      </c>
    </row>
    <row r="2373" spans="1:26">
      <c r="A2373" s="1">
        <v>2371</v>
      </c>
      <c r="B2373" t="str">
        <f>HYPERLINK("https://bugs.eclipse.org/bugs/show_bug.cgi?id=89942", "89942")</f>
        <v>89942</v>
      </c>
      <c r="C2373" t="s">
        <v>10826</v>
      </c>
      <c r="D2373" t="s">
        <v>10</v>
      </c>
      <c r="E2373" t="s">
        <v>15</v>
      </c>
      <c r="F2373" t="s">
        <v>26</v>
      </c>
      <c r="L2373" t="s">
        <v>10827</v>
      </c>
      <c r="Q2373" t="s">
        <v>10827</v>
      </c>
      <c r="T2373" t="s">
        <v>10828</v>
      </c>
      <c r="U2373" t="s">
        <v>10829</v>
      </c>
      <c r="V2373" t="s">
        <v>10827</v>
      </c>
      <c r="W2373" t="s">
        <v>851</v>
      </c>
      <c r="X2373" t="s">
        <v>10830</v>
      </c>
      <c r="Y2373">
        <v>0</v>
      </c>
      <c r="Z2373">
        <v>1584.958333333333</v>
      </c>
    </row>
    <row r="2374" spans="1:26">
      <c r="A2374" s="1">
        <v>2372</v>
      </c>
      <c r="B2374" t="str">
        <f>HYPERLINK("https://bugs.eclipse.org/bugs/show_bug.cgi?id=89977", "89977")</f>
        <v>89977</v>
      </c>
      <c r="C2374" t="s">
        <v>35</v>
      </c>
      <c r="D2374" t="s">
        <v>11</v>
      </c>
      <c r="E2374" t="s">
        <v>12</v>
      </c>
      <c r="F2374" t="s">
        <v>26</v>
      </c>
      <c r="G2374" t="s">
        <v>10831</v>
      </c>
      <c r="H2374" t="s">
        <v>10832</v>
      </c>
      <c r="L2374" t="s">
        <v>10833</v>
      </c>
      <c r="M2374" t="s">
        <v>10834</v>
      </c>
      <c r="N2374" t="s">
        <v>10833</v>
      </c>
      <c r="S2374" t="s">
        <v>10835</v>
      </c>
      <c r="T2374" t="s">
        <v>10836</v>
      </c>
      <c r="U2374" t="s">
        <v>10837</v>
      </c>
      <c r="V2374" t="s">
        <v>10838</v>
      </c>
      <c r="W2374" t="s">
        <v>10839</v>
      </c>
      <c r="X2374" t="s">
        <v>10840</v>
      </c>
      <c r="Y2374">
        <v>0</v>
      </c>
      <c r="Z2374">
        <v>469.95833333333331</v>
      </c>
    </row>
    <row r="2375" spans="1:26">
      <c r="A2375" s="1">
        <v>2373</v>
      </c>
      <c r="B2375" t="str">
        <f>HYPERLINK("https://bugs.eclipse.org/bugs/show_bug.cgi?id=90069", "90069")</f>
        <v>90069</v>
      </c>
      <c r="C2375" t="s">
        <v>56</v>
      </c>
      <c r="D2375" t="s">
        <v>10</v>
      </c>
      <c r="E2375" t="s">
        <v>14</v>
      </c>
      <c r="F2375" t="s">
        <v>26</v>
      </c>
      <c r="L2375" t="s">
        <v>10841</v>
      </c>
      <c r="P2375" t="s">
        <v>10842</v>
      </c>
      <c r="T2375" t="s">
        <v>10843</v>
      </c>
      <c r="U2375" t="s">
        <v>10844</v>
      </c>
      <c r="V2375" t="s">
        <v>10842</v>
      </c>
      <c r="W2375" t="s">
        <v>80</v>
      </c>
      <c r="X2375" t="s">
        <v>10845</v>
      </c>
      <c r="Y2375">
        <v>1</v>
      </c>
      <c r="Z2375">
        <v>1611.958333333333</v>
      </c>
    </row>
    <row r="2376" spans="1:26">
      <c r="A2376" s="1">
        <v>2374</v>
      </c>
      <c r="B2376" t="str">
        <f>HYPERLINK("https://bugs.eclipse.org/bugs/show_bug.cgi?id=90138", "90138")</f>
        <v>90138</v>
      </c>
      <c r="C2376" t="s">
        <v>88</v>
      </c>
      <c r="D2376" t="s">
        <v>10</v>
      </c>
      <c r="E2376" t="s">
        <v>13</v>
      </c>
      <c r="F2376" t="s">
        <v>26</v>
      </c>
      <c r="L2376" t="s">
        <v>10846</v>
      </c>
      <c r="O2376" t="s">
        <v>10847</v>
      </c>
      <c r="S2376" t="s">
        <v>10848</v>
      </c>
      <c r="T2376" t="s">
        <v>10849</v>
      </c>
      <c r="U2376" t="s">
        <v>10850</v>
      </c>
      <c r="V2376" t="s">
        <v>10847</v>
      </c>
      <c r="W2376" t="s">
        <v>75</v>
      </c>
      <c r="X2376" t="s">
        <v>10851</v>
      </c>
      <c r="Y2376">
        <v>0</v>
      </c>
      <c r="Z2376">
        <v>1609</v>
      </c>
    </row>
    <row r="2377" spans="1:26">
      <c r="A2377" s="1">
        <v>2375</v>
      </c>
      <c r="B2377" t="str">
        <f>HYPERLINK("https://bugs.eclipse.org/bugs/show_bug.cgi?id=90267", "90267")</f>
        <v>90267</v>
      </c>
      <c r="C2377" t="s">
        <v>149</v>
      </c>
      <c r="D2377" t="s">
        <v>10</v>
      </c>
      <c r="E2377" t="s">
        <v>12</v>
      </c>
      <c r="F2377" t="s">
        <v>26</v>
      </c>
      <c r="L2377" t="s">
        <v>10852</v>
      </c>
      <c r="N2377" t="s">
        <v>10852</v>
      </c>
      <c r="T2377" t="s">
        <v>10853</v>
      </c>
      <c r="U2377" t="s">
        <v>10854</v>
      </c>
      <c r="V2377" t="s">
        <v>10852</v>
      </c>
      <c r="W2377" t="s">
        <v>851</v>
      </c>
      <c r="X2377" t="s">
        <v>10855</v>
      </c>
      <c r="Y2377">
        <v>0</v>
      </c>
      <c r="Z2377">
        <v>3</v>
      </c>
    </row>
    <row r="2378" spans="1:26">
      <c r="A2378" s="1">
        <v>2376</v>
      </c>
      <c r="B2378" t="str">
        <f>HYPERLINK("https://bugs.eclipse.org/bugs/show_bug.cgi?id=90269", "90269")</f>
        <v>90269</v>
      </c>
      <c r="C2378" t="s">
        <v>140</v>
      </c>
      <c r="D2378" t="s">
        <v>10</v>
      </c>
      <c r="E2378" t="s">
        <v>16</v>
      </c>
      <c r="F2378" t="s">
        <v>26</v>
      </c>
      <c r="L2378" t="s">
        <v>10856</v>
      </c>
      <c r="R2378" t="s">
        <v>10856</v>
      </c>
      <c r="T2378" t="s">
        <v>10857</v>
      </c>
      <c r="U2378" t="s">
        <v>10858</v>
      </c>
      <c r="V2378" t="s">
        <v>10856</v>
      </c>
      <c r="W2378" t="s">
        <v>2668</v>
      </c>
      <c r="X2378" t="s">
        <v>10859</v>
      </c>
      <c r="Y2378">
        <v>0</v>
      </c>
      <c r="Z2378">
        <v>231.04166666666671</v>
      </c>
    </row>
    <row r="2379" spans="1:26">
      <c r="A2379" s="1">
        <v>2377</v>
      </c>
      <c r="B2379" t="str">
        <f>HYPERLINK("https://bugs.eclipse.org/bugs/show_bug.cgi?id=90271", "90271")</f>
        <v>90271</v>
      </c>
      <c r="C2379" t="s">
        <v>140</v>
      </c>
      <c r="D2379" t="s">
        <v>10</v>
      </c>
      <c r="E2379" t="s">
        <v>16</v>
      </c>
      <c r="F2379" t="s">
        <v>26</v>
      </c>
      <c r="L2379" t="s">
        <v>10860</v>
      </c>
      <c r="R2379" t="s">
        <v>10860</v>
      </c>
      <c r="T2379" t="s">
        <v>10861</v>
      </c>
      <c r="U2379" t="s">
        <v>10862</v>
      </c>
      <c r="V2379" t="s">
        <v>10860</v>
      </c>
      <c r="W2379" t="s">
        <v>49</v>
      </c>
      <c r="X2379" t="s">
        <v>10863</v>
      </c>
      <c r="Y2379">
        <v>0</v>
      </c>
      <c r="Z2379">
        <v>437</v>
      </c>
    </row>
    <row r="2380" spans="1:26">
      <c r="A2380" s="1">
        <v>2378</v>
      </c>
      <c r="B2380" t="str">
        <f>HYPERLINK("https://bugs.eclipse.org/bugs/show_bug.cgi?id=90296", "90296")</f>
        <v>90296</v>
      </c>
      <c r="C2380" t="s">
        <v>25</v>
      </c>
      <c r="D2380" t="s">
        <v>25</v>
      </c>
      <c r="F2380" t="s">
        <v>26</v>
      </c>
      <c r="T2380" t="s">
        <v>10864</v>
      </c>
      <c r="U2380" t="s">
        <v>10865</v>
      </c>
      <c r="V2380" t="s">
        <v>10866</v>
      </c>
      <c r="W2380" t="s">
        <v>143</v>
      </c>
      <c r="X2380" t="s">
        <v>10867</v>
      </c>
      <c r="Y2380">
        <v>419</v>
      </c>
    </row>
    <row r="2381" spans="1:26">
      <c r="A2381" s="1">
        <v>2379</v>
      </c>
      <c r="B2381" t="str">
        <f>HYPERLINK("https://bugs.eclipse.org/bugs/show_bug.cgi?id=90365", "90365")</f>
        <v>90365</v>
      </c>
      <c r="C2381" t="s">
        <v>149</v>
      </c>
      <c r="D2381" t="s">
        <v>10</v>
      </c>
      <c r="E2381" t="s">
        <v>12</v>
      </c>
      <c r="F2381" t="s">
        <v>150</v>
      </c>
      <c r="L2381" t="s">
        <v>10868</v>
      </c>
      <c r="N2381" t="s">
        <v>10868</v>
      </c>
      <c r="T2381" t="s">
        <v>10869</v>
      </c>
      <c r="U2381" t="s">
        <v>10870</v>
      </c>
      <c r="V2381" t="s">
        <v>10868</v>
      </c>
      <c r="W2381" t="s">
        <v>2668</v>
      </c>
      <c r="X2381" t="s">
        <v>10871</v>
      </c>
      <c r="Y2381">
        <v>0</v>
      </c>
      <c r="Z2381">
        <v>10</v>
      </c>
    </row>
    <row r="2382" spans="1:26">
      <c r="A2382" s="1">
        <v>2380</v>
      </c>
      <c r="B2382" t="str">
        <f>HYPERLINK("https://bugs.eclipse.org/bugs/show_bug.cgi?id=90391", "90391")</f>
        <v>90391</v>
      </c>
      <c r="C2382" t="s">
        <v>149</v>
      </c>
      <c r="D2382" t="s">
        <v>10</v>
      </c>
      <c r="E2382" t="s">
        <v>12</v>
      </c>
      <c r="F2382" t="s">
        <v>26</v>
      </c>
      <c r="L2382" t="s">
        <v>10872</v>
      </c>
      <c r="N2382" t="s">
        <v>10872</v>
      </c>
      <c r="T2382" t="s">
        <v>10873</v>
      </c>
      <c r="U2382" t="s">
        <v>10874</v>
      </c>
      <c r="V2382" t="s">
        <v>10872</v>
      </c>
      <c r="W2382" t="s">
        <v>2668</v>
      </c>
      <c r="X2382" t="s">
        <v>10875</v>
      </c>
      <c r="Y2382">
        <v>0</v>
      </c>
      <c r="Z2382">
        <v>10</v>
      </c>
    </row>
    <row r="2383" spans="1:26">
      <c r="A2383" s="1">
        <v>2381</v>
      </c>
      <c r="B2383" t="str">
        <f>HYPERLINK("https://bugs.eclipse.org/bugs/show_bug.cgi?id=90488", "90488")</f>
        <v>90488</v>
      </c>
      <c r="C2383" t="s">
        <v>56</v>
      </c>
      <c r="D2383" t="s">
        <v>10</v>
      </c>
      <c r="E2383" t="s">
        <v>14</v>
      </c>
      <c r="F2383" t="s">
        <v>26</v>
      </c>
      <c r="G2383" t="s">
        <v>10876</v>
      </c>
      <c r="L2383" t="s">
        <v>10877</v>
      </c>
      <c r="P2383" t="s">
        <v>10878</v>
      </c>
      <c r="T2383" t="s">
        <v>10879</v>
      </c>
      <c r="U2383" t="s">
        <v>10877</v>
      </c>
      <c r="V2383" t="s">
        <v>10878</v>
      </c>
      <c r="W2383" t="s">
        <v>75</v>
      </c>
      <c r="X2383" t="s">
        <v>10880</v>
      </c>
      <c r="Y2383">
        <v>0</v>
      </c>
      <c r="Z2383">
        <v>1607</v>
      </c>
    </row>
    <row r="2384" spans="1:26">
      <c r="A2384" s="1">
        <v>2382</v>
      </c>
      <c r="B2384" t="str">
        <f>HYPERLINK("https://bugs.eclipse.org/bugs/show_bug.cgi?id=90744", "90744")</f>
        <v>90744</v>
      </c>
      <c r="C2384" t="s">
        <v>140</v>
      </c>
      <c r="D2384" t="s">
        <v>10</v>
      </c>
      <c r="E2384" t="s">
        <v>16</v>
      </c>
      <c r="F2384" t="s">
        <v>26</v>
      </c>
      <c r="L2384" t="s">
        <v>10881</v>
      </c>
      <c r="R2384" t="s">
        <v>10881</v>
      </c>
      <c r="T2384" t="s">
        <v>10882</v>
      </c>
      <c r="U2384" t="s">
        <v>10881</v>
      </c>
      <c r="V2384" t="s">
        <v>10881</v>
      </c>
      <c r="W2384" t="s">
        <v>86</v>
      </c>
      <c r="X2384" t="s">
        <v>10883</v>
      </c>
      <c r="Y2384">
        <v>1</v>
      </c>
      <c r="Z2384">
        <v>1</v>
      </c>
    </row>
    <row r="2385" spans="1:26">
      <c r="A2385" s="1">
        <v>2383</v>
      </c>
      <c r="B2385" t="str">
        <f>HYPERLINK("https://bugs.eclipse.org/bugs/show_bug.cgi?id=90772", "90772")</f>
        <v>90772</v>
      </c>
      <c r="C2385" t="s">
        <v>35</v>
      </c>
      <c r="D2385" t="s">
        <v>11</v>
      </c>
      <c r="E2385" t="s">
        <v>12</v>
      </c>
      <c r="F2385" t="s">
        <v>150</v>
      </c>
      <c r="L2385" t="s">
        <v>10884</v>
      </c>
      <c r="M2385" t="s">
        <v>10885</v>
      </c>
      <c r="N2385" t="s">
        <v>10884</v>
      </c>
      <c r="T2385" t="s">
        <v>10886</v>
      </c>
      <c r="U2385" t="s">
        <v>10887</v>
      </c>
      <c r="V2385" t="s">
        <v>10885</v>
      </c>
      <c r="W2385" t="s">
        <v>49</v>
      </c>
      <c r="X2385" t="s">
        <v>10888</v>
      </c>
      <c r="Y2385">
        <v>3</v>
      </c>
      <c r="Z2385">
        <v>32</v>
      </c>
    </row>
    <row r="2386" spans="1:26">
      <c r="A2386" s="1">
        <v>2384</v>
      </c>
      <c r="B2386" t="str">
        <f>HYPERLINK("https://bugs.eclipse.org/bugs/show_bug.cgi?id=90774", "90774")</f>
        <v>90774</v>
      </c>
      <c r="C2386" t="s">
        <v>149</v>
      </c>
      <c r="D2386" t="s">
        <v>10</v>
      </c>
      <c r="E2386" t="s">
        <v>12</v>
      </c>
      <c r="F2386" t="s">
        <v>26</v>
      </c>
      <c r="L2386" t="s">
        <v>10889</v>
      </c>
      <c r="N2386" t="s">
        <v>10889</v>
      </c>
      <c r="T2386" t="s">
        <v>10890</v>
      </c>
      <c r="U2386" t="s">
        <v>10891</v>
      </c>
      <c r="V2386" t="s">
        <v>10889</v>
      </c>
      <c r="W2386" t="s">
        <v>851</v>
      </c>
      <c r="X2386" t="s">
        <v>10892</v>
      </c>
      <c r="Y2386">
        <v>329.04166666666669</v>
      </c>
      <c r="Z2386">
        <v>329.04166666666669</v>
      </c>
    </row>
    <row r="2387" spans="1:26">
      <c r="A2387" s="1">
        <v>2385</v>
      </c>
      <c r="B2387" t="str">
        <f>HYPERLINK("https://bugs.eclipse.org/bugs/show_bug.cgi?id=90809", "90809")</f>
        <v>90809</v>
      </c>
      <c r="C2387" t="s">
        <v>149</v>
      </c>
      <c r="D2387" t="s">
        <v>10</v>
      </c>
      <c r="E2387" t="s">
        <v>12</v>
      </c>
      <c r="F2387" t="s">
        <v>26</v>
      </c>
      <c r="L2387" t="s">
        <v>10893</v>
      </c>
      <c r="N2387" t="s">
        <v>10893</v>
      </c>
      <c r="T2387" t="s">
        <v>10894</v>
      </c>
      <c r="U2387" t="s">
        <v>10895</v>
      </c>
      <c r="V2387" t="s">
        <v>10893</v>
      </c>
      <c r="W2387" t="s">
        <v>40</v>
      </c>
      <c r="X2387" t="s">
        <v>10896</v>
      </c>
      <c r="Y2387">
        <v>0</v>
      </c>
      <c r="Z2387">
        <v>31</v>
      </c>
    </row>
    <row r="2388" spans="1:26">
      <c r="A2388" s="1">
        <v>2386</v>
      </c>
      <c r="B2388" t="str">
        <f>HYPERLINK("https://bugs.eclipse.org/bugs/show_bug.cgi?id=90880", "90880")</f>
        <v>90880</v>
      </c>
      <c r="C2388" t="s">
        <v>149</v>
      </c>
      <c r="D2388" t="s">
        <v>10</v>
      </c>
      <c r="E2388" t="s">
        <v>12</v>
      </c>
      <c r="F2388" t="s">
        <v>26</v>
      </c>
      <c r="L2388" t="s">
        <v>10897</v>
      </c>
      <c r="N2388" t="s">
        <v>10897</v>
      </c>
      <c r="T2388" t="s">
        <v>10898</v>
      </c>
      <c r="U2388" t="s">
        <v>10899</v>
      </c>
      <c r="V2388" t="s">
        <v>10897</v>
      </c>
      <c r="W2388" t="s">
        <v>851</v>
      </c>
      <c r="X2388" t="s">
        <v>10900</v>
      </c>
      <c r="Y2388">
        <v>3</v>
      </c>
      <c r="Z2388">
        <v>5</v>
      </c>
    </row>
    <row r="2389" spans="1:26">
      <c r="A2389" s="1">
        <v>2387</v>
      </c>
      <c r="B2389" t="str">
        <f>HYPERLINK("https://bugs.eclipse.org/bugs/show_bug.cgi?id=90907", "90907")</f>
        <v>90907</v>
      </c>
      <c r="C2389" t="s">
        <v>35</v>
      </c>
      <c r="D2389" t="s">
        <v>11</v>
      </c>
      <c r="E2389" t="s">
        <v>12</v>
      </c>
      <c r="F2389" t="s">
        <v>26</v>
      </c>
      <c r="L2389" t="s">
        <v>10901</v>
      </c>
      <c r="M2389" t="s">
        <v>10902</v>
      </c>
      <c r="N2389" t="s">
        <v>10901</v>
      </c>
      <c r="T2389" t="s">
        <v>10903</v>
      </c>
      <c r="U2389" t="s">
        <v>10904</v>
      </c>
      <c r="V2389" t="s">
        <v>10902</v>
      </c>
      <c r="W2389" t="s">
        <v>2668</v>
      </c>
      <c r="X2389" t="s">
        <v>10905</v>
      </c>
      <c r="Y2389">
        <v>2</v>
      </c>
      <c r="Z2389">
        <v>48</v>
      </c>
    </row>
    <row r="2390" spans="1:26">
      <c r="A2390" s="1">
        <v>2388</v>
      </c>
      <c r="B2390" t="str">
        <f>HYPERLINK("https://bugs.eclipse.org/bugs/show_bug.cgi?id=91115", "91115")</f>
        <v>91115</v>
      </c>
      <c r="C2390" t="s">
        <v>149</v>
      </c>
      <c r="D2390" t="s">
        <v>10</v>
      </c>
      <c r="E2390" t="s">
        <v>12</v>
      </c>
      <c r="F2390" t="s">
        <v>26</v>
      </c>
      <c r="L2390" t="s">
        <v>10906</v>
      </c>
      <c r="N2390" t="s">
        <v>10906</v>
      </c>
      <c r="T2390" t="s">
        <v>10907</v>
      </c>
      <c r="U2390" t="s">
        <v>10906</v>
      </c>
      <c r="V2390" t="s">
        <v>10906</v>
      </c>
      <c r="W2390" t="s">
        <v>851</v>
      </c>
      <c r="X2390" t="s">
        <v>10908</v>
      </c>
      <c r="Y2390">
        <v>0</v>
      </c>
      <c r="Z2390">
        <v>0</v>
      </c>
    </row>
    <row r="2391" spans="1:26">
      <c r="A2391" s="1">
        <v>2389</v>
      </c>
      <c r="B2391" t="str">
        <f>HYPERLINK("https://bugs.eclipse.org/bugs/show_bug.cgi?id=91213", "91213")</f>
        <v>91213</v>
      </c>
      <c r="C2391" t="s">
        <v>56</v>
      </c>
      <c r="D2391" t="s">
        <v>10</v>
      </c>
      <c r="E2391" t="s">
        <v>14</v>
      </c>
      <c r="F2391" t="s">
        <v>26</v>
      </c>
      <c r="L2391" t="s">
        <v>10909</v>
      </c>
      <c r="P2391" t="s">
        <v>10909</v>
      </c>
      <c r="T2391" t="s">
        <v>10910</v>
      </c>
      <c r="U2391" t="s">
        <v>10911</v>
      </c>
      <c r="V2391" t="s">
        <v>10909</v>
      </c>
      <c r="W2391" t="s">
        <v>86</v>
      </c>
      <c r="X2391" t="s">
        <v>10912</v>
      </c>
      <c r="Y2391">
        <v>0</v>
      </c>
      <c r="Z2391">
        <v>16</v>
      </c>
    </row>
    <row r="2392" spans="1:26">
      <c r="A2392" s="1">
        <v>2390</v>
      </c>
      <c r="B2392" t="str">
        <f>HYPERLINK("https://bugs.eclipse.org/bugs/show_bug.cgi?id=91266", "91266")</f>
        <v>91266</v>
      </c>
      <c r="C2392" t="s">
        <v>35</v>
      </c>
      <c r="D2392" t="s">
        <v>11</v>
      </c>
      <c r="E2392" t="s">
        <v>12</v>
      </c>
      <c r="F2392" t="s">
        <v>150</v>
      </c>
      <c r="L2392" t="s">
        <v>10913</v>
      </c>
      <c r="M2392" t="s">
        <v>10914</v>
      </c>
      <c r="N2392" t="s">
        <v>10913</v>
      </c>
      <c r="T2392" t="s">
        <v>10915</v>
      </c>
      <c r="U2392" t="s">
        <v>10916</v>
      </c>
      <c r="V2392" t="s">
        <v>10914</v>
      </c>
      <c r="W2392" t="s">
        <v>49</v>
      </c>
      <c r="X2392" t="s">
        <v>10917</v>
      </c>
      <c r="Y2392">
        <v>1</v>
      </c>
      <c r="Z2392">
        <v>27</v>
      </c>
    </row>
    <row r="2393" spans="1:26">
      <c r="A2393" s="1">
        <v>2391</v>
      </c>
      <c r="B2393" t="str">
        <f>HYPERLINK("https://bugs.eclipse.org/bugs/show_bug.cgi?id=91324", "91324")</f>
        <v>91324</v>
      </c>
      <c r="C2393" t="s">
        <v>149</v>
      </c>
      <c r="D2393" t="s">
        <v>10</v>
      </c>
      <c r="E2393" t="s">
        <v>12</v>
      </c>
      <c r="F2393" t="s">
        <v>26</v>
      </c>
      <c r="G2393" t="s">
        <v>10918</v>
      </c>
      <c r="L2393" t="s">
        <v>10919</v>
      </c>
      <c r="N2393" t="s">
        <v>10919</v>
      </c>
      <c r="T2393" t="s">
        <v>10920</v>
      </c>
      <c r="U2393" t="s">
        <v>10921</v>
      </c>
      <c r="V2393" t="s">
        <v>10922</v>
      </c>
      <c r="W2393" t="s">
        <v>851</v>
      </c>
      <c r="X2393" t="s">
        <v>10923</v>
      </c>
      <c r="Y2393">
        <v>1</v>
      </c>
      <c r="Z2393">
        <v>13</v>
      </c>
    </row>
    <row r="2394" spans="1:26">
      <c r="A2394" s="1">
        <v>2392</v>
      </c>
      <c r="B2394" t="str">
        <f>HYPERLINK("https://bugs.eclipse.org/bugs/show_bug.cgi?id=91379", "91379")</f>
        <v>91379</v>
      </c>
      <c r="C2394" t="s">
        <v>140</v>
      </c>
      <c r="D2394" t="s">
        <v>10</v>
      </c>
      <c r="E2394" t="s">
        <v>16</v>
      </c>
      <c r="F2394" t="s">
        <v>26</v>
      </c>
      <c r="L2394" t="s">
        <v>10924</v>
      </c>
      <c r="R2394" t="s">
        <v>10924</v>
      </c>
      <c r="T2394" t="s">
        <v>10925</v>
      </c>
      <c r="U2394" t="s">
        <v>10926</v>
      </c>
      <c r="V2394" t="s">
        <v>10924</v>
      </c>
      <c r="W2394" t="s">
        <v>851</v>
      </c>
      <c r="X2394" t="s">
        <v>10927</v>
      </c>
      <c r="Y2394">
        <v>0</v>
      </c>
      <c r="Z2394">
        <v>62</v>
      </c>
    </row>
    <row r="2395" spans="1:26">
      <c r="A2395" s="1">
        <v>2393</v>
      </c>
      <c r="B2395" t="str">
        <f>HYPERLINK("https://bugs.eclipse.org/bugs/show_bug.cgi?id=91380", "91380")</f>
        <v>91380</v>
      </c>
      <c r="C2395" t="s">
        <v>191</v>
      </c>
      <c r="D2395" t="s">
        <v>192</v>
      </c>
      <c r="E2395" t="s">
        <v>14</v>
      </c>
      <c r="F2395" t="s">
        <v>26</v>
      </c>
      <c r="P2395" t="s">
        <v>10928</v>
      </c>
      <c r="T2395" t="s">
        <v>10929</v>
      </c>
      <c r="U2395" t="s">
        <v>10930</v>
      </c>
      <c r="V2395" t="s">
        <v>10928</v>
      </c>
      <c r="W2395" t="s">
        <v>65</v>
      </c>
      <c r="X2395" t="s">
        <v>10931</v>
      </c>
      <c r="Y2395">
        <v>0</v>
      </c>
      <c r="Z2395">
        <v>5413.041666666667</v>
      </c>
    </row>
    <row r="2396" spans="1:26">
      <c r="A2396" s="1">
        <v>2394</v>
      </c>
      <c r="B2396" t="str">
        <f>HYPERLINK("https://bugs.eclipse.org/bugs/show_bug.cgi?id=91470", "91470")</f>
        <v>91470</v>
      </c>
      <c r="C2396" t="s">
        <v>35</v>
      </c>
      <c r="D2396" t="s">
        <v>11</v>
      </c>
      <c r="E2396" t="s">
        <v>12</v>
      </c>
      <c r="F2396" t="s">
        <v>150</v>
      </c>
      <c r="G2396" t="s">
        <v>10932</v>
      </c>
      <c r="L2396" t="s">
        <v>10933</v>
      </c>
      <c r="M2396" t="s">
        <v>10934</v>
      </c>
      <c r="N2396" t="s">
        <v>10933</v>
      </c>
      <c r="T2396" t="s">
        <v>10935</v>
      </c>
      <c r="U2396" t="s">
        <v>10936</v>
      </c>
      <c r="V2396" t="s">
        <v>10937</v>
      </c>
      <c r="W2396" t="s">
        <v>86</v>
      </c>
      <c r="X2396" t="s">
        <v>10938</v>
      </c>
      <c r="Y2396">
        <v>1</v>
      </c>
      <c r="Z2396">
        <v>26</v>
      </c>
    </row>
    <row r="2397" spans="1:26">
      <c r="A2397" s="1">
        <v>2395</v>
      </c>
      <c r="B2397" t="str">
        <f>HYPERLINK("https://bugs.eclipse.org/bugs/show_bug.cgi?id=91474", "91474")</f>
        <v>91474</v>
      </c>
      <c r="C2397" t="s">
        <v>10939</v>
      </c>
      <c r="D2397" t="s">
        <v>10</v>
      </c>
      <c r="E2397" t="s">
        <v>15</v>
      </c>
      <c r="F2397" t="s">
        <v>26</v>
      </c>
      <c r="L2397" t="s">
        <v>10940</v>
      </c>
      <c r="Q2397" t="s">
        <v>10940</v>
      </c>
      <c r="T2397" t="s">
        <v>10941</v>
      </c>
      <c r="U2397" t="s">
        <v>10942</v>
      </c>
      <c r="V2397" t="s">
        <v>10940</v>
      </c>
      <c r="W2397" t="s">
        <v>86</v>
      </c>
      <c r="X2397" t="s">
        <v>10943</v>
      </c>
      <c r="Y2397">
        <v>0</v>
      </c>
      <c r="Z2397">
        <v>2</v>
      </c>
    </row>
    <row r="2398" spans="1:26">
      <c r="A2398" s="1">
        <v>2396</v>
      </c>
      <c r="B2398" t="str">
        <f>HYPERLINK("https://bugs.eclipse.org/bugs/show_bug.cgi?id=91817", "91817")</f>
        <v>91817</v>
      </c>
      <c r="C2398" t="s">
        <v>191</v>
      </c>
      <c r="D2398" t="s">
        <v>192</v>
      </c>
      <c r="E2398" t="s">
        <v>14</v>
      </c>
      <c r="F2398" t="s">
        <v>26</v>
      </c>
      <c r="P2398" t="s">
        <v>10944</v>
      </c>
      <c r="T2398" t="s">
        <v>10945</v>
      </c>
      <c r="U2398" t="s">
        <v>10946</v>
      </c>
      <c r="V2398" t="s">
        <v>10944</v>
      </c>
      <c r="W2398" t="s">
        <v>65</v>
      </c>
      <c r="X2398" t="s">
        <v>10947</v>
      </c>
      <c r="Y2398">
        <v>1</v>
      </c>
      <c r="Z2398">
        <v>5442</v>
      </c>
    </row>
    <row r="2399" spans="1:26">
      <c r="A2399" s="1">
        <v>2397</v>
      </c>
      <c r="B2399" t="str">
        <f>HYPERLINK("https://bugs.eclipse.org/bugs/show_bug.cgi?id=91885", "91885")</f>
        <v>91885</v>
      </c>
      <c r="C2399" t="s">
        <v>56</v>
      </c>
      <c r="D2399" t="s">
        <v>10</v>
      </c>
      <c r="E2399" t="s">
        <v>14</v>
      </c>
      <c r="F2399" t="s">
        <v>26</v>
      </c>
      <c r="L2399" t="s">
        <v>10948</v>
      </c>
      <c r="P2399" t="s">
        <v>10949</v>
      </c>
      <c r="T2399" t="s">
        <v>10950</v>
      </c>
      <c r="U2399" t="s">
        <v>10951</v>
      </c>
      <c r="V2399" t="s">
        <v>10949</v>
      </c>
      <c r="W2399" t="s">
        <v>80</v>
      </c>
      <c r="X2399" t="s">
        <v>10952</v>
      </c>
      <c r="Y2399">
        <v>0</v>
      </c>
      <c r="Z2399">
        <v>1594</v>
      </c>
    </row>
    <row r="2400" spans="1:26">
      <c r="A2400" s="1">
        <v>2398</v>
      </c>
      <c r="B2400" t="str">
        <f>HYPERLINK("https://bugs.eclipse.org/bugs/show_bug.cgi?id=92011", "92011")</f>
        <v>92011</v>
      </c>
      <c r="C2400" t="s">
        <v>56</v>
      </c>
      <c r="D2400" t="s">
        <v>10</v>
      </c>
      <c r="E2400" t="s">
        <v>14</v>
      </c>
      <c r="F2400" t="s">
        <v>51</v>
      </c>
      <c r="L2400" t="s">
        <v>10953</v>
      </c>
      <c r="P2400" t="s">
        <v>10954</v>
      </c>
      <c r="S2400" t="s">
        <v>10955</v>
      </c>
      <c r="T2400" t="s">
        <v>10956</v>
      </c>
      <c r="U2400" t="s">
        <v>10957</v>
      </c>
      <c r="V2400" t="s">
        <v>10954</v>
      </c>
      <c r="W2400" t="s">
        <v>75</v>
      </c>
      <c r="X2400" t="s">
        <v>10958</v>
      </c>
      <c r="Y2400">
        <v>1</v>
      </c>
      <c r="Z2400">
        <v>1594</v>
      </c>
    </row>
    <row r="2401" spans="1:26">
      <c r="A2401" s="1">
        <v>2399</v>
      </c>
      <c r="B2401" t="str">
        <f>HYPERLINK("https://bugs.eclipse.org/bugs/show_bug.cgi?id=92189", "92189")</f>
        <v>92189</v>
      </c>
      <c r="C2401" t="s">
        <v>35</v>
      </c>
      <c r="D2401" t="s">
        <v>11</v>
      </c>
      <c r="E2401" t="s">
        <v>12</v>
      </c>
      <c r="F2401" t="s">
        <v>26</v>
      </c>
      <c r="L2401" t="s">
        <v>10959</v>
      </c>
      <c r="M2401" t="s">
        <v>10960</v>
      </c>
      <c r="N2401" t="s">
        <v>10959</v>
      </c>
      <c r="T2401" t="s">
        <v>10961</v>
      </c>
      <c r="U2401" t="s">
        <v>10962</v>
      </c>
      <c r="V2401" t="s">
        <v>10960</v>
      </c>
      <c r="W2401" t="s">
        <v>86</v>
      </c>
      <c r="X2401" t="s">
        <v>10963</v>
      </c>
      <c r="Y2401">
        <v>0</v>
      </c>
      <c r="Z2401">
        <v>39</v>
      </c>
    </row>
    <row r="2402" spans="1:26">
      <c r="A2402" s="1">
        <v>2400</v>
      </c>
      <c r="B2402" t="str">
        <f>HYPERLINK("https://bugs.eclipse.org/bugs/show_bug.cgi?id=92322", "92322")</f>
        <v>92322</v>
      </c>
      <c r="C2402" t="s">
        <v>56</v>
      </c>
      <c r="D2402" t="s">
        <v>10</v>
      </c>
      <c r="E2402" t="s">
        <v>14</v>
      </c>
      <c r="F2402" t="s">
        <v>26</v>
      </c>
      <c r="G2402" t="s">
        <v>10964</v>
      </c>
      <c r="L2402" t="s">
        <v>10965</v>
      </c>
      <c r="P2402" t="s">
        <v>10965</v>
      </c>
      <c r="T2402" t="s">
        <v>10966</v>
      </c>
      <c r="U2402" t="s">
        <v>10967</v>
      </c>
      <c r="V2402" t="s">
        <v>10965</v>
      </c>
      <c r="W2402" t="s">
        <v>49</v>
      </c>
      <c r="X2402" t="s">
        <v>10968</v>
      </c>
      <c r="Y2402">
        <v>1</v>
      </c>
      <c r="Z2402">
        <v>1107</v>
      </c>
    </row>
    <row r="2403" spans="1:26">
      <c r="A2403" s="1">
        <v>2401</v>
      </c>
      <c r="B2403" t="str">
        <f>HYPERLINK("https://bugs.eclipse.org/bugs/show_bug.cgi?id=92418", "92418")</f>
        <v>92418</v>
      </c>
      <c r="C2403" t="s">
        <v>56</v>
      </c>
      <c r="D2403" t="s">
        <v>10</v>
      </c>
      <c r="E2403" t="s">
        <v>14</v>
      </c>
      <c r="F2403" t="s">
        <v>26</v>
      </c>
      <c r="L2403" t="s">
        <v>10969</v>
      </c>
      <c r="P2403" t="s">
        <v>10970</v>
      </c>
      <c r="T2403" t="s">
        <v>10971</v>
      </c>
      <c r="U2403" t="s">
        <v>10969</v>
      </c>
      <c r="V2403" t="s">
        <v>10970</v>
      </c>
      <c r="W2403" t="s">
        <v>75</v>
      </c>
      <c r="X2403" t="s">
        <v>10972</v>
      </c>
      <c r="Y2403">
        <v>3</v>
      </c>
      <c r="Z2403">
        <v>1591</v>
      </c>
    </row>
    <row r="2404" spans="1:26">
      <c r="A2404" s="1">
        <v>2402</v>
      </c>
      <c r="B2404" t="str">
        <f>HYPERLINK("https://bugs.eclipse.org/bugs/show_bug.cgi?id=92483", "92483")</f>
        <v>92483</v>
      </c>
      <c r="C2404" t="s">
        <v>35</v>
      </c>
      <c r="D2404" t="s">
        <v>11</v>
      </c>
      <c r="E2404" t="s">
        <v>12</v>
      </c>
      <c r="F2404" t="s">
        <v>150</v>
      </c>
      <c r="L2404" t="s">
        <v>10973</v>
      </c>
      <c r="M2404" t="s">
        <v>10974</v>
      </c>
      <c r="N2404" t="s">
        <v>10973</v>
      </c>
      <c r="T2404" t="s">
        <v>10975</v>
      </c>
      <c r="U2404" t="s">
        <v>10976</v>
      </c>
      <c r="V2404" t="s">
        <v>10974</v>
      </c>
      <c r="W2404" t="s">
        <v>49</v>
      </c>
      <c r="X2404" t="s">
        <v>10977</v>
      </c>
      <c r="Y2404">
        <v>0</v>
      </c>
      <c r="Z2404">
        <v>17</v>
      </c>
    </row>
    <row r="2405" spans="1:26">
      <c r="A2405" s="1">
        <v>2403</v>
      </c>
      <c r="B2405" t="str">
        <f>HYPERLINK("https://bugs.eclipse.org/bugs/show_bug.cgi?id=92507", "92507")</f>
        <v>92507</v>
      </c>
      <c r="C2405" t="s">
        <v>191</v>
      </c>
      <c r="D2405" t="s">
        <v>192</v>
      </c>
      <c r="E2405" t="s">
        <v>14</v>
      </c>
      <c r="F2405" t="s">
        <v>26</v>
      </c>
      <c r="P2405" t="s">
        <v>10978</v>
      </c>
      <c r="T2405" t="s">
        <v>10979</v>
      </c>
      <c r="U2405" t="s">
        <v>10980</v>
      </c>
      <c r="V2405" t="s">
        <v>10978</v>
      </c>
      <c r="W2405" t="s">
        <v>65</v>
      </c>
      <c r="X2405" t="s">
        <v>10981</v>
      </c>
      <c r="Y2405">
        <v>6</v>
      </c>
      <c r="Z2405">
        <v>5391.041666666667</v>
      </c>
    </row>
    <row r="2406" spans="1:26">
      <c r="A2406" s="1">
        <v>2404</v>
      </c>
      <c r="B2406" t="str">
        <f>HYPERLINK("https://bugs.eclipse.org/bugs/show_bug.cgi?id=92519", "92519")</f>
        <v>92519</v>
      </c>
      <c r="C2406" t="s">
        <v>35</v>
      </c>
      <c r="D2406" t="s">
        <v>11</v>
      </c>
      <c r="E2406" t="s">
        <v>12</v>
      </c>
      <c r="F2406" t="s">
        <v>26</v>
      </c>
      <c r="L2406" t="s">
        <v>10982</v>
      </c>
      <c r="M2406" t="s">
        <v>10983</v>
      </c>
      <c r="N2406" t="s">
        <v>10982</v>
      </c>
      <c r="T2406" t="s">
        <v>10984</v>
      </c>
      <c r="U2406" t="s">
        <v>10985</v>
      </c>
      <c r="V2406" t="s">
        <v>10983</v>
      </c>
      <c r="W2406" t="s">
        <v>2668</v>
      </c>
      <c r="X2406" t="s">
        <v>10986</v>
      </c>
      <c r="Y2406">
        <v>1</v>
      </c>
      <c r="Z2406">
        <v>33</v>
      </c>
    </row>
    <row r="2407" spans="1:26">
      <c r="A2407" s="1">
        <v>2405</v>
      </c>
      <c r="B2407" t="str">
        <f>HYPERLINK("https://bugs.eclipse.org/bugs/show_bug.cgi?id=92543", "92543")</f>
        <v>92543</v>
      </c>
      <c r="C2407" t="s">
        <v>56</v>
      </c>
      <c r="D2407" t="s">
        <v>10</v>
      </c>
      <c r="E2407" t="s">
        <v>14</v>
      </c>
      <c r="F2407" t="s">
        <v>26</v>
      </c>
      <c r="L2407" t="s">
        <v>10987</v>
      </c>
      <c r="P2407" t="s">
        <v>10988</v>
      </c>
      <c r="T2407" t="s">
        <v>10989</v>
      </c>
      <c r="U2407" t="s">
        <v>10987</v>
      </c>
      <c r="V2407" t="s">
        <v>10988</v>
      </c>
      <c r="W2407" t="s">
        <v>75</v>
      </c>
      <c r="X2407" t="s">
        <v>10990</v>
      </c>
      <c r="Y2407">
        <v>1</v>
      </c>
      <c r="Z2407">
        <v>1589</v>
      </c>
    </row>
    <row r="2408" spans="1:26">
      <c r="A2408" s="1">
        <v>2406</v>
      </c>
      <c r="B2408" t="str">
        <f>HYPERLINK("https://bugs.eclipse.org/bugs/show_bug.cgi?id=92582", "92582")</f>
        <v>92582</v>
      </c>
      <c r="C2408" t="s">
        <v>10991</v>
      </c>
      <c r="D2408" t="s">
        <v>10</v>
      </c>
      <c r="E2408" t="s">
        <v>15</v>
      </c>
      <c r="F2408" t="s">
        <v>26</v>
      </c>
      <c r="L2408" t="s">
        <v>10922</v>
      </c>
      <c r="Q2408" t="s">
        <v>10922</v>
      </c>
      <c r="T2408" t="s">
        <v>10992</v>
      </c>
      <c r="U2408" t="s">
        <v>10993</v>
      </c>
      <c r="V2408" t="s">
        <v>10922</v>
      </c>
      <c r="W2408" t="s">
        <v>851</v>
      </c>
      <c r="X2408" t="s">
        <v>10994</v>
      </c>
      <c r="Y2408">
        <v>0</v>
      </c>
      <c r="Z2408">
        <v>1</v>
      </c>
    </row>
    <row r="2409" spans="1:26">
      <c r="A2409" s="1">
        <v>2407</v>
      </c>
      <c r="B2409" t="str">
        <f>HYPERLINK("https://bugs.eclipse.org/bugs/show_bug.cgi?id=92782", "92782")</f>
        <v>92782</v>
      </c>
      <c r="C2409" t="s">
        <v>56</v>
      </c>
      <c r="D2409" t="s">
        <v>10</v>
      </c>
      <c r="E2409" t="s">
        <v>14</v>
      </c>
      <c r="F2409" t="s">
        <v>26</v>
      </c>
      <c r="G2409" t="s">
        <v>10995</v>
      </c>
      <c r="L2409" t="s">
        <v>10996</v>
      </c>
      <c r="P2409" t="s">
        <v>10997</v>
      </c>
      <c r="T2409" t="s">
        <v>10998</v>
      </c>
      <c r="U2409" t="s">
        <v>10999</v>
      </c>
      <c r="V2409" t="s">
        <v>10997</v>
      </c>
      <c r="W2409" t="s">
        <v>75</v>
      </c>
      <c r="X2409" t="s">
        <v>11000</v>
      </c>
      <c r="Y2409">
        <v>0</v>
      </c>
      <c r="Z2409">
        <v>1587</v>
      </c>
    </row>
    <row r="2410" spans="1:26">
      <c r="A2410" s="1">
        <v>2408</v>
      </c>
      <c r="B2410" t="str">
        <f>HYPERLINK("https://bugs.eclipse.org/bugs/show_bug.cgi?id=92841", "92841")</f>
        <v>92841</v>
      </c>
      <c r="C2410" t="s">
        <v>35</v>
      </c>
      <c r="D2410" t="s">
        <v>11</v>
      </c>
      <c r="E2410" t="s">
        <v>12</v>
      </c>
      <c r="F2410" t="s">
        <v>26</v>
      </c>
      <c r="G2410" t="s">
        <v>11001</v>
      </c>
      <c r="L2410" t="s">
        <v>11002</v>
      </c>
      <c r="M2410" t="s">
        <v>11003</v>
      </c>
      <c r="N2410" t="s">
        <v>11002</v>
      </c>
      <c r="T2410" t="s">
        <v>11004</v>
      </c>
      <c r="U2410" t="s">
        <v>11005</v>
      </c>
      <c r="V2410" t="s">
        <v>11006</v>
      </c>
      <c r="W2410" t="s">
        <v>11007</v>
      </c>
      <c r="X2410" t="s">
        <v>11008</v>
      </c>
      <c r="Y2410">
        <v>1</v>
      </c>
      <c r="Z2410">
        <v>60</v>
      </c>
    </row>
    <row r="2411" spans="1:26">
      <c r="A2411" s="1">
        <v>2409</v>
      </c>
      <c r="B2411" t="str">
        <f>HYPERLINK("https://bugs.eclipse.org/bugs/show_bug.cgi?id=92893", "92893")</f>
        <v>92893</v>
      </c>
      <c r="C2411" t="s">
        <v>149</v>
      </c>
      <c r="D2411" t="s">
        <v>10</v>
      </c>
      <c r="E2411" t="s">
        <v>12</v>
      </c>
      <c r="F2411" t="s">
        <v>26</v>
      </c>
      <c r="G2411" t="s">
        <v>11009</v>
      </c>
      <c r="L2411" t="s">
        <v>11010</v>
      </c>
      <c r="N2411" t="s">
        <v>11010</v>
      </c>
      <c r="T2411" t="s">
        <v>11011</v>
      </c>
      <c r="U2411" t="s">
        <v>11012</v>
      </c>
      <c r="V2411" t="s">
        <v>11013</v>
      </c>
      <c r="W2411" t="s">
        <v>1954</v>
      </c>
      <c r="X2411" t="s">
        <v>11014</v>
      </c>
      <c r="Y2411">
        <v>0</v>
      </c>
      <c r="Z2411">
        <v>278.04166666666669</v>
      </c>
    </row>
    <row r="2412" spans="1:26">
      <c r="A2412" s="1">
        <v>2410</v>
      </c>
      <c r="B2412" t="str">
        <f>HYPERLINK("https://bugs.eclipse.org/bugs/show_bug.cgi?id=92991", "92991")</f>
        <v>92991</v>
      </c>
      <c r="C2412" t="s">
        <v>149</v>
      </c>
      <c r="D2412" t="s">
        <v>10</v>
      </c>
      <c r="E2412" t="s">
        <v>12</v>
      </c>
      <c r="F2412" t="s">
        <v>26</v>
      </c>
      <c r="L2412" t="s">
        <v>11015</v>
      </c>
      <c r="N2412" t="s">
        <v>11015</v>
      </c>
      <c r="T2412" t="s">
        <v>11016</v>
      </c>
      <c r="U2412" t="s">
        <v>11017</v>
      </c>
      <c r="V2412" t="s">
        <v>11015</v>
      </c>
      <c r="W2412" t="s">
        <v>2668</v>
      </c>
      <c r="X2412" t="s">
        <v>11018</v>
      </c>
      <c r="Y2412">
        <v>1</v>
      </c>
      <c r="Z2412">
        <v>1</v>
      </c>
    </row>
    <row r="2413" spans="1:26">
      <c r="A2413" s="1">
        <v>2411</v>
      </c>
      <c r="B2413" t="str">
        <f>HYPERLINK("https://bugs.eclipse.org/bugs/show_bug.cgi?id=93251", "93251")</f>
        <v>93251</v>
      </c>
      <c r="C2413" t="s">
        <v>56</v>
      </c>
      <c r="D2413" t="s">
        <v>10</v>
      </c>
      <c r="E2413" t="s">
        <v>14</v>
      </c>
      <c r="F2413" t="s">
        <v>26</v>
      </c>
      <c r="L2413" t="s">
        <v>11019</v>
      </c>
      <c r="P2413" t="s">
        <v>11019</v>
      </c>
      <c r="T2413" t="s">
        <v>11020</v>
      </c>
      <c r="U2413" t="s">
        <v>11019</v>
      </c>
      <c r="V2413" t="s">
        <v>11019</v>
      </c>
      <c r="W2413" t="s">
        <v>86</v>
      </c>
      <c r="X2413" t="s">
        <v>11021</v>
      </c>
      <c r="Y2413">
        <v>27</v>
      </c>
      <c r="Z2413">
        <v>27</v>
      </c>
    </row>
    <row r="2414" spans="1:26">
      <c r="A2414" s="1">
        <v>2412</v>
      </c>
      <c r="B2414" t="str">
        <f>HYPERLINK("https://bugs.eclipse.org/bugs/show_bug.cgi?id=93287", "93287")</f>
        <v>93287</v>
      </c>
      <c r="C2414" t="s">
        <v>149</v>
      </c>
      <c r="D2414" t="s">
        <v>10</v>
      </c>
      <c r="E2414" t="s">
        <v>12</v>
      </c>
      <c r="F2414" t="s">
        <v>26</v>
      </c>
      <c r="L2414" t="s">
        <v>11022</v>
      </c>
      <c r="N2414" t="s">
        <v>11022</v>
      </c>
      <c r="T2414" t="s">
        <v>11023</v>
      </c>
      <c r="U2414" t="s">
        <v>11024</v>
      </c>
      <c r="V2414" t="s">
        <v>11022</v>
      </c>
      <c r="W2414" t="s">
        <v>86</v>
      </c>
      <c r="X2414" t="s">
        <v>11025</v>
      </c>
      <c r="Y2414">
        <v>0</v>
      </c>
      <c r="Z2414">
        <v>0</v>
      </c>
    </row>
    <row r="2415" spans="1:26">
      <c r="A2415" s="1">
        <v>2413</v>
      </c>
      <c r="B2415" t="str">
        <f>HYPERLINK("https://bugs.eclipse.org/bugs/show_bug.cgi?id=93367", "93367")</f>
        <v>93367</v>
      </c>
      <c r="C2415" t="s">
        <v>11026</v>
      </c>
      <c r="D2415" t="s">
        <v>10</v>
      </c>
      <c r="E2415" t="s">
        <v>15</v>
      </c>
      <c r="F2415" t="s">
        <v>26</v>
      </c>
      <c r="L2415" t="s">
        <v>10495</v>
      </c>
      <c r="Q2415" t="s">
        <v>10495</v>
      </c>
      <c r="T2415" t="s">
        <v>11027</v>
      </c>
      <c r="U2415" t="s">
        <v>11028</v>
      </c>
      <c r="V2415" t="s">
        <v>10495</v>
      </c>
      <c r="W2415" t="s">
        <v>851</v>
      </c>
      <c r="X2415" t="s">
        <v>11029</v>
      </c>
      <c r="Y2415">
        <v>0</v>
      </c>
      <c r="Z2415">
        <v>26</v>
      </c>
    </row>
    <row r="2416" spans="1:26">
      <c r="A2416" s="1">
        <v>2414</v>
      </c>
      <c r="B2416" t="str">
        <f>HYPERLINK("https://bugs.eclipse.org/bugs/show_bug.cgi?id=93369", "93369")</f>
        <v>93369</v>
      </c>
      <c r="C2416" t="s">
        <v>140</v>
      </c>
      <c r="D2416" t="s">
        <v>10</v>
      </c>
      <c r="E2416" t="s">
        <v>16</v>
      </c>
      <c r="F2416" t="s">
        <v>26</v>
      </c>
      <c r="L2416" t="s">
        <v>11030</v>
      </c>
      <c r="R2416" t="s">
        <v>11030</v>
      </c>
      <c r="T2416" t="s">
        <v>11031</v>
      </c>
      <c r="U2416" t="s">
        <v>11032</v>
      </c>
      <c r="V2416" t="s">
        <v>11030</v>
      </c>
      <c r="W2416" t="s">
        <v>86</v>
      </c>
      <c r="X2416" t="s">
        <v>11033</v>
      </c>
      <c r="Y2416">
        <v>0</v>
      </c>
      <c r="Z2416">
        <v>18</v>
      </c>
    </row>
    <row r="2417" spans="1:26">
      <c r="A2417" s="1">
        <v>2415</v>
      </c>
      <c r="B2417" t="str">
        <f>HYPERLINK("https://bugs.eclipse.org/bugs/show_bug.cgi?id=93381", "93381")</f>
        <v>93381</v>
      </c>
      <c r="C2417" t="s">
        <v>88</v>
      </c>
      <c r="D2417" t="s">
        <v>10</v>
      </c>
      <c r="E2417" t="s">
        <v>13</v>
      </c>
      <c r="F2417" t="s">
        <v>26</v>
      </c>
      <c r="L2417" t="s">
        <v>11034</v>
      </c>
      <c r="O2417" t="s">
        <v>11035</v>
      </c>
      <c r="T2417" t="s">
        <v>11036</v>
      </c>
      <c r="U2417" t="s">
        <v>11037</v>
      </c>
      <c r="V2417" t="s">
        <v>11035</v>
      </c>
      <c r="W2417" t="s">
        <v>75</v>
      </c>
      <c r="X2417" t="s">
        <v>11038</v>
      </c>
      <c r="Y2417">
        <v>330.04166666666669</v>
      </c>
      <c r="Z2417">
        <v>1581</v>
      </c>
    </row>
    <row r="2418" spans="1:26">
      <c r="A2418" s="1">
        <v>2416</v>
      </c>
      <c r="B2418" t="str">
        <f>HYPERLINK("https://bugs.eclipse.org/bugs/show_bug.cgi?id=93406", "93406")</f>
        <v>93406</v>
      </c>
      <c r="C2418" t="s">
        <v>88</v>
      </c>
      <c r="D2418" t="s">
        <v>10</v>
      </c>
      <c r="E2418" t="s">
        <v>13</v>
      </c>
      <c r="F2418" t="s">
        <v>26</v>
      </c>
      <c r="L2418" t="s">
        <v>11039</v>
      </c>
      <c r="O2418" t="s">
        <v>11040</v>
      </c>
      <c r="T2418" t="s">
        <v>11041</v>
      </c>
      <c r="U2418" t="s">
        <v>11042</v>
      </c>
      <c r="V2418" t="s">
        <v>11040</v>
      </c>
      <c r="W2418" t="s">
        <v>75</v>
      </c>
      <c r="X2418" t="s">
        <v>11043</v>
      </c>
      <c r="Y2418">
        <v>0</v>
      </c>
      <c r="Z2418">
        <v>1581</v>
      </c>
    </row>
    <row r="2419" spans="1:26">
      <c r="A2419" s="1">
        <v>2417</v>
      </c>
      <c r="B2419" t="str">
        <f>HYPERLINK("https://bugs.eclipse.org/bugs/show_bug.cgi?id=93541", "93541")</f>
        <v>93541</v>
      </c>
      <c r="C2419" t="s">
        <v>35</v>
      </c>
      <c r="D2419" t="s">
        <v>11</v>
      </c>
      <c r="E2419" t="s">
        <v>12</v>
      </c>
      <c r="F2419" t="s">
        <v>150</v>
      </c>
      <c r="L2419" t="s">
        <v>11044</v>
      </c>
      <c r="M2419" t="s">
        <v>11045</v>
      </c>
      <c r="N2419" t="s">
        <v>11044</v>
      </c>
      <c r="T2419" t="s">
        <v>11046</v>
      </c>
      <c r="U2419" t="s">
        <v>11047</v>
      </c>
      <c r="V2419" t="s">
        <v>11045</v>
      </c>
      <c r="W2419" t="s">
        <v>2668</v>
      </c>
      <c r="X2419" t="s">
        <v>11048</v>
      </c>
      <c r="Y2419">
        <v>6</v>
      </c>
      <c r="Z2419">
        <v>24</v>
      </c>
    </row>
    <row r="2420" spans="1:26">
      <c r="A2420" s="1">
        <v>2418</v>
      </c>
      <c r="B2420" t="str">
        <f>HYPERLINK("https://bugs.eclipse.org/bugs/show_bug.cgi?id=93744", "93744")</f>
        <v>93744</v>
      </c>
      <c r="C2420" t="s">
        <v>995</v>
      </c>
      <c r="D2420" t="s">
        <v>192</v>
      </c>
      <c r="E2420" t="s">
        <v>12</v>
      </c>
      <c r="F2420" t="s">
        <v>26</v>
      </c>
      <c r="L2420" t="s">
        <v>11049</v>
      </c>
      <c r="N2420" t="s">
        <v>11049</v>
      </c>
      <c r="T2420" t="s">
        <v>11050</v>
      </c>
      <c r="U2420" t="s">
        <v>11049</v>
      </c>
      <c r="V2420" t="s">
        <v>11051</v>
      </c>
      <c r="W2420" t="s">
        <v>9590</v>
      </c>
      <c r="X2420" t="s">
        <v>11052</v>
      </c>
      <c r="Y2420">
        <v>2</v>
      </c>
      <c r="Z2420">
        <v>4</v>
      </c>
    </row>
    <row r="2421" spans="1:26">
      <c r="A2421" s="1">
        <v>2419</v>
      </c>
      <c r="B2421" t="str">
        <f>HYPERLINK("https://bugs.eclipse.org/bugs/show_bug.cgi?id=93850", "93850")</f>
        <v>93850</v>
      </c>
      <c r="C2421" t="s">
        <v>149</v>
      </c>
      <c r="D2421" t="s">
        <v>10</v>
      </c>
      <c r="E2421" t="s">
        <v>12</v>
      </c>
      <c r="F2421" t="s">
        <v>26</v>
      </c>
      <c r="L2421" t="s">
        <v>11053</v>
      </c>
      <c r="N2421" t="s">
        <v>11053</v>
      </c>
      <c r="T2421" t="s">
        <v>11054</v>
      </c>
      <c r="U2421" t="s">
        <v>11055</v>
      </c>
      <c r="V2421" t="s">
        <v>11056</v>
      </c>
      <c r="W2421" t="s">
        <v>65</v>
      </c>
      <c r="X2421" t="s">
        <v>11057</v>
      </c>
      <c r="Y2421">
        <v>1</v>
      </c>
      <c r="Z2421">
        <v>5318.041666666667</v>
      </c>
    </row>
    <row r="2422" spans="1:26">
      <c r="A2422" s="1">
        <v>2420</v>
      </c>
      <c r="B2422" t="str">
        <f>HYPERLINK("https://bugs.eclipse.org/bugs/show_bug.cgi?id=93861", "93861")</f>
        <v>93861</v>
      </c>
      <c r="C2422" t="s">
        <v>35</v>
      </c>
      <c r="D2422" t="s">
        <v>11</v>
      </c>
      <c r="E2422" t="s">
        <v>12</v>
      </c>
      <c r="F2422" t="s">
        <v>150</v>
      </c>
      <c r="L2422" t="s">
        <v>11058</v>
      </c>
      <c r="M2422" t="s">
        <v>11059</v>
      </c>
      <c r="N2422" t="s">
        <v>11058</v>
      </c>
      <c r="T2422" t="s">
        <v>11060</v>
      </c>
      <c r="U2422" t="s">
        <v>11061</v>
      </c>
      <c r="V2422" t="s">
        <v>11059</v>
      </c>
      <c r="W2422" t="s">
        <v>86</v>
      </c>
      <c r="X2422" t="s">
        <v>11062</v>
      </c>
      <c r="Y2422">
        <v>1</v>
      </c>
      <c r="Z2422">
        <v>22</v>
      </c>
    </row>
    <row r="2423" spans="1:26">
      <c r="A2423" s="1">
        <v>2421</v>
      </c>
      <c r="B2423" t="str">
        <f>HYPERLINK("https://bugs.eclipse.org/bugs/show_bug.cgi?id=94020", "94020")</f>
        <v>94020</v>
      </c>
      <c r="C2423" t="s">
        <v>149</v>
      </c>
      <c r="D2423" t="s">
        <v>10</v>
      </c>
      <c r="E2423" t="s">
        <v>12</v>
      </c>
      <c r="F2423" t="s">
        <v>26</v>
      </c>
      <c r="L2423" t="s">
        <v>11063</v>
      </c>
      <c r="N2423" t="s">
        <v>11063</v>
      </c>
      <c r="T2423" t="s">
        <v>11064</v>
      </c>
      <c r="U2423" t="s">
        <v>11065</v>
      </c>
      <c r="V2423" t="s">
        <v>11063</v>
      </c>
      <c r="W2423" t="s">
        <v>86</v>
      </c>
      <c r="X2423" t="s">
        <v>11066</v>
      </c>
      <c r="Y2423">
        <v>3</v>
      </c>
      <c r="Z2423">
        <v>3</v>
      </c>
    </row>
    <row r="2424" spans="1:26">
      <c r="A2424" s="1">
        <v>2422</v>
      </c>
      <c r="B2424" t="str">
        <f>HYPERLINK("https://bugs.eclipse.org/bugs/show_bug.cgi?id=94125", "94125")</f>
        <v>94125</v>
      </c>
      <c r="C2424" t="s">
        <v>140</v>
      </c>
      <c r="D2424" t="s">
        <v>10</v>
      </c>
      <c r="E2424" t="s">
        <v>16</v>
      </c>
      <c r="F2424" t="s">
        <v>26</v>
      </c>
      <c r="L2424" t="s">
        <v>11067</v>
      </c>
      <c r="R2424" t="s">
        <v>11067</v>
      </c>
      <c r="T2424" t="s">
        <v>11068</v>
      </c>
      <c r="U2424" t="s">
        <v>11069</v>
      </c>
      <c r="V2424" t="s">
        <v>11067</v>
      </c>
      <c r="W2424" t="s">
        <v>86</v>
      </c>
      <c r="X2424" t="s">
        <v>11070</v>
      </c>
      <c r="Y2424">
        <v>0</v>
      </c>
      <c r="Z2424">
        <v>0</v>
      </c>
    </row>
    <row r="2425" spans="1:26">
      <c r="A2425" s="1">
        <v>2423</v>
      </c>
      <c r="B2425" t="str">
        <f>HYPERLINK("https://bugs.eclipse.org/bugs/show_bug.cgi?id=94204", "94204")</f>
        <v>94204</v>
      </c>
      <c r="C2425" t="s">
        <v>149</v>
      </c>
      <c r="D2425" t="s">
        <v>10</v>
      </c>
      <c r="E2425" t="s">
        <v>12</v>
      </c>
      <c r="F2425" t="s">
        <v>26</v>
      </c>
      <c r="L2425" t="s">
        <v>11071</v>
      </c>
      <c r="N2425" t="s">
        <v>11071</v>
      </c>
      <c r="T2425" t="s">
        <v>11072</v>
      </c>
      <c r="U2425" t="s">
        <v>11073</v>
      </c>
      <c r="V2425" t="s">
        <v>11074</v>
      </c>
      <c r="W2425" t="s">
        <v>143</v>
      </c>
      <c r="X2425" t="s">
        <v>11075</v>
      </c>
      <c r="Y2425">
        <v>0</v>
      </c>
      <c r="Z2425">
        <v>2</v>
      </c>
    </row>
    <row r="2426" spans="1:26">
      <c r="A2426" s="1">
        <v>2424</v>
      </c>
      <c r="B2426" t="str">
        <f>HYPERLINK("https://bugs.eclipse.org/bugs/show_bug.cgi?id=94426", "94426")</f>
        <v>94426</v>
      </c>
      <c r="C2426" t="s">
        <v>35</v>
      </c>
      <c r="D2426" t="s">
        <v>11</v>
      </c>
      <c r="E2426" t="s">
        <v>12</v>
      </c>
      <c r="F2426" t="s">
        <v>26</v>
      </c>
      <c r="L2426" t="s">
        <v>11076</v>
      </c>
      <c r="M2426" t="s">
        <v>11077</v>
      </c>
      <c r="N2426" t="s">
        <v>11076</v>
      </c>
      <c r="T2426" t="s">
        <v>11078</v>
      </c>
      <c r="U2426" t="s">
        <v>11079</v>
      </c>
      <c r="V2426" t="s">
        <v>11077</v>
      </c>
      <c r="W2426" t="s">
        <v>2668</v>
      </c>
      <c r="X2426" t="s">
        <v>11080</v>
      </c>
      <c r="Y2426">
        <v>0</v>
      </c>
      <c r="Z2426">
        <v>17</v>
      </c>
    </row>
    <row r="2427" spans="1:26">
      <c r="A2427" s="1">
        <v>2425</v>
      </c>
      <c r="B2427" t="str">
        <f>HYPERLINK("https://bugs.eclipse.org/bugs/show_bug.cgi?id=94519", "94519")</f>
        <v>94519</v>
      </c>
      <c r="C2427" t="s">
        <v>140</v>
      </c>
      <c r="D2427" t="s">
        <v>10</v>
      </c>
      <c r="E2427" t="s">
        <v>16</v>
      </c>
      <c r="F2427" t="s">
        <v>26</v>
      </c>
      <c r="L2427" t="s">
        <v>11081</v>
      </c>
      <c r="R2427" t="s">
        <v>11081</v>
      </c>
      <c r="T2427" t="s">
        <v>11082</v>
      </c>
      <c r="U2427" t="s">
        <v>11083</v>
      </c>
      <c r="V2427" t="s">
        <v>11081</v>
      </c>
      <c r="W2427" t="s">
        <v>851</v>
      </c>
      <c r="X2427" t="s">
        <v>11084</v>
      </c>
      <c r="Y2427">
        <v>0</v>
      </c>
      <c r="Z2427">
        <v>17</v>
      </c>
    </row>
    <row r="2428" spans="1:26">
      <c r="A2428" s="1">
        <v>2426</v>
      </c>
      <c r="B2428" t="str">
        <f>HYPERLINK("https://bugs.eclipse.org/bugs/show_bug.cgi?id=94556", "94556")</f>
        <v>94556</v>
      </c>
      <c r="C2428" t="s">
        <v>35</v>
      </c>
      <c r="D2428" t="s">
        <v>11</v>
      </c>
      <c r="E2428" t="s">
        <v>12</v>
      </c>
      <c r="F2428" t="s">
        <v>26</v>
      </c>
      <c r="L2428" t="s">
        <v>11085</v>
      </c>
      <c r="M2428" t="s">
        <v>11086</v>
      </c>
      <c r="N2428" t="s">
        <v>11085</v>
      </c>
      <c r="T2428" t="s">
        <v>11087</v>
      </c>
      <c r="U2428" t="s">
        <v>11088</v>
      </c>
      <c r="V2428" t="s">
        <v>11086</v>
      </c>
      <c r="W2428" t="s">
        <v>2668</v>
      </c>
      <c r="X2428" t="s">
        <v>11089</v>
      </c>
      <c r="Y2428">
        <v>0</v>
      </c>
      <c r="Z2428">
        <v>20</v>
      </c>
    </row>
    <row r="2429" spans="1:26">
      <c r="A2429" s="1">
        <v>2427</v>
      </c>
      <c r="B2429" t="str">
        <f>HYPERLINK("https://bugs.eclipse.org/bugs/show_bug.cgi?id=94557", "94557")</f>
        <v>94557</v>
      </c>
      <c r="C2429" t="s">
        <v>35</v>
      </c>
      <c r="D2429" t="s">
        <v>11</v>
      </c>
      <c r="E2429" t="s">
        <v>12</v>
      </c>
      <c r="F2429" t="s">
        <v>26</v>
      </c>
      <c r="L2429" t="s">
        <v>11090</v>
      </c>
      <c r="M2429" t="s">
        <v>11091</v>
      </c>
      <c r="N2429" t="s">
        <v>11090</v>
      </c>
      <c r="T2429" t="s">
        <v>11087</v>
      </c>
      <c r="U2429" t="s">
        <v>11092</v>
      </c>
      <c r="V2429" t="s">
        <v>11091</v>
      </c>
      <c r="W2429" t="s">
        <v>851</v>
      </c>
      <c r="X2429" t="s">
        <v>11093</v>
      </c>
      <c r="Y2429">
        <v>0</v>
      </c>
      <c r="Z2429">
        <v>29</v>
      </c>
    </row>
    <row r="2430" spans="1:26">
      <c r="A2430" s="1">
        <v>2428</v>
      </c>
      <c r="B2430" t="str">
        <f>HYPERLINK("https://bugs.eclipse.org/bugs/show_bug.cgi?id=94559", "94559")</f>
        <v>94559</v>
      </c>
      <c r="C2430" t="s">
        <v>35</v>
      </c>
      <c r="D2430" t="s">
        <v>11</v>
      </c>
      <c r="E2430" t="s">
        <v>12</v>
      </c>
      <c r="F2430" t="s">
        <v>26</v>
      </c>
      <c r="L2430" t="s">
        <v>11094</v>
      </c>
      <c r="M2430" t="s">
        <v>11095</v>
      </c>
      <c r="N2430" t="s">
        <v>11094</v>
      </c>
      <c r="T2430" t="s">
        <v>11096</v>
      </c>
      <c r="U2430" t="s">
        <v>11097</v>
      </c>
      <c r="V2430" t="s">
        <v>11095</v>
      </c>
      <c r="W2430" t="s">
        <v>2668</v>
      </c>
      <c r="X2430" t="s">
        <v>11098</v>
      </c>
      <c r="Y2430">
        <v>0</v>
      </c>
      <c r="Z2430">
        <v>17</v>
      </c>
    </row>
    <row r="2431" spans="1:26">
      <c r="A2431" s="1">
        <v>2429</v>
      </c>
      <c r="B2431" t="str">
        <f>HYPERLINK("https://bugs.eclipse.org/bugs/show_bug.cgi?id=94560", "94560")</f>
        <v>94560</v>
      </c>
      <c r="C2431" t="s">
        <v>35</v>
      </c>
      <c r="D2431" t="s">
        <v>11</v>
      </c>
      <c r="E2431" t="s">
        <v>12</v>
      </c>
      <c r="F2431" t="s">
        <v>26</v>
      </c>
      <c r="L2431" t="s">
        <v>11099</v>
      </c>
      <c r="M2431" t="s">
        <v>11100</v>
      </c>
      <c r="N2431" t="s">
        <v>11099</v>
      </c>
      <c r="T2431" t="s">
        <v>11101</v>
      </c>
      <c r="U2431" t="s">
        <v>11102</v>
      </c>
      <c r="V2431" t="s">
        <v>11100</v>
      </c>
      <c r="W2431" t="s">
        <v>2668</v>
      </c>
      <c r="X2431" t="s">
        <v>11103</v>
      </c>
      <c r="Y2431">
        <v>0</v>
      </c>
      <c r="Z2431">
        <v>20</v>
      </c>
    </row>
    <row r="2432" spans="1:26">
      <c r="A2432" s="1">
        <v>2430</v>
      </c>
      <c r="B2432" t="str">
        <f>HYPERLINK("https://bugs.eclipse.org/bugs/show_bug.cgi?id=94561", "94561")</f>
        <v>94561</v>
      </c>
      <c r="C2432" t="s">
        <v>35</v>
      </c>
      <c r="D2432" t="s">
        <v>11</v>
      </c>
      <c r="E2432" t="s">
        <v>12</v>
      </c>
      <c r="F2432" t="s">
        <v>26</v>
      </c>
      <c r="L2432" t="s">
        <v>11104</v>
      </c>
      <c r="M2432" t="s">
        <v>11105</v>
      </c>
      <c r="N2432" t="s">
        <v>11104</v>
      </c>
      <c r="T2432" t="s">
        <v>11101</v>
      </c>
      <c r="U2432" t="s">
        <v>11106</v>
      </c>
      <c r="V2432" t="s">
        <v>11105</v>
      </c>
      <c r="W2432" t="s">
        <v>2668</v>
      </c>
      <c r="X2432" t="s">
        <v>11107</v>
      </c>
      <c r="Y2432">
        <v>0</v>
      </c>
      <c r="Z2432">
        <v>20</v>
      </c>
    </row>
    <row r="2433" spans="1:26">
      <c r="A2433" s="1">
        <v>2431</v>
      </c>
      <c r="B2433" t="str">
        <f>HYPERLINK("https://bugs.eclipse.org/bugs/show_bug.cgi?id=94630", "94630")</f>
        <v>94630</v>
      </c>
      <c r="C2433" t="s">
        <v>140</v>
      </c>
      <c r="D2433" t="s">
        <v>10</v>
      </c>
      <c r="E2433" t="s">
        <v>16</v>
      </c>
      <c r="F2433" t="s">
        <v>26</v>
      </c>
      <c r="L2433" t="s">
        <v>11108</v>
      </c>
      <c r="R2433" t="s">
        <v>11108</v>
      </c>
      <c r="T2433" t="s">
        <v>11109</v>
      </c>
      <c r="U2433" t="s">
        <v>11110</v>
      </c>
      <c r="V2433" t="s">
        <v>11108</v>
      </c>
      <c r="W2433" t="s">
        <v>86</v>
      </c>
      <c r="X2433" t="s">
        <v>11111</v>
      </c>
      <c r="Y2433">
        <v>0</v>
      </c>
      <c r="Z2433">
        <v>0</v>
      </c>
    </row>
    <row r="2434" spans="1:26">
      <c r="A2434" s="1">
        <v>2432</v>
      </c>
      <c r="B2434" t="str">
        <f>HYPERLINK("https://bugs.eclipse.org/bugs/show_bug.cgi?id=94638", "94638")</f>
        <v>94638</v>
      </c>
      <c r="C2434" t="s">
        <v>25</v>
      </c>
      <c r="D2434" t="s">
        <v>25</v>
      </c>
      <c r="F2434" t="s">
        <v>26</v>
      </c>
      <c r="T2434" t="s">
        <v>11112</v>
      </c>
      <c r="U2434" t="s">
        <v>11113</v>
      </c>
      <c r="V2434" t="s">
        <v>11114</v>
      </c>
      <c r="W2434" t="s">
        <v>65</v>
      </c>
      <c r="X2434" t="s">
        <v>11115</v>
      </c>
      <c r="Y2434">
        <v>420</v>
      </c>
    </row>
    <row r="2435" spans="1:26">
      <c r="A2435" s="1">
        <v>2433</v>
      </c>
      <c r="B2435" t="str">
        <f>HYPERLINK("https://bugs.eclipse.org/bugs/show_bug.cgi?id=94639", "94639")</f>
        <v>94639</v>
      </c>
      <c r="C2435" t="s">
        <v>191</v>
      </c>
      <c r="D2435" t="s">
        <v>192</v>
      </c>
      <c r="E2435" t="s">
        <v>14</v>
      </c>
      <c r="F2435" t="s">
        <v>26</v>
      </c>
      <c r="P2435" t="s">
        <v>11116</v>
      </c>
      <c r="T2435" t="s">
        <v>11117</v>
      </c>
      <c r="U2435" t="s">
        <v>11118</v>
      </c>
      <c r="V2435" t="s">
        <v>11116</v>
      </c>
      <c r="W2435" t="s">
        <v>65</v>
      </c>
      <c r="X2435" t="s">
        <v>11119</v>
      </c>
      <c r="Y2435">
        <v>0</v>
      </c>
      <c r="Z2435">
        <v>5486</v>
      </c>
    </row>
    <row r="2436" spans="1:26">
      <c r="A2436" s="1">
        <v>2434</v>
      </c>
      <c r="B2436" t="str">
        <f>HYPERLINK("https://bugs.eclipse.org/bugs/show_bug.cgi?id=94661", "94661")</f>
        <v>94661</v>
      </c>
      <c r="C2436" t="s">
        <v>191</v>
      </c>
      <c r="D2436" t="s">
        <v>192</v>
      </c>
      <c r="E2436" t="s">
        <v>14</v>
      </c>
      <c r="F2436" t="s">
        <v>26</v>
      </c>
      <c r="P2436" t="s">
        <v>11120</v>
      </c>
      <c r="T2436" t="s">
        <v>11121</v>
      </c>
      <c r="U2436" t="s">
        <v>11122</v>
      </c>
      <c r="V2436" t="s">
        <v>11120</v>
      </c>
      <c r="W2436" t="s">
        <v>65</v>
      </c>
      <c r="X2436" t="s">
        <v>11123</v>
      </c>
      <c r="Y2436">
        <v>0</v>
      </c>
      <c r="Z2436">
        <v>5400.041666666667</v>
      </c>
    </row>
    <row r="2437" spans="1:26">
      <c r="A2437" s="1">
        <v>2435</v>
      </c>
      <c r="B2437" t="str">
        <f>HYPERLINK("https://bugs.eclipse.org/bugs/show_bug.cgi?id=94668", "94668")</f>
        <v>94668</v>
      </c>
      <c r="C2437" t="s">
        <v>191</v>
      </c>
      <c r="D2437" t="s">
        <v>192</v>
      </c>
      <c r="E2437" t="s">
        <v>14</v>
      </c>
      <c r="F2437" t="s">
        <v>26</v>
      </c>
      <c r="T2437" t="s">
        <v>11124</v>
      </c>
      <c r="U2437" t="s">
        <v>11125</v>
      </c>
      <c r="V2437" t="s">
        <v>11126</v>
      </c>
      <c r="W2437" t="s">
        <v>65</v>
      </c>
      <c r="X2437" t="s">
        <v>11127</v>
      </c>
      <c r="Y2437">
        <v>0</v>
      </c>
      <c r="Z2437">
        <v>5262</v>
      </c>
    </row>
    <row r="2438" spans="1:26">
      <c r="A2438" s="1">
        <v>2436</v>
      </c>
      <c r="B2438" t="str">
        <f>HYPERLINK("https://bugs.eclipse.org/bugs/show_bug.cgi?id=94672", "94672")</f>
        <v>94672</v>
      </c>
      <c r="C2438" t="s">
        <v>140</v>
      </c>
      <c r="D2438" t="s">
        <v>10</v>
      </c>
      <c r="E2438" t="s">
        <v>16</v>
      </c>
      <c r="F2438" t="s">
        <v>26</v>
      </c>
      <c r="L2438" t="s">
        <v>11128</v>
      </c>
      <c r="R2438" t="s">
        <v>11128</v>
      </c>
      <c r="T2438" t="s">
        <v>11129</v>
      </c>
      <c r="U2438" t="s">
        <v>11130</v>
      </c>
      <c r="V2438" t="s">
        <v>11128</v>
      </c>
      <c r="W2438" t="s">
        <v>851</v>
      </c>
      <c r="X2438" t="s">
        <v>11131</v>
      </c>
      <c r="Y2438">
        <v>0</v>
      </c>
      <c r="Z2438">
        <v>394</v>
      </c>
    </row>
    <row r="2439" spans="1:26">
      <c r="A2439" s="1">
        <v>2437</v>
      </c>
      <c r="B2439" t="str">
        <f>HYPERLINK("https://bugs.eclipse.org/bugs/show_bug.cgi?id=94676", "94676")</f>
        <v>94676</v>
      </c>
      <c r="C2439" t="s">
        <v>35</v>
      </c>
      <c r="D2439" t="s">
        <v>11</v>
      </c>
      <c r="E2439" t="s">
        <v>12</v>
      </c>
      <c r="F2439" t="s">
        <v>26</v>
      </c>
      <c r="H2439" t="s">
        <v>11132</v>
      </c>
      <c r="L2439" t="s">
        <v>11133</v>
      </c>
      <c r="M2439" t="s">
        <v>11134</v>
      </c>
      <c r="N2439" t="s">
        <v>11133</v>
      </c>
      <c r="T2439" t="s">
        <v>11135</v>
      </c>
      <c r="U2439" t="s">
        <v>11136</v>
      </c>
      <c r="V2439" t="s">
        <v>11137</v>
      </c>
      <c r="W2439" t="s">
        <v>2668</v>
      </c>
      <c r="X2439" t="s">
        <v>11138</v>
      </c>
      <c r="Y2439">
        <v>0</v>
      </c>
      <c r="Z2439">
        <v>8</v>
      </c>
    </row>
    <row r="2440" spans="1:26">
      <c r="A2440" s="1">
        <v>2438</v>
      </c>
      <c r="B2440" t="str">
        <f>HYPERLINK("https://bugs.eclipse.org/bugs/show_bug.cgi?id=94678", "94678")</f>
        <v>94678</v>
      </c>
      <c r="C2440" t="s">
        <v>191</v>
      </c>
      <c r="D2440" t="s">
        <v>192</v>
      </c>
      <c r="E2440" t="s">
        <v>14</v>
      </c>
      <c r="F2440" t="s">
        <v>26</v>
      </c>
      <c r="T2440" t="s">
        <v>11139</v>
      </c>
      <c r="U2440" t="s">
        <v>11140</v>
      </c>
      <c r="V2440" t="s">
        <v>11141</v>
      </c>
      <c r="W2440" t="s">
        <v>65</v>
      </c>
      <c r="X2440" t="s">
        <v>11142</v>
      </c>
      <c r="Y2440">
        <v>449</v>
      </c>
      <c r="Z2440">
        <v>5329.041666666667</v>
      </c>
    </row>
    <row r="2441" spans="1:26">
      <c r="A2441" s="1">
        <v>2439</v>
      </c>
      <c r="B2441" t="str">
        <f>HYPERLINK("https://bugs.eclipse.org/bugs/show_bug.cgi?id=94684", "94684")</f>
        <v>94684</v>
      </c>
      <c r="C2441" t="s">
        <v>11143</v>
      </c>
      <c r="D2441" t="s">
        <v>10</v>
      </c>
      <c r="E2441" t="s">
        <v>15</v>
      </c>
      <c r="F2441" t="s">
        <v>26</v>
      </c>
      <c r="L2441" t="s">
        <v>11144</v>
      </c>
      <c r="Q2441" t="s">
        <v>11144</v>
      </c>
      <c r="T2441" t="s">
        <v>11145</v>
      </c>
      <c r="U2441" t="s">
        <v>11146</v>
      </c>
      <c r="V2441" t="s">
        <v>11144</v>
      </c>
      <c r="W2441" t="s">
        <v>851</v>
      </c>
      <c r="X2441" t="s">
        <v>11147</v>
      </c>
      <c r="Y2441">
        <v>0</v>
      </c>
      <c r="Z2441">
        <v>30</v>
      </c>
    </row>
    <row r="2442" spans="1:26">
      <c r="A2442" s="1">
        <v>2440</v>
      </c>
      <c r="B2442" t="str">
        <f>HYPERLINK("https://bugs.eclipse.org/bugs/show_bug.cgi?id=94686", "94686")</f>
        <v>94686</v>
      </c>
      <c r="C2442" t="s">
        <v>11148</v>
      </c>
      <c r="D2442" t="s">
        <v>10</v>
      </c>
      <c r="E2442" t="s">
        <v>15</v>
      </c>
      <c r="F2442" t="s">
        <v>26</v>
      </c>
      <c r="L2442" t="s">
        <v>11149</v>
      </c>
      <c r="Q2442" t="s">
        <v>11149</v>
      </c>
      <c r="T2442" t="s">
        <v>11150</v>
      </c>
      <c r="U2442" t="s">
        <v>11151</v>
      </c>
      <c r="V2442" t="s">
        <v>11149</v>
      </c>
      <c r="W2442" t="s">
        <v>851</v>
      </c>
      <c r="X2442" t="s">
        <v>11152</v>
      </c>
      <c r="Y2442">
        <v>0</v>
      </c>
      <c r="Z2442">
        <v>30</v>
      </c>
    </row>
    <row r="2443" spans="1:26">
      <c r="A2443" s="1">
        <v>2441</v>
      </c>
      <c r="B2443" t="str">
        <f>HYPERLINK("https://bugs.eclipse.org/bugs/show_bug.cgi?id=94689", "94689")</f>
        <v>94689</v>
      </c>
      <c r="C2443" t="s">
        <v>35</v>
      </c>
      <c r="D2443" t="s">
        <v>11</v>
      </c>
      <c r="E2443" t="s">
        <v>12</v>
      </c>
      <c r="F2443" t="s">
        <v>26</v>
      </c>
      <c r="L2443" t="s">
        <v>11153</v>
      </c>
      <c r="M2443" t="s">
        <v>11154</v>
      </c>
      <c r="N2443" t="s">
        <v>11153</v>
      </c>
      <c r="T2443" t="s">
        <v>11155</v>
      </c>
      <c r="U2443" t="s">
        <v>11156</v>
      </c>
      <c r="V2443" t="s">
        <v>11154</v>
      </c>
      <c r="W2443" t="s">
        <v>851</v>
      </c>
      <c r="X2443" t="s">
        <v>11157</v>
      </c>
      <c r="Y2443">
        <v>0</v>
      </c>
      <c r="Z2443">
        <v>19</v>
      </c>
    </row>
    <row r="2444" spans="1:26">
      <c r="A2444" s="1">
        <v>2442</v>
      </c>
      <c r="B2444" t="str">
        <f>HYPERLINK("https://bugs.eclipse.org/bugs/show_bug.cgi?id=94692", "94692")</f>
        <v>94692</v>
      </c>
      <c r="C2444" t="s">
        <v>56</v>
      </c>
      <c r="D2444" t="s">
        <v>10</v>
      </c>
      <c r="E2444" t="s">
        <v>14</v>
      </c>
      <c r="F2444" t="s">
        <v>26</v>
      </c>
      <c r="L2444" t="s">
        <v>11158</v>
      </c>
      <c r="P2444" t="s">
        <v>11158</v>
      </c>
      <c r="T2444" t="s">
        <v>11159</v>
      </c>
      <c r="U2444" t="s">
        <v>11160</v>
      </c>
      <c r="V2444" t="s">
        <v>11158</v>
      </c>
      <c r="W2444" t="s">
        <v>86</v>
      </c>
      <c r="X2444" t="s">
        <v>11161</v>
      </c>
      <c r="Y2444">
        <v>44</v>
      </c>
      <c r="Z2444">
        <v>44</v>
      </c>
    </row>
    <row r="2445" spans="1:26">
      <c r="A2445" s="1">
        <v>2443</v>
      </c>
      <c r="B2445" t="str">
        <f>HYPERLINK("https://bugs.eclipse.org/bugs/show_bug.cgi?id=94715", "94715")</f>
        <v>94715</v>
      </c>
      <c r="C2445" t="s">
        <v>35</v>
      </c>
      <c r="D2445" t="s">
        <v>11</v>
      </c>
      <c r="E2445" t="s">
        <v>12</v>
      </c>
      <c r="F2445" t="s">
        <v>26</v>
      </c>
      <c r="L2445" t="s">
        <v>11162</v>
      </c>
      <c r="M2445" t="s">
        <v>11163</v>
      </c>
      <c r="N2445" t="s">
        <v>11162</v>
      </c>
      <c r="T2445" t="s">
        <v>11164</v>
      </c>
      <c r="U2445" t="s">
        <v>11165</v>
      </c>
      <c r="V2445" t="s">
        <v>11163</v>
      </c>
      <c r="W2445" t="s">
        <v>86</v>
      </c>
      <c r="X2445" t="s">
        <v>11166</v>
      </c>
      <c r="Y2445">
        <v>0</v>
      </c>
      <c r="Z2445">
        <v>19</v>
      </c>
    </row>
    <row r="2446" spans="1:26">
      <c r="A2446" s="1">
        <v>2444</v>
      </c>
      <c r="B2446" t="str">
        <f>HYPERLINK("https://bugs.eclipse.org/bugs/show_bug.cgi?id=94717", "94717")</f>
        <v>94717</v>
      </c>
      <c r="C2446" t="s">
        <v>56</v>
      </c>
      <c r="D2446" t="s">
        <v>10</v>
      </c>
      <c r="E2446" t="s">
        <v>14</v>
      </c>
      <c r="F2446" t="s">
        <v>51</v>
      </c>
      <c r="L2446" t="s">
        <v>11167</v>
      </c>
      <c r="P2446" t="s">
        <v>11168</v>
      </c>
      <c r="T2446" t="s">
        <v>11169</v>
      </c>
      <c r="U2446" t="s">
        <v>11170</v>
      </c>
      <c r="V2446" t="s">
        <v>11168</v>
      </c>
      <c r="W2446" t="s">
        <v>80</v>
      </c>
      <c r="X2446" t="s">
        <v>11171</v>
      </c>
      <c r="Y2446">
        <v>0</v>
      </c>
      <c r="Z2446">
        <v>1572</v>
      </c>
    </row>
    <row r="2447" spans="1:26">
      <c r="A2447" s="1">
        <v>2445</v>
      </c>
      <c r="B2447" t="str">
        <f>HYPERLINK("https://bugs.eclipse.org/bugs/show_bug.cgi?id=94723", "94723")</f>
        <v>94723</v>
      </c>
      <c r="C2447" t="s">
        <v>191</v>
      </c>
      <c r="D2447" t="s">
        <v>192</v>
      </c>
      <c r="E2447" t="s">
        <v>14</v>
      </c>
      <c r="F2447" t="s">
        <v>26</v>
      </c>
      <c r="T2447" t="s">
        <v>11172</v>
      </c>
      <c r="U2447" t="s">
        <v>11173</v>
      </c>
      <c r="V2447" t="s">
        <v>11174</v>
      </c>
      <c r="W2447" t="s">
        <v>65</v>
      </c>
      <c r="X2447" t="s">
        <v>11175</v>
      </c>
      <c r="Y2447">
        <v>0</v>
      </c>
      <c r="Z2447">
        <v>4925</v>
      </c>
    </row>
    <row r="2448" spans="1:26">
      <c r="A2448" s="1">
        <v>2446</v>
      </c>
      <c r="B2448" t="str">
        <f>HYPERLINK("https://bugs.eclipse.org/bugs/show_bug.cgi?id=94731", "94731")</f>
        <v>94731</v>
      </c>
      <c r="C2448" t="s">
        <v>35</v>
      </c>
      <c r="D2448" t="s">
        <v>11</v>
      </c>
      <c r="E2448" t="s">
        <v>12</v>
      </c>
      <c r="F2448" t="s">
        <v>26</v>
      </c>
      <c r="L2448" t="s">
        <v>11176</v>
      </c>
      <c r="M2448" t="s">
        <v>11177</v>
      </c>
      <c r="N2448" t="s">
        <v>11176</v>
      </c>
      <c r="S2448" t="s">
        <v>11178</v>
      </c>
      <c r="T2448" t="s">
        <v>11179</v>
      </c>
      <c r="U2448" t="s">
        <v>11180</v>
      </c>
      <c r="V2448" t="s">
        <v>11177</v>
      </c>
      <c r="W2448" t="s">
        <v>2668</v>
      </c>
      <c r="X2448" t="s">
        <v>11181</v>
      </c>
      <c r="Y2448">
        <v>0</v>
      </c>
      <c r="Z2448">
        <v>19</v>
      </c>
    </row>
    <row r="2449" spans="1:26">
      <c r="A2449" s="1">
        <v>2447</v>
      </c>
      <c r="B2449" t="str">
        <f>HYPERLINK("https://bugs.eclipse.org/bugs/show_bug.cgi?id=94778", "94778")</f>
        <v>94778</v>
      </c>
      <c r="C2449" t="s">
        <v>191</v>
      </c>
      <c r="D2449" t="s">
        <v>192</v>
      </c>
      <c r="E2449" t="s">
        <v>14</v>
      </c>
      <c r="F2449" t="s">
        <v>26</v>
      </c>
      <c r="L2449" t="s">
        <v>11182</v>
      </c>
      <c r="N2449" t="s">
        <v>11182</v>
      </c>
      <c r="P2449" t="s">
        <v>11183</v>
      </c>
      <c r="S2449" t="s">
        <v>11184</v>
      </c>
      <c r="T2449" t="s">
        <v>11185</v>
      </c>
      <c r="U2449" t="s">
        <v>11182</v>
      </c>
      <c r="V2449" t="s">
        <v>11183</v>
      </c>
      <c r="W2449" t="s">
        <v>65</v>
      </c>
      <c r="X2449" t="s">
        <v>11186</v>
      </c>
      <c r="Y2449">
        <v>0</v>
      </c>
      <c r="Z2449">
        <v>5460</v>
      </c>
    </row>
    <row r="2450" spans="1:26">
      <c r="A2450" s="1">
        <v>2448</v>
      </c>
      <c r="B2450" t="str">
        <f>HYPERLINK("https://bugs.eclipse.org/bugs/show_bug.cgi?id=94788", "94788")</f>
        <v>94788</v>
      </c>
      <c r="C2450" t="s">
        <v>4692</v>
      </c>
      <c r="D2450" t="s">
        <v>4692</v>
      </c>
      <c r="F2450" t="s">
        <v>26</v>
      </c>
      <c r="T2450" t="s">
        <v>11187</v>
      </c>
      <c r="U2450" t="s">
        <v>11188</v>
      </c>
      <c r="V2450" t="s">
        <v>11189</v>
      </c>
      <c r="W2450" t="s">
        <v>49</v>
      </c>
      <c r="X2450" t="s">
        <v>11190</v>
      </c>
      <c r="Y2450">
        <v>0</v>
      </c>
    </row>
    <row r="2451" spans="1:26">
      <c r="A2451" s="1">
        <v>2449</v>
      </c>
      <c r="B2451" t="str">
        <f>HYPERLINK("https://bugs.eclipse.org/bugs/show_bug.cgi?id=94789", "94789")</f>
        <v>94789</v>
      </c>
      <c r="C2451" t="s">
        <v>35</v>
      </c>
      <c r="D2451" t="s">
        <v>11</v>
      </c>
      <c r="E2451" t="s">
        <v>12</v>
      </c>
      <c r="F2451" t="s">
        <v>26</v>
      </c>
      <c r="L2451" t="s">
        <v>11191</v>
      </c>
      <c r="M2451" t="s">
        <v>11192</v>
      </c>
      <c r="N2451" t="s">
        <v>11191</v>
      </c>
      <c r="T2451" t="s">
        <v>11193</v>
      </c>
      <c r="U2451" t="s">
        <v>11194</v>
      </c>
      <c r="V2451" t="s">
        <v>11192</v>
      </c>
      <c r="W2451" t="s">
        <v>143</v>
      </c>
      <c r="X2451" t="s">
        <v>11195</v>
      </c>
      <c r="Y2451">
        <v>1</v>
      </c>
      <c r="Z2451">
        <v>19</v>
      </c>
    </row>
    <row r="2452" spans="1:26">
      <c r="A2452" s="1">
        <v>2450</v>
      </c>
      <c r="B2452" t="str">
        <f>HYPERLINK("https://bugs.eclipse.org/bugs/show_bug.cgi?id=94795", "94795")</f>
        <v>94795</v>
      </c>
      <c r="C2452" t="s">
        <v>35</v>
      </c>
      <c r="D2452" t="s">
        <v>11</v>
      </c>
      <c r="E2452" t="s">
        <v>12</v>
      </c>
      <c r="F2452" t="s">
        <v>26</v>
      </c>
      <c r="L2452" t="s">
        <v>11196</v>
      </c>
      <c r="M2452" t="s">
        <v>11197</v>
      </c>
      <c r="N2452" t="s">
        <v>11196</v>
      </c>
      <c r="T2452" t="s">
        <v>11198</v>
      </c>
      <c r="U2452" t="s">
        <v>11199</v>
      </c>
      <c r="V2452" t="s">
        <v>11197</v>
      </c>
      <c r="W2452" t="s">
        <v>86</v>
      </c>
      <c r="X2452" t="s">
        <v>11200</v>
      </c>
      <c r="Y2452">
        <v>0</v>
      </c>
      <c r="Z2452">
        <v>19</v>
      </c>
    </row>
    <row r="2453" spans="1:26">
      <c r="A2453" s="1">
        <v>2451</v>
      </c>
      <c r="B2453" t="str">
        <f>HYPERLINK("https://bugs.eclipse.org/bugs/show_bug.cgi?id=94799", "94799")</f>
        <v>94799</v>
      </c>
      <c r="C2453" t="s">
        <v>35</v>
      </c>
      <c r="D2453" t="s">
        <v>11</v>
      </c>
      <c r="E2453" t="s">
        <v>12</v>
      </c>
      <c r="F2453" t="s">
        <v>26</v>
      </c>
      <c r="L2453" t="s">
        <v>11201</v>
      </c>
      <c r="M2453" t="s">
        <v>11202</v>
      </c>
      <c r="N2453" t="s">
        <v>11201</v>
      </c>
      <c r="T2453" t="s">
        <v>11203</v>
      </c>
      <c r="U2453" t="s">
        <v>11204</v>
      </c>
      <c r="V2453" t="s">
        <v>11202</v>
      </c>
      <c r="W2453" t="s">
        <v>2668</v>
      </c>
      <c r="X2453" t="s">
        <v>11205</v>
      </c>
      <c r="Y2453">
        <v>0</v>
      </c>
      <c r="Z2453">
        <v>16</v>
      </c>
    </row>
    <row r="2454" spans="1:26">
      <c r="A2454" s="1">
        <v>2452</v>
      </c>
      <c r="B2454" t="str">
        <f>HYPERLINK("https://bugs.eclipse.org/bugs/show_bug.cgi?id=94801", "94801")</f>
        <v>94801</v>
      </c>
      <c r="C2454" t="s">
        <v>149</v>
      </c>
      <c r="D2454" t="s">
        <v>10</v>
      </c>
      <c r="E2454" t="s">
        <v>12</v>
      </c>
      <c r="F2454" t="s">
        <v>26</v>
      </c>
      <c r="L2454" t="s">
        <v>11206</v>
      </c>
      <c r="N2454" t="s">
        <v>11206</v>
      </c>
      <c r="T2454" t="s">
        <v>11207</v>
      </c>
      <c r="U2454" t="s">
        <v>11208</v>
      </c>
      <c r="V2454" t="s">
        <v>11206</v>
      </c>
      <c r="W2454" t="s">
        <v>49</v>
      </c>
      <c r="X2454" t="s">
        <v>11209</v>
      </c>
      <c r="Y2454">
        <v>8</v>
      </c>
      <c r="Z2454">
        <v>1081</v>
      </c>
    </row>
    <row r="2455" spans="1:26">
      <c r="A2455" s="1">
        <v>2453</v>
      </c>
      <c r="B2455" t="str">
        <f>HYPERLINK("https://bugs.eclipse.org/bugs/show_bug.cgi?id=94918", "94918")</f>
        <v>94918</v>
      </c>
      <c r="C2455" t="s">
        <v>191</v>
      </c>
      <c r="D2455" t="s">
        <v>192</v>
      </c>
      <c r="E2455" t="s">
        <v>14</v>
      </c>
      <c r="F2455" t="s">
        <v>26</v>
      </c>
      <c r="T2455" t="s">
        <v>11210</v>
      </c>
      <c r="U2455" t="s">
        <v>11211</v>
      </c>
      <c r="V2455" t="s">
        <v>11212</v>
      </c>
      <c r="W2455" t="s">
        <v>65</v>
      </c>
      <c r="X2455" t="s">
        <v>11213</v>
      </c>
      <c r="Y2455">
        <v>0</v>
      </c>
      <c r="Z2455">
        <v>4977.041666666667</v>
      </c>
    </row>
    <row r="2456" spans="1:26">
      <c r="A2456" s="1">
        <v>2454</v>
      </c>
      <c r="B2456" t="str">
        <f>HYPERLINK("https://bugs.eclipse.org/bugs/show_bug.cgi?id=94948", "94948")</f>
        <v>94948</v>
      </c>
      <c r="C2456" t="s">
        <v>35</v>
      </c>
      <c r="D2456" t="s">
        <v>11</v>
      </c>
      <c r="E2456" t="s">
        <v>12</v>
      </c>
      <c r="F2456" t="s">
        <v>26</v>
      </c>
      <c r="L2456" t="s">
        <v>11214</v>
      </c>
      <c r="M2456" t="s">
        <v>11215</v>
      </c>
      <c r="N2456" t="s">
        <v>11214</v>
      </c>
      <c r="T2456" t="s">
        <v>11216</v>
      </c>
      <c r="U2456" t="s">
        <v>11217</v>
      </c>
      <c r="V2456" t="s">
        <v>11215</v>
      </c>
      <c r="W2456" t="s">
        <v>143</v>
      </c>
      <c r="X2456" t="s">
        <v>11218</v>
      </c>
      <c r="Y2456">
        <v>1</v>
      </c>
      <c r="Z2456">
        <v>18</v>
      </c>
    </row>
    <row r="2457" spans="1:26">
      <c r="A2457" s="1">
        <v>2455</v>
      </c>
      <c r="B2457" t="str">
        <f>HYPERLINK("https://bugs.eclipse.org/bugs/show_bug.cgi?id=94975", "94975")</f>
        <v>94975</v>
      </c>
      <c r="C2457" t="s">
        <v>35</v>
      </c>
      <c r="D2457" t="s">
        <v>11</v>
      </c>
      <c r="E2457" t="s">
        <v>12</v>
      </c>
      <c r="F2457" t="s">
        <v>26</v>
      </c>
      <c r="L2457" t="s">
        <v>11219</v>
      </c>
      <c r="M2457" t="s">
        <v>11220</v>
      </c>
      <c r="N2457" t="s">
        <v>11219</v>
      </c>
      <c r="S2457" t="s">
        <v>11221</v>
      </c>
      <c r="T2457" t="s">
        <v>11222</v>
      </c>
      <c r="U2457" t="s">
        <v>11223</v>
      </c>
      <c r="V2457" t="s">
        <v>11220</v>
      </c>
      <c r="W2457" t="s">
        <v>86</v>
      </c>
      <c r="X2457" t="s">
        <v>11224</v>
      </c>
      <c r="Y2457">
        <v>1</v>
      </c>
      <c r="Z2457">
        <v>173.04166666666671</v>
      </c>
    </row>
    <row r="2458" spans="1:26">
      <c r="A2458" s="1">
        <v>2456</v>
      </c>
      <c r="B2458" t="str">
        <f>HYPERLINK("https://bugs.eclipse.org/bugs/show_bug.cgi?id=95092", "95092")</f>
        <v>95092</v>
      </c>
      <c r="C2458" t="s">
        <v>11225</v>
      </c>
      <c r="D2458" t="s">
        <v>10</v>
      </c>
      <c r="E2458" t="s">
        <v>15</v>
      </c>
      <c r="F2458" t="s">
        <v>26</v>
      </c>
      <c r="L2458" t="s">
        <v>11226</v>
      </c>
      <c r="Q2458" t="s">
        <v>11226</v>
      </c>
      <c r="T2458" t="s">
        <v>11227</v>
      </c>
      <c r="U2458" t="s">
        <v>11228</v>
      </c>
      <c r="V2458" t="s">
        <v>11226</v>
      </c>
      <c r="W2458" t="s">
        <v>2668</v>
      </c>
      <c r="X2458" t="s">
        <v>11229</v>
      </c>
      <c r="Y2458">
        <v>0</v>
      </c>
      <c r="Z2458">
        <v>39</v>
      </c>
    </row>
    <row r="2459" spans="1:26">
      <c r="A2459" s="1">
        <v>2457</v>
      </c>
      <c r="B2459" t="str">
        <f>HYPERLINK("https://bugs.eclipse.org/bugs/show_bug.cgi?id=95104", "95104")</f>
        <v>95104</v>
      </c>
      <c r="C2459" t="s">
        <v>35</v>
      </c>
      <c r="D2459" t="s">
        <v>11</v>
      </c>
      <c r="E2459" t="s">
        <v>12</v>
      </c>
      <c r="F2459" t="s">
        <v>26</v>
      </c>
      <c r="G2459" t="s">
        <v>11230</v>
      </c>
      <c r="L2459" t="s">
        <v>11231</v>
      </c>
      <c r="M2459" t="s">
        <v>11232</v>
      </c>
      <c r="N2459" t="s">
        <v>11231</v>
      </c>
      <c r="T2459" t="s">
        <v>11233</v>
      </c>
      <c r="U2459" t="s">
        <v>11234</v>
      </c>
      <c r="V2459" t="s">
        <v>11232</v>
      </c>
      <c r="W2459" t="s">
        <v>143</v>
      </c>
      <c r="X2459" t="s">
        <v>11235</v>
      </c>
      <c r="Y2459">
        <v>0</v>
      </c>
      <c r="Z2459">
        <v>17</v>
      </c>
    </row>
    <row r="2460" spans="1:26">
      <c r="A2460" s="1">
        <v>2458</v>
      </c>
      <c r="B2460" t="str">
        <f>HYPERLINK("https://bugs.eclipse.org/bugs/show_bug.cgi?id=95121", "95121")</f>
        <v>95121</v>
      </c>
      <c r="C2460" t="s">
        <v>35</v>
      </c>
      <c r="D2460" t="s">
        <v>11</v>
      </c>
      <c r="E2460" t="s">
        <v>12</v>
      </c>
      <c r="F2460" t="s">
        <v>26</v>
      </c>
      <c r="L2460" t="s">
        <v>11236</v>
      </c>
      <c r="M2460" t="s">
        <v>11237</v>
      </c>
      <c r="N2460" t="s">
        <v>11236</v>
      </c>
      <c r="T2460" t="s">
        <v>11238</v>
      </c>
      <c r="U2460" t="s">
        <v>11239</v>
      </c>
      <c r="V2460" t="s">
        <v>11237</v>
      </c>
      <c r="W2460" t="s">
        <v>851</v>
      </c>
      <c r="X2460" t="s">
        <v>11240</v>
      </c>
      <c r="Y2460">
        <v>4</v>
      </c>
      <c r="Z2460">
        <v>17</v>
      </c>
    </row>
    <row r="2461" spans="1:26">
      <c r="A2461" s="1">
        <v>2459</v>
      </c>
      <c r="B2461" t="str">
        <f>HYPERLINK("https://bugs.eclipse.org/bugs/show_bug.cgi?id=95127", "95127")</f>
        <v>95127</v>
      </c>
      <c r="C2461" t="s">
        <v>56</v>
      </c>
      <c r="D2461" t="s">
        <v>10</v>
      </c>
      <c r="E2461" t="s">
        <v>14</v>
      </c>
      <c r="F2461" t="s">
        <v>26</v>
      </c>
      <c r="L2461" t="s">
        <v>11241</v>
      </c>
      <c r="P2461" t="s">
        <v>11241</v>
      </c>
      <c r="T2461" t="s">
        <v>11242</v>
      </c>
      <c r="U2461" t="s">
        <v>11241</v>
      </c>
      <c r="V2461" t="s">
        <v>11241</v>
      </c>
      <c r="W2461" t="s">
        <v>86</v>
      </c>
      <c r="X2461" t="s">
        <v>11243</v>
      </c>
      <c r="Y2461">
        <v>4</v>
      </c>
      <c r="Z2461">
        <v>4</v>
      </c>
    </row>
    <row r="2462" spans="1:26">
      <c r="A2462" s="1">
        <v>2460</v>
      </c>
      <c r="B2462" t="str">
        <f>HYPERLINK("https://bugs.eclipse.org/bugs/show_bug.cgi?id=95128", "95128")</f>
        <v>95128</v>
      </c>
      <c r="C2462" t="s">
        <v>35</v>
      </c>
      <c r="D2462" t="s">
        <v>11</v>
      </c>
      <c r="E2462" t="s">
        <v>12</v>
      </c>
      <c r="F2462" t="s">
        <v>26</v>
      </c>
      <c r="L2462" t="s">
        <v>11244</v>
      </c>
      <c r="M2462" t="s">
        <v>11245</v>
      </c>
      <c r="N2462" t="s">
        <v>11244</v>
      </c>
      <c r="T2462" t="s">
        <v>11246</v>
      </c>
      <c r="U2462" t="s">
        <v>11247</v>
      </c>
      <c r="V2462" t="s">
        <v>11245</v>
      </c>
      <c r="W2462" t="s">
        <v>86</v>
      </c>
      <c r="X2462" t="s">
        <v>11248</v>
      </c>
      <c r="Y2462">
        <v>4</v>
      </c>
      <c r="Z2462">
        <v>17</v>
      </c>
    </row>
    <row r="2463" spans="1:26">
      <c r="A2463" s="1">
        <v>2461</v>
      </c>
      <c r="B2463" t="str">
        <f>HYPERLINK("https://bugs.eclipse.org/bugs/show_bug.cgi?id=95135", "95135")</f>
        <v>95135</v>
      </c>
      <c r="C2463" t="s">
        <v>35</v>
      </c>
      <c r="D2463" t="s">
        <v>11</v>
      </c>
      <c r="E2463" t="s">
        <v>12</v>
      </c>
      <c r="F2463" t="s">
        <v>26</v>
      </c>
      <c r="L2463" t="s">
        <v>11249</v>
      </c>
      <c r="M2463" t="s">
        <v>11250</v>
      </c>
      <c r="N2463" t="s">
        <v>11249</v>
      </c>
      <c r="T2463" t="s">
        <v>11251</v>
      </c>
      <c r="U2463" t="s">
        <v>11252</v>
      </c>
      <c r="V2463" t="s">
        <v>11250</v>
      </c>
      <c r="W2463" t="s">
        <v>2668</v>
      </c>
      <c r="X2463" t="s">
        <v>11253</v>
      </c>
      <c r="Y2463">
        <v>4</v>
      </c>
      <c r="Z2463">
        <v>17</v>
      </c>
    </row>
    <row r="2464" spans="1:26">
      <c r="A2464" s="1">
        <v>2462</v>
      </c>
      <c r="B2464" t="str">
        <f>HYPERLINK("https://bugs.eclipse.org/bugs/show_bug.cgi?id=95145", "95145")</f>
        <v>95145</v>
      </c>
      <c r="C2464" t="s">
        <v>35</v>
      </c>
      <c r="D2464" t="s">
        <v>11</v>
      </c>
      <c r="E2464" t="s">
        <v>12</v>
      </c>
      <c r="F2464" t="s">
        <v>26</v>
      </c>
      <c r="L2464" t="s">
        <v>11254</v>
      </c>
      <c r="M2464" t="s">
        <v>11255</v>
      </c>
      <c r="N2464" t="s">
        <v>11254</v>
      </c>
      <c r="T2464" t="s">
        <v>11256</v>
      </c>
      <c r="U2464" t="s">
        <v>11257</v>
      </c>
      <c r="V2464" t="s">
        <v>11255</v>
      </c>
      <c r="W2464" t="s">
        <v>2668</v>
      </c>
      <c r="X2464" t="s">
        <v>11258</v>
      </c>
      <c r="Y2464">
        <v>4</v>
      </c>
      <c r="Z2464">
        <v>17</v>
      </c>
    </row>
    <row r="2465" spans="1:26">
      <c r="A2465" s="1">
        <v>2463</v>
      </c>
      <c r="B2465" t="str">
        <f>HYPERLINK("https://bugs.eclipse.org/bugs/show_bug.cgi?id=95148", "95148")</f>
        <v>95148</v>
      </c>
      <c r="C2465" t="s">
        <v>35</v>
      </c>
      <c r="D2465" t="s">
        <v>11</v>
      </c>
      <c r="E2465" t="s">
        <v>12</v>
      </c>
      <c r="F2465" t="s">
        <v>26</v>
      </c>
      <c r="L2465" t="s">
        <v>11259</v>
      </c>
      <c r="M2465" t="s">
        <v>11260</v>
      </c>
      <c r="N2465" t="s">
        <v>11259</v>
      </c>
      <c r="T2465" t="s">
        <v>11261</v>
      </c>
      <c r="U2465" t="s">
        <v>11262</v>
      </c>
      <c r="V2465" t="s">
        <v>11260</v>
      </c>
      <c r="W2465" t="s">
        <v>2668</v>
      </c>
      <c r="X2465" t="s">
        <v>11263</v>
      </c>
      <c r="Y2465">
        <v>4</v>
      </c>
      <c r="Z2465">
        <v>17</v>
      </c>
    </row>
    <row r="2466" spans="1:26">
      <c r="A2466" s="1">
        <v>2464</v>
      </c>
      <c r="B2466" t="str">
        <f>HYPERLINK("https://bugs.eclipse.org/bugs/show_bug.cgi?id=95153", "95153")</f>
        <v>95153</v>
      </c>
      <c r="C2466" t="s">
        <v>35</v>
      </c>
      <c r="D2466" t="s">
        <v>11</v>
      </c>
      <c r="E2466" t="s">
        <v>12</v>
      </c>
      <c r="F2466" t="s">
        <v>26</v>
      </c>
      <c r="L2466" t="s">
        <v>11264</v>
      </c>
      <c r="M2466" t="s">
        <v>11265</v>
      </c>
      <c r="N2466" t="s">
        <v>11264</v>
      </c>
      <c r="T2466" t="s">
        <v>11266</v>
      </c>
      <c r="U2466" t="s">
        <v>11267</v>
      </c>
      <c r="V2466" t="s">
        <v>11265</v>
      </c>
      <c r="W2466" t="s">
        <v>2668</v>
      </c>
      <c r="X2466" t="s">
        <v>11268</v>
      </c>
      <c r="Y2466">
        <v>4</v>
      </c>
      <c r="Z2466">
        <v>17</v>
      </c>
    </row>
    <row r="2467" spans="1:26">
      <c r="A2467" s="1">
        <v>2465</v>
      </c>
      <c r="B2467" t="str">
        <f>HYPERLINK("https://bugs.eclipse.org/bugs/show_bug.cgi?id=95164", "95164")</f>
        <v>95164</v>
      </c>
      <c r="C2467" t="s">
        <v>140</v>
      </c>
      <c r="D2467" t="s">
        <v>10</v>
      </c>
      <c r="E2467" t="s">
        <v>16</v>
      </c>
      <c r="F2467" t="s">
        <v>26</v>
      </c>
      <c r="L2467" t="s">
        <v>11269</v>
      </c>
      <c r="R2467" t="s">
        <v>11269</v>
      </c>
      <c r="T2467" t="s">
        <v>11270</v>
      </c>
      <c r="U2467" t="s">
        <v>11271</v>
      </c>
      <c r="V2467" t="s">
        <v>11269</v>
      </c>
      <c r="W2467" t="s">
        <v>49</v>
      </c>
      <c r="X2467" t="s">
        <v>11272</v>
      </c>
      <c r="Y2467">
        <v>4</v>
      </c>
      <c r="Z2467">
        <v>931.04166666666663</v>
      </c>
    </row>
    <row r="2468" spans="1:26">
      <c r="A2468" s="1">
        <v>2466</v>
      </c>
      <c r="B2468" t="str">
        <f>HYPERLINK("https://bugs.eclipse.org/bugs/show_bug.cgi?id=95195", "95195")</f>
        <v>95195</v>
      </c>
      <c r="C2468" t="s">
        <v>56</v>
      </c>
      <c r="D2468" t="s">
        <v>10</v>
      </c>
      <c r="E2468" t="s">
        <v>14</v>
      </c>
      <c r="F2468" t="s">
        <v>26</v>
      </c>
      <c r="L2468" t="s">
        <v>11273</v>
      </c>
      <c r="P2468" t="s">
        <v>11274</v>
      </c>
      <c r="T2468" t="s">
        <v>11275</v>
      </c>
      <c r="U2468" t="s">
        <v>11276</v>
      </c>
      <c r="V2468" t="s">
        <v>11274</v>
      </c>
      <c r="W2468" t="s">
        <v>75</v>
      </c>
      <c r="X2468" t="s">
        <v>11277</v>
      </c>
      <c r="Y2468">
        <v>0</v>
      </c>
      <c r="Z2468">
        <v>1570</v>
      </c>
    </row>
    <row r="2469" spans="1:26">
      <c r="A2469" s="1">
        <v>2467</v>
      </c>
      <c r="B2469" t="str">
        <f>HYPERLINK("https://bugs.eclipse.org/bugs/show_bug.cgi?id=95401", "95401")</f>
        <v>95401</v>
      </c>
      <c r="C2469" t="s">
        <v>35</v>
      </c>
      <c r="D2469" t="s">
        <v>11</v>
      </c>
      <c r="E2469" t="s">
        <v>12</v>
      </c>
      <c r="F2469" t="s">
        <v>26</v>
      </c>
      <c r="L2469" t="s">
        <v>11278</v>
      </c>
      <c r="M2469" t="s">
        <v>11279</v>
      </c>
      <c r="N2469" t="s">
        <v>11278</v>
      </c>
      <c r="T2469" t="s">
        <v>11280</v>
      </c>
      <c r="U2469" t="s">
        <v>11281</v>
      </c>
      <c r="V2469" t="s">
        <v>11279</v>
      </c>
      <c r="W2469" t="s">
        <v>2668</v>
      </c>
      <c r="X2469" t="s">
        <v>11282</v>
      </c>
      <c r="Y2469">
        <v>1</v>
      </c>
      <c r="Z2469">
        <v>11</v>
      </c>
    </row>
    <row r="2470" spans="1:26">
      <c r="A2470" s="1">
        <v>2468</v>
      </c>
      <c r="B2470" t="str">
        <f>HYPERLINK("https://bugs.eclipse.org/bugs/show_bug.cgi?id=95728", "95728")</f>
        <v>95728</v>
      </c>
      <c r="C2470" t="s">
        <v>11283</v>
      </c>
      <c r="D2470" t="s">
        <v>10</v>
      </c>
      <c r="E2470" t="s">
        <v>15</v>
      </c>
      <c r="F2470" t="s">
        <v>26</v>
      </c>
      <c r="L2470" t="s">
        <v>11284</v>
      </c>
      <c r="Q2470" t="s">
        <v>11284</v>
      </c>
      <c r="T2470" t="s">
        <v>11285</v>
      </c>
      <c r="U2470" t="s">
        <v>11284</v>
      </c>
      <c r="V2470" t="s">
        <v>11284</v>
      </c>
      <c r="W2470" t="s">
        <v>86</v>
      </c>
      <c r="X2470" t="s">
        <v>11286</v>
      </c>
      <c r="Y2470">
        <v>0</v>
      </c>
      <c r="Z2470">
        <v>0</v>
      </c>
    </row>
    <row r="2471" spans="1:26">
      <c r="A2471" s="1">
        <v>2469</v>
      </c>
      <c r="B2471" t="str">
        <f>HYPERLINK("https://bugs.eclipse.org/bugs/show_bug.cgi?id=95921", "95921")</f>
        <v>95921</v>
      </c>
      <c r="C2471" t="s">
        <v>56</v>
      </c>
      <c r="D2471" t="s">
        <v>10</v>
      </c>
      <c r="E2471" t="s">
        <v>14</v>
      </c>
      <c r="F2471" t="s">
        <v>51</v>
      </c>
      <c r="L2471" t="s">
        <v>11287</v>
      </c>
      <c r="P2471" t="s">
        <v>11288</v>
      </c>
      <c r="T2471" t="s">
        <v>11289</v>
      </c>
      <c r="U2471" t="s">
        <v>11290</v>
      </c>
      <c r="V2471" t="s">
        <v>11288</v>
      </c>
      <c r="W2471" t="s">
        <v>75</v>
      </c>
      <c r="X2471" t="s">
        <v>11291</v>
      </c>
      <c r="Y2471">
        <v>0</v>
      </c>
      <c r="Z2471">
        <v>1564</v>
      </c>
    </row>
    <row r="2472" spans="1:26">
      <c r="A2472" s="1">
        <v>2470</v>
      </c>
      <c r="B2472" t="str">
        <f>HYPERLINK("https://bugs.eclipse.org/bugs/show_bug.cgi?id=95928", "95928")</f>
        <v>95928</v>
      </c>
      <c r="C2472" t="s">
        <v>35</v>
      </c>
      <c r="D2472" t="s">
        <v>11</v>
      </c>
      <c r="E2472" t="s">
        <v>12</v>
      </c>
      <c r="F2472" t="s">
        <v>26</v>
      </c>
      <c r="L2472" t="s">
        <v>11292</v>
      </c>
      <c r="M2472" t="s">
        <v>11293</v>
      </c>
      <c r="N2472" t="s">
        <v>11292</v>
      </c>
      <c r="T2472" t="s">
        <v>11294</v>
      </c>
      <c r="U2472" t="s">
        <v>11295</v>
      </c>
      <c r="V2472" t="s">
        <v>11293</v>
      </c>
      <c r="W2472" t="s">
        <v>851</v>
      </c>
      <c r="X2472" t="s">
        <v>11296</v>
      </c>
      <c r="Y2472">
        <v>0</v>
      </c>
      <c r="Z2472">
        <v>11</v>
      </c>
    </row>
    <row r="2473" spans="1:26">
      <c r="A2473" s="1">
        <v>2471</v>
      </c>
      <c r="B2473" t="str">
        <f>HYPERLINK("https://bugs.eclipse.org/bugs/show_bug.cgi?id=95991", "95991")</f>
        <v>95991</v>
      </c>
      <c r="C2473" t="s">
        <v>56</v>
      </c>
      <c r="D2473" t="s">
        <v>10</v>
      </c>
      <c r="E2473" t="s">
        <v>14</v>
      </c>
      <c r="F2473" t="s">
        <v>26</v>
      </c>
      <c r="G2473" t="s">
        <v>11297</v>
      </c>
      <c r="L2473" t="s">
        <v>11298</v>
      </c>
      <c r="P2473" t="s">
        <v>11298</v>
      </c>
      <c r="T2473" t="s">
        <v>11299</v>
      </c>
      <c r="U2473" t="s">
        <v>11300</v>
      </c>
      <c r="V2473" t="s">
        <v>11301</v>
      </c>
      <c r="W2473" t="s">
        <v>4846</v>
      </c>
      <c r="X2473" t="s">
        <v>11302</v>
      </c>
      <c r="Y2473">
        <v>1</v>
      </c>
      <c r="Z2473">
        <v>3694</v>
      </c>
    </row>
    <row r="2474" spans="1:26">
      <c r="A2474" s="1">
        <v>2472</v>
      </c>
      <c r="B2474" t="str">
        <f>HYPERLINK("https://bugs.eclipse.org/bugs/show_bug.cgi?id=96038", "96038")</f>
        <v>96038</v>
      </c>
      <c r="C2474" t="s">
        <v>6106</v>
      </c>
      <c r="D2474" t="s">
        <v>10</v>
      </c>
      <c r="E2474" t="s">
        <v>15</v>
      </c>
      <c r="F2474" t="s">
        <v>26</v>
      </c>
      <c r="L2474" t="s">
        <v>11303</v>
      </c>
      <c r="Q2474" t="s">
        <v>11303</v>
      </c>
      <c r="T2474" t="s">
        <v>11304</v>
      </c>
      <c r="U2474" t="s">
        <v>11303</v>
      </c>
      <c r="V2474" t="s">
        <v>11303</v>
      </c>
      <c r="W2474" t="s">
        <v>86</v>
      </c>
      <c r="X2474" t="s">
        <v>11305</v>
      </c>
      <c r="Y2474">
        <v>0</v>
      </c>
      <c r="Z2474">
        <v>0</v>
      </c>
    </row>
    <row r="2475" spans="1:26">
      <c r="A2475" s="1">
        <v>2473</v>
      </c>
      <c r="B2475" t="str">
        <f>HYPERLINK("https://bugs.eclipse.org/bugs/show_bug.cgi?id=96081", "96081")</f>
        <v>96081</v>
      </c>
      <c r="C2475" t="s">
        <v>35</v>
      </c>
      <c r="D2475" t="s">
        <v>11</v>
      </c>
      <c r="E2475" t="s">
        <v>12</v>
      </c>
      <c r="F2475" t="s">
        <v>26</v>
      </c>
      <c r="L2475" t="s">
        <v>11306</v>
      </c>
      <c r="M2475" t="s">
        <v>11307</v>
      </c>
      <c r="N2475" t="s">
        <v>11306</v>
      </c>
      <c r="T2475" t="s">
        <v>11308</v>
      </c>
      <c r="U2475" t="s">
        <v>11309</v>
      </c>
      <c r="V2475" t="s">
        <v>11307</v>
      </c>
      <c r="W2475" t="s">
        <v>1161</v>
      </c>
      <c r="X2475" t="s">
        <v>11310</v>
      </c>
      <c r="Y2475">
        <v>5</v>
      </c>
      <c r="Z2475">
        <v>7</v>
      </c>
    </row>
    <row r="2476" spans="1:26">
      <c r="A2476" s="1">
        <v>2474</v>
      </c>
      <c r="B2476" t="str">
        <f>HYPERLINK("https://bugs.eclipse.org/bugs/show_bug.cgi?id=96115", "96115")</f>
        <v>96115</v>
      </c>
      <c r="C2476" t="s">
        <v>56</v>
      </c>
      <c r="D2476" t="s">
        <v>10</v>
      </c>
      <c r="E2476" t="s">
        <v>14</v>
      </c>
      <c r="F2476" t="s">
        <v>26</v>
      </c>
      <c r="L2476" t="s">
        <v>11311</v>
      </c>
      <c r="P2476" t="s">
        <v>11311</v>
      </c>
      <c r="T2476" t="s">
        <v>11312</v>
      </c>
      <c r="U2476" t="s">
        <v>11313</v>
      </c>
      <c r="V2476" t="s">
        <v>11311</v>
      </c>
      <c r="W2476" t="s">
        <v>49</v>
      </c>
      <c r="X2476" t="s">
        <v>11314</v>
      </c>
      <c r="Y2476">
        <v>7</v>
      </c>
      <c r="Z2476">
        <v>385</v>
      </c>
    </row>
    <row r="2477" spans="1:26">
      <c r="A2477" s="1">
        <v>2475</v>
      </c>
      <c r="B2477" t="str">
        <f>HYPERLINK("https://bugs.eclipse.org/bugs/show_bug.cgi?id=96172", "96172")</f>
        <v>96172</v>
      </c>
      <c r="C2477" t="s">
        <v>35</v>
      </c>
      <c r="D2477" t="s">
        <v>11</v>
      </c>
      <c r="E2477" t="s">
        <v>12</v>
      </c>
      <c r="F2477" t="s">
        <v>26</v>
      </c>
      <c r="L2477" t="s">
        <v>11315</v>
      </c>
      <c r="M2477" t="s">
        <v>11316</v>
      </c>
      <c r="N2477" t="s">
        <v>11315</v>
      </c>
      <c r="T2477" t="s">
        <v>11317</v>
      </c>
      <c r="U2477" t="s">
        <v>11318</v>
      </c>
      <c r="V2477" t="s">
        <v>11316</v>
      </c>
      <c r="W2477" t="s">
        <v>1161</v>
      </c>
      <c r="X2477" t="s">
        <v>11319</v>
      </c>
      <c r="Y2477">
        <v>3</v>
      </c>
      <c r="Z2477">
        <v>7</v>
      </c>
    </row>
    <row r="2478" spans="1:26">
      <c r="A2478" s="1">
        <v>2476</v>
      </c>
      <c r="B2478" t="str">
        <f>HYPERLINK("https://bugs.eclipse.org/bugs/show_bug.cgi?id=96308", "96308")</f>
        <v>96308</v>
      </c>
      <c r="C2478" t="s">
        <v>35</v>
      </c>
      <c r="D2478" t="s">
        <v>11</v>
      </c>
      <c r="E2478" t="s">
        <v>12</v>
      </c>
      <c r="F2478" t="s">
        <v>26</v>
      </c>
      <c r="L2478" t="s">
        <v>11320</v>
      </c>
      <c r="M2478" t="s">
        <v>11321</v>
      </c>
      <c r="N2478" t="s">
        <v>11320</v>
      </c>
      <c r="S2478" t="s">
        <v>11322</v>
      </c>
      <c r="T2478" t="s">
        <v>11323</v>
      </c>
      <c r="U2478" t="s">
        <v>11324</v>
      </c>
      <c r="V2478" t="s">
        <v>11321</v>
      </c>
      <c r="W2478" t="s">
        <v>851</v>
      </c>
      <c r="X2478" t="s">
        <v>11325</v>
      </c>
      <c r="Y2478">
        <v>1</v>
      </c>
      <c r="Z2478">
        <v>162.04166666666671</v>
      </c>
    </row>
    <row r="2479" spans="1:26">
      <c r="A2479" s="1">
        <v>2477</v>
      </c>
      <c r="B2479" t="str">
        <f>HYPERLINK("https://bugs.eclipse.org/bugs/show_bug.cgi?id=96355", "96355")</f>
        <v>96355</v>
      </c>
      <c r="C2479" t="s">
        <v>56</v>
      </c>
      <c r="D2479" t="s">
        <v>10</v>
      </c>
      <c r="E2479" t="s">
        <v>14</v>
      </c>
      <c r="F2479" t="s">
        <v>26</v>
      </c>
      <c r="L2479" t="s">
        <v>11326</v>
      </c>
      <c r="P2479" t="s">
        <v>11327</v>
      </c>
      <c r="T2479" t="s">
        <v>11328</v>
      </c>
      <c r="U2479" t="s">
        <v>11329</v>
      </c>
      <c r="V2479" t="s">
        <v>11327</v>
      </c>
      <c r="W2479" t="s">
        <v>75</v>
      </c>
      <c r="X2479" t="s">
        <v>11330</v>
      </c>
      <c r="Y2479">
        <v>0</v>
      </c>
      <c r="Z2479">
        <v>1560</v>
      </c>
    </row>
    <row r="2480" spans="1:26">
      <c r="A2480" s="1">
        <v>2478</v>
      </c>
      <c r="B2480" t="str">
        <f>HYPERLINK("https://bugs.eclipse.org/bugs/show_bug.cgi?id=96418", "96418")</f>
        <v>96418</v>
      </c>
      <c r="C2480" t="s">
        <v>35</v>
      </c>
      <c r="D2480" t="s">
        <v>11</v>
      </c>
      <c r="E2480" t="s">
        <v>12</v>
      </c>
      <c r="F2480" t="s">
        <v>26</v>
      </c>
      <c r="L2480" t="s">
        <v>11331</v>
      </c>
      <c r="M2480" t="s">
        <v>11332</v>
      </c>
      <c r="N2480" t="s">
        <v>11331</v>
      </c>
      <c r="T2480" t="s">
        <v>11333</v>
      </c>
      <c r="U2480" t="s">
        <v>11331</v>
      </c>
      <c r="V2480" t="s">
        <v>11332</v>
      </c>
      <c r="W2480" t="s">
        <v>1161</v>
      </c>
      <c r="X2480" t="s">
        <v>11334</v>
      </c>
      <c r="Y2480">
        <v>0</v>
      </c>
      <c r="Z2480">
        <v>3</v>
      </c>
    </row>
    <row r="2481" spans="1:26">
      <c r="A2481" s="1">
        <v>2479</v>
      </c>
      <c r="B2481" t="str">
        <f>HYPERLINK("https://bugs.eclipse.org/bugs/show_bug.cgi?id=96663", "96663")</f>
        <v>96663</v>
      </c>
      <c r="C2481" t="s">
        <v>149</v>
      </c>
      <c r="D2481" t="s">
        <v>10</v>
      </c>
      <c r="E2481" t="s">
        <v>12</v>
      </c>
      <c r="F2481" t="s">
        <v>26</v>
      </c>
      <c r="H2481" t="s">
        <v>11335</v>
      </c>
      <c r="L2481" t="s">
        <v>11336</v>
      </c>
      <c r="N2481" t="s">
        <v>11336</v>
      </c>
      <c r="T2481" t="s">
        <v>11337</v>
      </c>
      <c r="U2481" t="s">
        <v>11338</v>
      </c>
      <c r="V2481" t="s">
        <v>11336</v>
      </c>
      <c r="W2481" t="s">
        <v>49</v>
      </c>
      <c r="X2481" t="s">
        <v>11339</v>
      </c>
      <c r="Y2481">
        <v>0</v>
      </c>
      <c r="Z2481">
        <v>257.04166666666669</v>
      </c>
    </row>
    <row r="2482" spans="1:26">
      <c r="A2482" s="1">
        <v>2480</v>
      </c>
      <c r="B2482" t="str">
        <f>HYPERLINK("https://bugs.eclipse.org/bugs/show_bug.cgi?id=96799", "96799")</f>
        <v>96799</v>
      </c>
      <c r="C2482" t="s">
        <v>149</v>
      </c>
      <c r="D2482" t="s">
        <v>10</v>
      </c>
      <c r="E2482" t="s">
        <v>12</v>
      </c>
      <c r="F2482" t="s">
        <v>26</v>
      </c>
      <c r="L2482" t="s">
        <v>11340</v>
      </c>
      <c r="N2482" t="s">
        <v>11340</v>
      </c>
      <c r="T2482" t="s">
        <v>11341</v>
      </c>
      <c r="U2482" t="s">
        <v>11342</v>
      </c>
      <c r="V2482" t="s">
        <v>11340</v>
      </c>
      <c r="W2482" t="s">
        <v>2668</v>
      </c>
      <c r="X2482" t="s">
        <v>11343</v>
      </c>
      <c r="Y2482">
        <v>4</v>
      </c>
      <c r="Z2482">
        <v>288.04166666666669</v>
      </c>
    </row>
    <row r="2483" spans="1:26">
      <c r="A2483" s="1">
        <v>2481</v>
      </c>
      <c r="B2483" t="str">
        <f>HYPERLINK("https://bugs.eclipse.org/bugs/show_bug.cgi?id=96889", "96889")</f>
        <v>96889</v>
      </c>
      <c r="C2483" t="s">
        <v>35</v>
      </c>
      <c r="D2483" t="s">
        <v>11</v>
      </c>
      <c r="E2483" t="s">
        <v>12</v>
      </c>
      <c r="F2483" t="s">
        <v>26</v>
      </c>
      <c r="G2483" t="s">
        <v>11344</v>
      </c>
      <c r="L2483" t="s">
        <v>11345</v>
      </c>
      <c r="M2483" t="s">
        <v>11346</v>
      </c>
      <c r="N2483" t="s">
        <v>11345</v>
      </c>
      <c r="T2483" t="s">
        <v>11347</v>
      </c>
      <c r="U2483" t="s">
        <v>11348</v>
      </c>
      <c r="V2483" t="s">
        <v>11346</v>
      </c>
      <c r="W2483" t="s">
        <v>86</v>
      </c>
      <c r="X2483" t="s">
        <v>11349</v>
      </c>
      <c r="Y2483">
        <v>0</v>
      </c>
      <c r="Z2483">
        <v>14</v>
      </c>
    </row>
    <row r="2484" spans="1:26">
      <c r="A2484" s="1">
        <v>2482</v>
      </c>
      <c r="B2484" t="str">
        <f>HYPERLINK("https://bugs.eclipse.org/bugs/show_bug.cgi?id=96949", "96949")</f>
        <v>96949</v>
      </c>
      <c r="C2484" t="s">
        <v>35</v>
      </c>
      <c r="D2484" t="s">
        <v>11</v>
      </c>
      <c r="E2484" t="s">
        <v>12</v>
      </c>
      <c r="F2484" t="s">
        <v>26</v>
      </c>
      <c r="L2484" t="s">
        <v>11350</v>
      </c>
      <c r="M2484" t="s">
        <v>11351</v>
      </c>
      <c r="N2484" t="s">
        <v>11350</v>
      </c>
      <c r="T2484" t="s">
        <v>11352</v>
      </c>
      <c r="U2484" t="s">
        <v>11353</v>
      </c>
      <c r="V2484" t="s">
        <v>11351</v>
      </c>
      <c r="W2484" t="s">
        <v>2668</v>
      </c>
      <c r="X2484" t="s">
        <v>11354</v>
      </c>
      <c r="Y2484">
        <v>0</v>
      </c>
      <c r="Z2484">
        <v>116</v>
      </c>
    </row>
    <row r="2485" spans="1:26">
      <c r="A2485" s="1">
        <v>2483</v>
      </c>
      <c r="B2485" t="str">
        <f>HYPERLINK("https://bugs.eclipse.org/bugs/show_bug.cgi?id=96973", "96973")</f>
        <v>96973</v>
      </c>
      <c r="C2485" t="s">
        <v>11355</v>
      </c>
      <c r="D2485" t="s">
        <v>10</v>
      </c>
      <c r="E2485" t="s">
        <v>15</v>
      </c>
      <c r="F2485" t="s">
        <v>26</v>
      </c>
      <c r="L2485" t="s">
        <v>11356</v>
      </c>
      <c r="Q2485" t="s">
        <v>11356</v>
      </c>
      <c r="T2485" t="s">
        <v>11357</v>
      </c>
      <c r="U2485" t="s">
        <v>11358</v>
      </c>
      <c r="V2485" t="s">
        <v>11356</v>
      </c>
      <c r="W2485" t="s">
        <v>49</v>
      </c>
      <c r="X2485" t="s">
        <v>11359</v>
      </c>
      <c r="Y2485">
        <v>3</v>
      </c>
      <c r="Z2485">
        <v>305.04166666666669</v>
      </c>
    </row>
    <row r="2486" spans="1:26">
      <c r="A2486" s="1">
        <v>2484</v>
      </c>
      <c r="B2486" t="str">
        <f>HYPERLINK("https://bugs.eclipse.org/bugs/show_bug.cgi?id=96988", "96988")</f>
        <v>96988</v>
      </c>
      <c r="C2486" t="s">
        <v>56</v>
      </c>
      <c r="D2486" t="s">
        <v>10</v>
      </c>
      <c r="E2486" t="s">
        <v>14</v>
      </c>
      <c r="F2486" t="s">
        <v>51</v>
      </c>
      <c r="L2486" t="s">
        <v>11360</v>
      </c>
      <c r="P2486" t="s">
        <v>11361</v>
      </c>
      <c r="T2486" t="s">
        <v>11362</v>
      </c>
      <c r="U2486" t="s">
        <v>11363</v>
      </c>
      <c r="V2486" t="s">
        <v>11361</v>
      </c>
      <c r="W2486" t="s">
        <v>80</v>
      </c>
      <c r="X2486" t="s">
        <v>11364</v>
      </c>
      <c r="Y2486">
        <v>0</v>
      </c>
      <c r="Z2486">
        <v>1556</v>
      </c>
    </row>
    <row r="2487" spans="1:26">
      <c r="A2487" s="1">
        <v>2485</v>
      </c>
      <c r="B2487" t="str">
        <f>HYPERLINK("https://bugs.eclipse.org/bugs/show_bug.cgi?id=97026", "97026")</f>
        <v>97026</v>
      </c>
      <c r="C2487" t="s">
        <v>35</v>
      </c>
      <c r="D2487" t="s">
        <v>11</v>
      </c>
      <c r="E2487" t="s">
        <v>12</v>
      </c>
      <c r="F2487" t="s">
        <v>26</v>
      </c>
      <c r="L2487" t="s">
        <v>11365</v>
      </c>
      <c r="M2487" t="s">
        <v>11366</v>
      </c>
      <c r="N2487" t="s">
        <v>11365</v>
      </c>
      <c r="T2487" t="s">
        <v>11367</v>
      </c>
      <c r="U2487" t="s">
        <v>11368</v>
      </c>
      <c r="V2487" t="s">
        <v>11366</v>
      </c>
      <c r="W2487" t="s">
        <v>86</v>
      </c>
      <c r="X2487" t="s">
        <v>11369</v>
      </c>
      <c r="Y2487">
        <v>0</v>
      </c>
      <c r="Z2487">
        <v>13</v>
      </c>
    </row>
    <row r="2488" spans="1:26">
      <c r="A2488" s="1">
        <v>2486</v>
      </c>
      <c r="B2488" t="str">
        <f>HYPERLINK("https://bugs.eclipse.org/bugs/show_bug.cgi?id=97032", "97032")</f>
        <v>97032</v>
      </c>
      <c r="C2488" t="s">
        <v>56</v>
      </c>
      <c r="D2488" t="s">
        <v>10</v>
      </c>
      <c r="E2488" t="s">
        <v>14</v>
      </c>
      <c r="F2488" t="s">
        <v>26</v>
      </c>
      <c r="L2488" t="s">
        <v>11370</v>
      </c>
      <c r="P2488" t="s">
        <v>11371</v>
      </c>
      <c r="T2488" t="s">
        <v>11372</v>
      </c>
      <c r="U2488" t="s">
        <v>11373</v>
      </c>
      <c r="V2488" t="s">
        <v>11371</v>
      </c>
      <c r="W2488" t="s">
        <v>75</v>
      </c>
      <c r="X2488" t="s">
        <v>11374</v>
      </c>
      <c r="Y2488">
        <v>0</v>
      </c>
      <c r="Z2488">
        <v>1556</v>
      </c>
    </row>
    <row r="2489" spans="1:26">
      <c r="A2489" s="1">
        <v>2487</v>
      </c>
      <c r="B2489" t="str">
        <f>HYPERLINK("https://bugs.eclipse.org/bugs/show_bug.cgi?id=97142", "97142")</f>
        <v>97142</v>
      </c>
      <c r="C2489" t="s">
        <v>56</v>
      </c>
      <c r="D2489" t="s">
        <v>10</v>
      </c>
      <c r="E2489" t="s">
        <v>14</v>
      </c>
      <c r="F2489" t="s">
        <v>51</v>
      </c>
      <c r="L2489" t="s">
        <v>11375</v>
      </c>
      <c r="P2489" t="s">
        <v>11376</v>
      </c>
      <c r="T2489" t="s">
        <v>11377</v>
      </c>
      <c r="U2489" t="s">
        <v>11375</v>
      </c>
      <c r="V2489" t="s">
        <v>11376</v>
      </c>
      <c r="W2489" t="s">
        <v>75</v>
      </c>
      <c r="X2489" t="s">
        <v>11378</v>
      </c>
      <c r="Y2489">
        <v>1</v>
      </c>
      <c r="Z2489">
        <v>1554</v>
      </c>
    </row>
    <row r="2490" spans="1:26">
      <c r="A2490" s="1">
        <v>2488</v>
      </c>
      <c r="B2490" t="str">
        <f>HYPERLINK("https://bugs.eclipse.org/bugs/show_bug.cgi?id=97206", "97206")</f>
        <v>97206</v>
      </c>
      <c r="C2490" t="s">
        <v>10594</v>
      </c>
      <c r="D2490" t="s">
        <v>11</v>
      </c>
      <c r="E2490" t="s">
        <v>16</v>
      </c>
      <c r="F2490" t="s">
        <v>26</v>
      </c>
      <c r="L2490" t="s">
        <v>11379</v>
      </c>
      <c r="M2490" t="s">
        <v>11380</v>
      </c>
      <c r="R2490" t="s">
        <v>11379</v>
      </c>
      <c r="T2490" t="s">
        <v>11381</v>
      </c>
      <c r="U2490" t="s">
        <v>11382</v>
      </c>
      <c r="V2490" t="s">
        <v>11380</v>
      </c>
      <c r="W2490" t="s">
        <v>2668</v>
      </c>
      <c r="X2490" t="s">
        <v>11383</v>
      </c>
      <c r="Y2490">
        <v>2</v>
      </c>
      <c r="Z2490">
        <v>11</v>
      </c>
    </row>
    <row r="2491" spans="1:26">
      <c r="A2491" s="1">
        <v>2489</v>
      </c>
      <c r="B2491" t="str">
        <f>HYPERLINK("https://bugs.eclipse.org/bugs/show_bug.cgi?id=97207", "97207")</f>
        <v>97207</v>
      </c>
      <c r="C2491" t="s">
        <v>35</v>
      </c>
      <c r="D2491" t="s">
        <v>11</v>
      </c>
      <c r="E2491" t="s">
        <v>12</v>
      </c>
      <c r="F2491" t="s">
        <v>26</v>
      </c>
      <c r="G2491" t="s">
        <v>11384</v>
      </c>
      <c r="L2491" t="s">
        <v>11385</v>
      </c>
      <c r="M2491" t="s">
        <v>11386</v>
      </c>
      <c r="N2491" t="s">
        <v>11385</v>
      </c>
      <c r="T2491" t="s">
        <v>11387</v>
      </c>
      <c r="U2491" t="s">
        <v>11388</v>
      </c>
      <c r="V2491" t="s">
        <v>11386</v>
      </c>
      <c r="W2491" t="s">
        <v>86</v>
      </c>
      <c r="X2491" t="s">
        <v>11389</v>
      </c>
      <c r="Y2491">
        <v>0</v>
      </c>
      <c r="Z2491">
        <v>10</v>
      </c>
    </row>
    <row r="2492" spans="1:26">
      <c r="A2492" s="1">
        <v>2490</v>
      </c>
      <c r="B2492" t="str">
        <f>HYPERLINK("https://bugs.eclipse.org/bugs/show_bug.cgi?id=97209", "97209")</f>
        <v>97209</v>
      </c>
      <c r="C2492" t="s">
        <v>35</v>
      </c>
      <c r="D2492" t="s">
        <v>11</v>
      </c>
      <c r="E2492" t="s">
        <v>12</v>
      </c>
      <c r="F2492" t="s">
        <v>26</v>
      </c>
      <c r="G2492" t="s">
        <v>11390</v>
      </c>
      <c r="L2492" t="s">
        <v>11391</v>
      </c>
      <c r="M2492" t="s">
        <v>11392</v>
      </c>
      <c r="N2492" t="s">
        <v>11391</v>
      </c>
      <c r="T2492" t="s">
        <v>11393</v>
      </c>
      <c r="U2492" t="s">
        <v>11394</v>
      </c>
      <c r="V2492" t="s">
        <v>11392</v>
      </c>
      <c r="W2492" t="s">
        <v>86</v>
      </c>
      <c r="X2492" t="s">
        <v>11395</v>
      </c>
      <c r="Y2492">
        <v>0</v>
      </c>
      <c r="Z2492">
        <v>10</v>
      </c>
    </row>
    <row r="2493" spans="1:26">
      <c r="A2493" s="1">
        <v>2491</v>
      </c>
      <c r="B2493" t="str">
        <f>HYPERLINK("https://bugs.eclipse.org/bugs/show_bug.cgi?id=97213", "97213")</f>
        <v>97213</v>
      </c>
      <c r="C2493" t="s">
        <v>149</v>
      </c>
      <c r="D2493" t="s">
        <v>10</v>
      </c>
      <c r="E2493" t="s">
        <v>12</v>
      </c>
      <c r="F2493" t="s">
        <v>26</v>
      </c>
      <c r="L2493" t="s">
        <v>11396</v>
      </c>
      <c r="N2493" t="s">
        <v>11396</v>
      </c>
      <c r="T2493" t="s">
        <v>11397</v>
      </c>
      <c r="U2493" t="s">
        <v>11398</v>
      </c>
      <c r="V2493" t="s">
        <v>11396</v>
      </c>
      <c r="W2493" t="s">
        <v>2668</v>
      </c>
      <c r="X2493" t="s">
        <v>11399</v>
      </c>
      <c r="Y2493">
        <v>0</v>
      </c>
      <c r="Z2493">
        <v>311</v>
      </c>
    </row>
    <row r="2494" spans="1:26">
      <c r="A2494" s="1">
        <v>2492</v>
      </c>
      <c r="B2494" t="str">
        <f>HYPERLINK("https://bugs.eclipse.org/bugs/show_bug.cgi?id=97215", "97215")</f>
        <v>97215</v>
      </c>
      <c r="C2494" t="s">
        <v>149</v>
      </c>
      <c r="D2494" t="s">
        <v>10</v>
      </c>
      <c r="E2494" t="s">
        <v>12</v>
      </c>
      <c r="F2494" t="s">
        <v>26</v>
      </c>
      <c r="L2494" t="s">
        <v>11400</v>
      </c>
      <c r="N2494" t="s">
        <v>11400</v>
      </c>
      <c r="T2494" t="s">
        <v>11401</v>
      </c>
      <c r="U2494" t="s">
        <v>11402</v>
      </c>
      <c r="V2494" t="s">
        <v>11400</v>
      </c>
      <c r="W2494" t="s">
        <v>2668</v>
      </c>
      <c r="X2494" t="s">
        <v>11403</v>
      </c>
      <c r="Y2494">
        <v>0</v>
      </c>
      <c r="Z2494">
        <v>226.04166666666671</v>
      </c>
    </row>
    <row r="2495" spans="1:26">
      <c r="A2495" s="1">
        <v>2493</v>
      </c>
      <c r="B2495" t="str">
        <f>HYPERLINK("https://bugs.eclipse.org/bugs/show_bug.cgi?id=97221", "97221")</f>
        <v>97221</v>
      </c>
      <c r="C2495" t="s">
        <v>35</v>
      </c>
      <c r="D2495" t="s">
        <v>11</v>
      </c>
      <c r="E2495" t="s">
        <v>12</v>
      </c>
      <c r="F2495" t="s">
        <v>150</v>
      </c>
      <c r="L2495" t="s">
        <v>11404</v>
      </c>
      <c r="M2495" t="s">
        <v>11405</v>
      </c>
      <c r="N2495" t="s">
        <v>11404</v>
      </c>
      <c r="T2495" t="s">
        <v>11406</v>
      </c>
      <c r="U2495" t="s">
        <v>11407</v>
      </c>
      <c r="V2495" t="s">
        <v>11405</v>
      </c>
      <c r="W2495" t="s">
        <v>143</v>
      </c>
      <c r="X2495" t="s">
        <v>11408</v>
      </c>
      <c r="Y2495">
        <v>0</v>
      </c>
      <c r="Z2495">
        <v>11</v>
      </c>
    </row>
    <row r="2496" spans="1:26">
      <c r="A2496" s="1">
        <v>2494</v>
      </c>
      <c r="B2496" t="str">
        <f>HYPERLINK("https://bugs.eclipse.org/bugs/show_bug.cgi?id=97223", "97223")</f>
        <v>97223</v>
      </c>
      <c r="C2496" t="s">
        <v>56</v>
      </c>
      <c r="D2496" t="s">
        <v>10</v>
      </c>
      <c r="E2496" t="s">
        <v>14</v>
      </c>
      <c r="F2496" t="s">
        <v>26</v>
      </c>
      <c r="L2496" t="s">
        <v>11409</v>
      </c>
      <c r="P2496" t="s">
        <v>11409</v>
      </c>
      <c r="T2496" t="s">
        <v>11410</v>
      </c>
      <c r="U2496" t="s">
        <v>11411</v>
      </c>
      <c r="V2496" t="s">
        <v>11409</v>
      </c>
      <c r="W2496" t="s">
        <v>2668</v>
      </c>
      <c r="X2496" t="s">
        <v>11412</v>
      </c>
      <c r="Y2496">
        <v>2</v>
      </c>
      <c r="Z2496">
        <v>142</v>
      </c>
    </row>
    <row r="2497" spans="1:26">
      <c r="A2497" s="1">
        <v>2495</v>
      </c>
      <c r="B2497" t="str">
        <f>HYPERLINK("https://bugs.eclipse.org/bugs/show_bug.cgi?id=97227", "97227")</f>
        <v>97227</v>
      </c>
      <c r="C2497" t="s">
        <v>35</v>
      </c>
      <c r="D2497" t="s">
        <v>11</v>
      </c>
      <c r="E2497" t="s">
        <v>12</v>
      </c>
      <c r="F2497" t="s">
        <v>26</v>
      </c>
      <c r="L2497" t="s">
        <v>11413</v>
      </c>
      <c r="M2497" t="s">
        <v>11414</v>
      </c>
      <c r="N2497" t="s">
        <v>11413</v>
      </c>
      <c r="T2497" t="s">
        <v>11415</v>
      </c>
      <c r="U2497" t="s">
        <v>11416</v>
      </c>
      <c r="V2497" t="s">
        <v>11414</v>
      </c>
      <c r="W2497" t="s">
        <v>2668</v>
      </c>
      <c r="X2497" t="s">
        <v>11417</v>
      </c>
      <c r="Y2497">
        <v>2</v>
      </c>
      <c r="Z2497">
        <v>10</v>
      </c>
    </row>
    <row r="2498" spans="1:26">
      <c r="A2498" s="1">
        <v>2496</v>
      </c>
      <c r="B2498" t="str">
        <f>HYPERLINK("https://bugs.eclipse.org/bugs/show_bug.cgi?id=97236", "97236")</f>
        <v>97236</v>
      </c>
      <c r="C2498" t="s">
        <v>35</v>
      </c>
      <c r="D2498" t="s">
        <v>11</v>
      </c>
      <c r="E2498" t="s">
        <v>12</v>
      </c>
      <c r="F2498" t="s">
        <v>26</v>
      </c>
      <c r="L2498" t="s">
        <v>11418</v>
      </c>
      <c r="M2498" t="s">
        <v>11419</v>
      </c>
      <c r="N2498" t="s">
        <v>11418</v>
      </c>
      <c r="T2498" t="s">
        <v>11420</v>
      </c>
      <c r="U2498" t="s">
        <v>11421</v>
      </c>
      <c r="V2498" t="s">
        <v>11419</v>
      </c>
      <c r="W2498" t="s">
        <v>86</v>
      </c>
      <c r="X2498" t="s">
        <v>11422</v>
      </c>
      <c r="Y2498">
        <v>2</v>
      </c>
      <c r="Z2498">
        <v>11</v>
      </c>
    </row>
    <row r="2499" spans="1:26">
      <c r="A2499" s="1">
        <v>2497</v>
      </c>
      <c r="B2499" t="str">
        <f>HYPERLINK("https://bugs.eclipse.org/bugs/show_bug.cgi?id=97245", "97245")</f>
        <v>97245</v>
      </c>
      <c r="C2499" t="s">
        <v>11423</v>
      </c>
      <c r="D2499" t="s">
        <v>10</v>
      </c>
      <c r="E2499" t="s">
        <v>15</v>
      </c>
      <c r="F2499" t="s">
        <v>26</v>
      </c>
      <c r="L2499" t="s">
        <v>11424</v>
      </c>
      <c r="Q2499" t="s">
        <v>11424</v>
      </c>
      <c r="T2499" t="s">
        <v>11425</v>
      </c>
      <c r="U2499" t="s">
        <v>11424</v>
      </c>
      <c r="V2499" t="s">
        <v>11424</v>
      </c>
      <c r="W2499" t="s">
        <v>86</v>
      </c>
      <c r="X2499" t="s">
        <v>11426</v>
      </c>
      <c r="Y2499">
        <v>0</v>
      </c>
      <c r="Z2499">
        <v>0</v>
      </c>
    </row>
    <row r="2500" spans="1:26">
      <c r="A2500" s="1">
        <v>2498</v>
      </c>
      <c r="B2500" t="str">
        <f>HYPERLINK("https://bugs.eclipse.org/bugs/show_bug.cgi?id=97258", "97258")</f>
        <v>97258</v>
      </c>
      <c r="C2500" t="s">
        <v>35</v>
      </c>
      <c r="D2500" t="s">
        <v>11</v>
      </c>
      <c r="E2500" t="s">
        <v>12</v>
      </c>
      <c r="F2500" t="s">
        <v>150</v>
      </c>
      <c r="L2500" t="s">
        <v>11427</v>
      </c>
      <c r="M2500" t="s">
        <v>11428</v>
      </c>
      <c r="N2500" t="s">
        <v>11427</v>
      </c>
      <c r="T2500" t="s">
        <v>11429</v>
      </c>
      <c r="U2500" t="s">
        <v>11430</v>
      </c>
      <c r="V2500" t="s">
        <v>11428</v>
      </c>
      <c r="W2500" t="s">
        <v>2668</v>
      </c>
      <c r="X2500" t="s">
        <v>11431</v>
      </c>
      <c r="Y2500">
        <v>2</v>
      </c>
      <c r="Z2500">
        <v>155.04166666666671</v>
      </c>
    </row>
    <row r="2501" spans="1:26">
      <c r="A2501" s="1">
        <v>2499</v>
      </c>
      <c r="B2501" t="str">
        <f>HYPERLINK("https://bugs.eclipse.org/bugs/show_bug.cgi?id=97274", "97274")</f>
        <v>97274</v>
      </c>
      <c r="C2501" t="s">
        <v>140</v>
      </c>
      <c r="D2501" t="s">
        <v>10</v>
      </c>
      <c r="E2501" t="s">
        <v>16</v>
      </c>
      <c r="F2501" t="s">
        <v>26</v>
      </c>
      <c r="L2501" t="s">
        <v>11432</v>
      </c>
      <c r="R2501" t="s">
        <v>11432</v>
      </c>
      <c r="T2501" t="s">
        <v>11433</v>
      </c>
      <c r="U2501" t="s">
        <v>11434</v>
      </c>
      <c r="V2501" t="s">
        <v>11432</v>
      </c>
      <c r="W2501" t="s">
        <v>1954</v>
      </c>
      <c r="X2501" t="s">
        <v>11435</v>
      </c>
      <c r="Y2501">
        <v>2</v>
      </c>
      <c r="Z2501">
        <v>885</v>
      </c>
    </row>
    <row r="2502" spans="1:26">
      <c r="A2502" s="1">
        <v>2500</v>
      </c>
      <c r="B2502" t="str">
        <f>HYPERLINK("https://bugs.eclipse.org/bugs/show_bug.cgi?id=97279", "97279")</f>
        <v>97279</v>
      </c>
      <c r="C2502" t="s">
        <v>149</v>
      </c>
      <c r="D2502" t="s">
        <v>10</v>
      </c>
      <c r="E2502" t="s">
        <v>12</v>
      </c>
      <c r="F2502" t="s">
        <v>26</v>
      </c>
      <c r="L2502" t="s">
        <v>11436</v>
      </c>
      <c r="N2502" t="s">
        <v>11436</v>
      </c>
      <c r="T2502" t="s">
        <v>11437</v>
      </c>
      <c r="U2502" t="s">
        <v>11438</v>
      </c>
      <c r="V2502" t="s">
        <v>11436</v>
      </c>
      <c r="W2502" t="s">
        <v>2668</v>
      </c>
      <c r="X2502" t="s">
        <v>11439</v>
      </c>
      <c r="Y2502">
        <v>2</v>
      </c>
      <c r="Z2502">
        <v>35</v>
      </c>
    </row>
    <row r="2503" spans="1:26">
      <c r="A2503" s="1">
        <v>2501</v>
      </c>
      <c r="B2503" t="str">
        <f>HYPERLINK("https://bugs.eclipse.org/bugs/show_bug.cgi?id=97280", "97280")</f>
        <v>97280</v>
      </c>
      <c r="C2503" t="s">
        <v>35</v>
      </c>
      <c r="D2503" t="s">
        <v>11</v>
      </c>
      <c r="E2503" t="s">
        <v>12</v>
      </c>
      <c r="F2503" t="s">
        <v>26</v>
      </c>
      <c r="L2503" t="s">
        <v>11440</v>
      </c>
      <c r="M2503" t="s">
        <v>11441</v>
      </c>
      <c r="N2503" t="s">
        <v>11440</v>
      </c>
      <c r="T2503" t="s">
        <v>11437</v>
      </c>
      <c r="U2503" t="s">
        <v>11442</v>
      </c>
      <c r="V2503" t="s">
        <v>11441</v>
      </c>
      <c r="W2503" t="s">
        <v>1954</v>
      </c>
      <c r="X2503" t="s">
        <v>11443</v>
      </c>
      <c r="Y2503">
        <v>2</v>
      </c>
      <c r="Z2503">
        <v>437</v>
      </c>
    </row>
    <row r="2504" spans="1:26">
      <c r="A2504" s="1">
        <v>2502</v>
      </c>
      <c r="B2504" t="str">
        <f>HYPERLINK("https://bugs.eclipse.org/bugs/show_bug.cgi?id=97306", "97306")</f>
        <v>97306</v>
      </c>
      <c r="C2504" t="s">
        <v>35</v>
      </c>
      <c r="D2504" t="s">
        <v>11</v>
      </c>
      <c r="E2504" t="s">
        <v>12</v>
      </c>
      <c r="F2504" t="s">
        <v>26</v>
      </c>
      <c r="L2504" t="s">
        <v>11444</v>
      </c>
      <c r="M2504" t="s">
        <v>11445</v>
      </c>
      <c r="N2504" t="s">
        <v>11444</v>
      </c>
      <c r="T2504" t="s">
        <v>11446</v>
      </c>
      <c r="U2504" t="s">
        <v>11447</v>
      </c>
      <c r="V2504" t="s">
        <v>11445</v>
      </c>
      <c r="W2504" t="s">
        <v>86</v>
      </c>
      <c r="X2504" t="s">
        <v>11448</v>
      </c>
      <c r="Y2504">
        <v>1</v>
      </c>
      <c r="Z2504">
        <v>11</v>
      </c>
    </row>
    <row r="2505" spans="1:26">
      <c r="A2505" s="1">
        <v>2503</v>
      </c>
      <c r="B2505" t="str">
        <f>HYPERLINK("https://bugs.eclipse.org/bugs/show_bug.cgi?id=97311", "97311")</f>
        <v>97311</v>
      </c>
      <c r="C2505" t="s">
        <v>191</v>
      </c>
      <c r="D2505" t="s">
        <v>192</v>
      </c>
      <c r="E2505" t="s">
        <v>14</v>
      </c>
      <c r="F2505" t="s">
        <v>26</v>
      </c>
      <c r="G2505" t="s">
        <v>11449</v>
      </c>
      <c r="T2505" t="s">
        <v>11450</v>
      </c>
      <c r="U2505" t="s">
        <v>11451</v>
      </c>
      <c r="V2505" t="s">
        <v>11452</v>
      </c>
      <c r="W2505" t="s">
        <v>65</v>
      </c>
      <c r="X2505" t="s">
        <v>11453</v>
      </c>
      <c r="Y2505">
        <v>2</v>
      </c>
      <c r="Z2505">
        <v>5235</v>
      </c>
    </row>
    <row r="2506" spans="1:26">
      <c r="A2506" s="1">
        <v>2504</v>
      </c>
      <c r="B2506" t="str">
        <f>HYPERLINK("https://bugs.eclipse.org/bugs/show_bug.cgi?id=97324", "97324")</f>
        <v>97324</v>
      </c>
      <c r="C2506" t="s">
        <v>10594</v>
      </c>
      <c r="D2506" t="s">
        <v>11</v>
      </c>
      <c r="E2506" t="s">
        <v>16</v>
      </c>
      <c r="F2506" t="s">
        <v>26</v>
      </c>
      <c r="G2506" t="s">
        <v>11454</v>
      </c>
      <c r="L2506" t="s">
        <v>11455</v>
      </c>
      <c r="M2506" t="s">
        <v>11456</v>
      </c>
      <c r="R2506" t="s">
        <v>11455</v>
      </c>
      <c r="T2506" t="s">
        <v>11457</v>
      </c>
      <c r="U2506" t="s">
        <v>11458</v>
      </c>
      <c r="V2506" t="s">
        <v>11456</v>
      </c>
      <c r="W2506" t="s">
        <v>2668</v>
      </c>
      <c r="X2506" t="s">
        <v>11459</v>
      </c>
      <c r="Y2506">
        <v>0</v>
      </c>
      <c r="Z2506">
        <v>10</v>
      </c>
    </row>
    <row r="2507" spans="1:26">
      <c r="A2507" s="1">
        <v>2505</v>
      </c>
      <c r="B2507" t="str">
        <f>HYPERLINK("https://bugs.eclipse.org/bugs/show_bug.cgi?id=97395", "97395")</f>
        <v>97395</v>
      </c>
      <c r="C2507" t="s">
        <v>35</v>
      </c>
      <c r="D2507" t="s">
        <v>11</v>
      </c>
      <c r="E2507" t="s">
        <v>12</v>
      </c>
      <c r="F2507" t="s">
        <v>26</v>
      </c>
      <c r="L2507" t="s">
        <v>11460</v>
      </c>
      <c r="M2507" t="s">
        <v>11461</v>
      </c>
      <c r="N2507" t="s">
        <v>11460</v>
      </c>
      <c r="S2507" t="s">
        <v>11462</v>
      </c>
      <c r="T2507" t="s">
        <v>11463</v>
      </c>
      <c r="U2507" t="s">
        <v>11464</v>
      </c>
      <c r="V2507" t="s">
        <v>11461</v>
      </c>
      <c r="W2507" t="s">
        <v>86</v>
      </c>
      <c r="X2507" t="s">
        <v>11465</v>
      </c>
      <c r="Y2507">
        <v>0</v>
      </c>
      <c r="Z2507">
        <v>10</v>
      </c>
    </row>
    <row r="2508" spans="1:26">
      <c r="A2508" s="1">
        <v>2506</v>
      </c>
      <c r="B2508" t="str">
        <f>HYPERLINK("https://bugs.eclipse.org/bugs/show_bug.cgi?id=97397", "97397")</f>
        <v>97397</v>
      </c>
      <c r="C2508" t="s">
        <v>35</v>
      </c>
      <c r="D2508" t="s">
        <v>11</v>
      </c>
      <c r="E2508" t="s">
        <v>12</v>
      </c>
      <c r="F2508" t="s">
        <v>26</v>
      </c>
      <c r="L2508" t="s">
        <v>11466</v>
      </c>
      <c r="M2508" t="s">
        <v>11467</v>
      </c>
      <c r="N2508" t="s">
        <v>11466</v>
      </c>
      <c r="T2508" t="s">
        <v>11468</v>
      </c>
      <c r="U2508" t="s">
        <v>11469</v>
      </c>
      <c r="V2508" t="s">
        <v>11467</v>
      </c>
      <c r="W2508" t="s">
        <v>2668</v>
      </c>
      <c r="X2508" t="s">
        <v>11470</v>
      </c>
      <c r="Y2508">
        <v>0</v>
      </c>
      <c r="Z2508">
        <v>10</v>
      </c>
    </row>
    <row r="2509" spans="1:26">
      <c r="A2509" s="1">
        <v>2507</v>
      </c>
      <c r="B2509" t="str">
        <f>HYPERLINK("https://bugs.eclipse.org/bugs/show_bug.cgi?id=97411", "97411")</f>
        <v>97411</v>
      </c>
      <c r="C2509" t="s">
        <v>149</v>
      </c>
      <c r="D2509" t="s">
        <v>10</v>
      </c>
      <c r="E2509" t="s">
        <v>12</v>
      </c>
      <c r="F2509" t="s">
        <v>26</v>
      </c>
      <c r="G2509" t="s">
        <v>11471</v>
      </c>
      <c r="L2509" t="s">
        <v>11472</v>
      </c>
      <c r="N2509" t="s">
        <v>11472</v>
      </c>
      <c r="S2509" t="s">
        <v>11473</v>
      </c>
      <c r="T2509" t="s">
        <v>11474</v>
      </c>
      <c r="U2509" t="s">
        <v>11475</v>
      </c>
      <c r="V2509" t="s">
        <v>11472</v>
      </c>
      <c r="W2509" t="s">
        <v>2668</v>
      </c>
      <c r="X2509" t="s">
        <v>11476</v>
      </c>
      <c r="Y2509">
        <v>1</v>
      </c>
      <c r="Z2509">
        <v>224.04166666666671</v>
      </c>
    </row>
    <row r="2510" spans="1:26">
      <c r="A2510" s="1">
        <v>2508</v>
      </c>
      <c r="B2510" t="str">
        <f>HYPERLINK("https://bugs.eclipse.org/bugs/show_bug.cgi?id=97416", "97416")</f>
        <v>97416</v>
      </c>
      <c r="C2510" t="s">
        <v>35</v>
      </c>
      <c r="D2510" t="s">
        <v>11</v>
      </c>
      <c r="E2510" t="s">
        <v>12</v>
      </c>
      <c r="F2510" t="s">
        <v>26</v>
      </c>
      <c r="G2510" t="s">
        <v>11477</v>
      </c>
      <c r="L2510" t="s">
        <v>11478</v>
      </c>
      <c r="M2510" t="s">
        <v>11479</v>
      </c>
      <c r="N2510" t="s">
        <v>11478</v>
      </c>
      <c r="T2510" t="s">
        <v>11480</v>
      </c>
      <c r="U2510" t="s">
        <v>11481</v>
      </c>
      <c r="V2510" t="s">
        <v>11479</v>
      </c>
      <c r="W2510" t="s">
        <v>2668</v>
      </c>
      <c r="X2510" t="s">
        <v>11482</v>
      </c>
      <c r="Y2510">
        <v>0</v>
      </c>
      <c r="Z2510">
        <v>9</v>
      </c>
    </row>
    <row r="2511" spans="1:26">
      <c r="A2511" s="1">
        <v>2509</v>
      </c>
      <c r="B2511" t="str">
        <f>HYPERLINK("https://bugs.eclipse.org/bugs/show_bug.cgi?id=97431", "97431")</f>
        <v>97431</v>
      </c>
      <c r="C2511" t="s">
        <v>35</v>
      </c>
      <c r="D2511" t="s">
        <v>11</v>
      </c>
      <c r="E2511" t="s">
        <v>12</v>
      </c>
      <c r="F2511" t="s">
        <v>26</v>
      </c>
      <c r="L2511" t="s">
        <v>11483</v>
      </c>
      <c r="M2511" t="s">
        <v>11484</v>
      </c>
      <c r="N2511" t="s">
        <v>11483</v>
      </c>
      <c r="T2511" t="s">
        <v>11485</v>
      </c>
      <c r="U2511" t="s">
        <v>11486</v>
      </c>
      <c r="V2511" t="s">
        <v>11484</v>
      </c>
      <c r="W2511" t="s">
        <v>86</v>
      </c>
      <c r="X2511" t="s">
        <v>11487</v>
      </c>
      <c r="Y2511">
        <v>0</v>
      </c>
      <c r="Z2511">
        <v>10</v>
      </c>
    </row>
    <row r="2512" spans="1:26">
      <c r="A2512" s="1">
        <v>2510</v>
      </c>
      <c r="B2512" t="str">
        <f>HYPERLINK("https://bugs.eclipse.org/bugs/show_bug.cgi?id=97468", "97468")</f>
        <v>97468</v>
      </c>
      <c r="C2512" t="s">
        <v>35</v>
      </c>
      <c r="D2512" t="s">
        <v>11</v>
      </c>
      <c r="E2512" t="s">
        <v>12</v>
      </c>
      <c r="F2512" t="s">
        <v>26</v>
      </c>
      <c r="G2512" t="s">
        <v>11488</v>
      </c>
      <c r="L2512" t="s">
        <v>11489</v>
      </c>
      <c r="M2512" t="s">
        <v>11490</v>
      </c>
      <c r="N2512" t="s">
        <v>11489</v>
      </c>
      <c r="S2512" t="s">
        <v>11491</v>
      </c>
      <c r="T2512" t="s">
        <v>11492</v>
      </c>
      <c r="U2512" t="s">
        <v>11493</v>
      </c>
      <c r="V2512" t="s">
        <v>11490</v>
      </c>
      <c r="W2512" t="s">
        <v>86</v>
      </c>
      <c r="X2512" t="s">
        <v>11494</v>
      </c>
      <c r="Y2512">
        <v>0</v>
      </c>
      <c r="Z2512">
        <v>10</v>
      </c>
    </row>
    <row r="2513" spans="1:26">
      <c r="A2513" s="1">
        <v>2511</v>
      </c>
      <c r="B2513" t="str">
        <f>HYPERLINK("https://bugs.eclipse.org/bugs/show_bug.cgi?id=97478", "97478")</f>
        <v>97478</v>
      </c>
      <c r="C2513" t="s">
        <v>35</v>
      </c>
      <c r="D2513" t="s">
        <v>11</v>
      </c>
      <c r="E2513" t="s">
        <v>12</v>
      </c>
      <c r="F2513" t="s">
        <v>26</v>
      </c>
      <c r="L2513" t="s">
        <v>11495</v>
      </c>
      <c r="M2513" t="s">
        <v>11496</v>
      </c>
      <c r="N2513" t="s">
        <v>11495</v>
      </c>
      <c r="T2513" t="s">
        <v>11497</v>
      </c>
      <c r="U2513" t="s">
        <v>11498</v>
      </c>
      <c r="V2513" t="s">
        <v>11496</v>
      </c>
      <c r="W2513" t="s">
        <v>2668</v>
      </c>
      <c r="X2513" t="s">
        <v>11499</v>
      </c>
      <c r="Y2513">
        <v>0</v>
      </c>
      <c r="Z2513">
        <v>10</v>
      </c>
    </row>
    <row r="2514" spans="1:26">
      <c r="A2514" s="1">
        <v>2512</v>
      </c>
      <c r="B2514" t="str">
        <f>HYPERLINK("https://bugs.eclipse.org/bugs/show_bug.cgi?id=97507", "97507")</f>
        <v>97507</v>
      </c>
      <c r="C2514" t="s">
        <v>35</v>
      </c>
      <c r="D2514" t="s">
        <v>11</v>
      </c>
      <c r="E2514" t="s">
        <v>12</v>
      </c>
      <c r="F2514" t="s">
        <v>26</v>
      </c>
      <c r="L2514" t="s">
        <v>11500</v>
      </c>
      <c r="M2514" t="s">
        <v>11501</v>
      </c>
      <c r="N2514" t="s">
        <v>11500</v>
      </c>
      <c r="T2514" t="s">
        <v>11502</v>
      </c>
      <c r="U2514" t="s">
        <v>11503</v>
      </c>
      <c r="V2514" t="s">
        <v>11501</v>
      </c>
      <c r="W2514" t="s">
        <v>2668</v>
      </c>
      <c r="X2514" t="s">
        <v>11504</v>
      </c>
      <c r="Y2514">
        <v>1</v>
      </c>
      <c r="Z2514">
        <v>10</v>
      </c>
    </row>
    <row r="2515" spans="1:26">
      <c r="A2515" s="1">
        <v>2513</v>
      </c>
      <c r="B2515" t="str">
        <f>HYPERLINK("https://bugs.eclipse.org/bugs/show_bug.cgi?id=97521", "97521")</f>
        <v>97521</v>
      </c>
      <c r="C2515" t="s">
        <v>149</v>
      </c>
      <c r="D2515" t="s">
        <v>10</v>
      </c>
      <c r="E2515" t="s">
        <v>12</v>
      </c>
      <c r="F2515" t="s">
        <v>26</v>
      </c>
      <c r="L2515" t="s">
        <v>11505</v>
      </c>
      <c r="N2515" t="s">
        <v>11505</v>
      </c>
      <c r="T2515" t="s">
        <v>11506</v>
      </c>
      <c r="U2515" t="s">
        <v>11507</v>
      </c>
      <c r="V2515" t="s">
        <v>11505</v>
      </c>
      <c r="W2515" t="s">
        <v>2668</v>
      </c>
      <c r="X2515" t="s">
        <v>11508</v>
      </c>
      <c r="Y2515">
        <v>0</v>
      </c>
      <c r="Z2515">
        <v>276.04166666666669</v>
      </c>
    </row>
    <row r="2516" spans="1:26">
      <c r="A2516" s="1">
        <v>2514</v>
      </c>
      <c r="B2516" t="str">
        <f>HYPERLINK("https://bugs.eclipse.org/bugs/show_bug.cgi?id=97529", "97529")</f>
        <v>97529</v>
      </c>
      <c r="C2516" t="s">
        <v>35</v>
      </c>
      <c r="D2516" t="s">
        <v>11</v>
      </c>
      <c r="E2516" t="s">
        <v>12</v>
      </c>
      <c r="F2516" t="s">
        <v>26</v>
      </c>
      <c r="L2516" t="s">
        <v>11509</v>
      </c>
      <c r="M2516" t="s">
        <v>11510</v>
      </c>
      <c r="N2516" t="s">
        <v>11509</v>
      </c>
      <c r="T2516" t="s">
        <v>11511</v>
      </c>
      <c r="U2516" t="s">
        <v>11512</v>
      </c>
      <c r="V2516" t="s">
        <v>11510</v>
      </c>
      <c r="W2516" t="s">
        <v>1161</v>
      </c>
      <c r="X2516" t="s">
        <v>11513</v>
      </c>
      <c r="Y2516">
        <v>1</v>
      </c>
      <c r="Z2516">
        <v>10</v>
      </c>
    </row>
    <row r="2517" spans="1:26">
      <c r="A2517" s="1">
        <v>2515</v>
      </c>
      <c r="B2517" t="str">
        <f>HYPERLINK("https://bugs.eclipse.org/bugs/show_bug.cgi?id=97538", "97538")</f>
        <v>97538</v>
      </c>
      <c r="C2517" t="s">
        <v>191</v>
      </c>
      <c r="D2517" t="s">
        <v>192</v>
      </c>
      <c r="E2517" t="s">
        <v>14</v>
      </c>
      <c r="F2517" t="s">
        <v>26</v>
      </c>
      <c r="P2517" t="s">
        <v>11514</v>
      </c>
      <c r="T2517" t="s">
        <v>11515</v>
      </c>
      <c r="U2517" t="s">
        <v>11516</v>
      </c>
      <c r="V2517" t="s">
        <v>11514</v>
      </c>
      <c r="W2517" t="s">
        <v>65</v>
      </c>
      <c r="X2517" t="s">
        <v>11517</v>
      </c>
      <c r="Y2517">
        <v>0</v>
      </c>
      <c r="Z2517">
        <v>5402</v>
      </c>
    </row>
    <row r="2518" spans="1:26">
      <c r="A2518" s="1">
        <v>2516</v>
      </c>
      <c r="B2518" t="str">
        <f>HYPERLINK("https://bugs.eclipse.org/bugs/show_bug.cgi?id=97556", "97556")</f>
        <v>97556</v>
      </c>
      <c r="C2518" t="s">
        <v>35</v>
      </c>
      <c r="D2518" t="s">
        <v>11</v>
      </c>
      <c r="E2518" t="s">
        <v>12</v>
      </c>
      <c r="F2518" t="s">
        <v>26</v>
      </c>
      <c r="L2518" t="s">
        <v>11518</v>
      </c>
      <c r="M2518" t="s">
        <v>11519</v>
      </c>
      <c r="N2518" t="s">
        <v>11518</v>
      </c>
      <c r="T2518" t="s">
        <v>11520</v>
      </c>
      <c r="U2518" t="s">
        <v>11521</v>
      </c>
      <c r="V2518" t="s">
        <v>11519</v>
      </c>
      <c r="W2518" t="s">
        <v>1161</v>
      </c>
      <c r="X2518" t="s">
        <v>11522</v>
      </c>
      <c r="Y2518">
        <v>0</v>
      </c>
      <c r="Z2518">
        <v>10</v>
      </c>
    </row>
    <row r="2519" spans="1:26">
      <c r="A2519" s="1">
        <v>2517</v>
      </c>
      <c r="B2519" t="str">
        <f>HYPERLINK("https://bugs.eclipse.org/bugs/show_bug.cgi?id=97764", "97764")</f>
        <v>97764</v>
      </c>
      <c r="C2519" t="s">
        <v>149</v>
      </c>
      <c r="D2519" t="s">
        <v>10</v>
      </c>
      <c r="E2519" t="s">
        <v>12</v>
      </c>
      <c r="F2519" t="s">
        <v>26</v>
      </c>
      <c r="L2519" t="s">
        <v>11523</v>
      </c>
      <c r="N2519" t="s">
        <v>11523</v>
      </c>
      <c r="T2519" t="s">
        <v>11524</v>
      </c>
      <c r="U2519" t="s">
        <v>11525</v>
      </c>
      <c r="V2519" t="s">
        <v>11523</v>
      </c>
      <c r="W2519" t="s">
        <v>851</v>
      </c>
      <c r="X2519" t="s">
        <v>11526</v>
      </c>
      <c r="Y2519">
        <v>1</v>
      </c>
      <c r="Z2519">
        <v>176.04166666666671</v>
      </c>
    </row>
    <row r="2520" spans="1:26">
      <c r="A2520" s="1">
        <v>2518</v>
      </c>
      <c r="B2520" t="str">
        <f>HYPERLINK("https://bugs.eclipse.org/bugs/show_bug.cgi?id=97803", "97803")</f>
        <v>97803</v>
      </c>
      <c r="C2520" t="s">
        <v>140</v>
      </c>
      <c r="D2520" t="s">
        <v>10</v>
      </c>
      <c r="E2520" t="s">
        <v>16</v>
      </c>
      <c r="F2520" t="s">
        <v>26</v>
      </c>
      <c r="L2520" t="s">
        <v>11527</v>
      </c>
      <c r="R2520" t="s">
        <v>11527</v>
      </c>
      <c r="T2520" t="s">
        <v>11528</v>
      </c>
      <c r="U2520" t="s">
        <v>11529</v>
      </c>
      <c r="V2520" t="s">
        <v>11527</v>
      </c>
      <c r="W2520" t="s">
        <v>2668</v>
      </c>
      <c r="X2520" t="s">
        <v>11530</v>
      </c>
      <c r="Y2520">
        <v>0</v>
      </c>
      <c r="Z2520">
        <v>0</v>
      </c>
    </row>
    <row r="2521" spans="1:26">
      <c r="A2521" s="1">
        <v>2519</v>
      </c>
      <c r="B2521" t="str">
        <f>HYPERLINK("https://bugs.eclipse.org/bugs/show_bug.cgi?id=97870", "97870")</f>
        <v>97870</v>
      </c>
      <c r="C2521" t="s">
        <v>25</v>
      </c>
      <c r="D2521" t="s">
        <v>25</v>
      </c>
      <c r="F2521" t="s">
        <v>26</v>
      </c>
      <c r="T2521" t="s">
        <v>11531</v>
      </c>
      <c r="U2521" t="s">
        <v>11532</v>
      </c>
      <c r="V2521" t="s">
        <v>11533</v>
      </c>
      <c r="W2521" t="s">
        <v>6576</v>
      </c>
      <c r="X2521" t="s">
        <v>11534</v>
      </c>
      <c r="Y2521">
        <v>0</v>
      </c>
    </row>
    <row r="2522" spans="1:26">
      <c r="A2522" s="1">
        <v>2520</v>
      </c>
      <c r="B2522" t="str">
        <f>HYPERLINK("https://bugs.eclipse.org/bugs/show_bug.cgi?id=97943", "97943")</f>
        <v>97943</v>
      </c>
      <c r="C2522" t="s">
        <v>191</v>
      </c>
      <c r="D2522" t="s">
        <v>192</v>
      </c>
      <c r="E2522" t="s">
        <v>14</v>
      </c>
      <c r="F2522" t="s">
        <v>26</v>
      </c>
      <c r="T2522" t="s">
        <v>11535</v>
      </c>
      <c r="U2522" t="s">
        <v>11536</v>
      </c>
      <c r="V2522" t="s">
        <v>11537</v>
      </c>
      <c r="W2522" t="s">
        <v>65</v>
      </c>
      <c r="X2522" t="s">
        <v>11538</v>
      </c>
      <c r="Y2522">
        <v>6</v>
      </c>
      <c r="Z2522">
        <v>5321.041666666667</v>
      </c>
    </row>
    <row r="2523" spans="1:26">
      <c r="A2523" s="1">
        <v>2521</v>
      </c>
      <c r="B2523" t="str">
        <f>HYPERLINK("https://bugs.eclipse.org/bugs/show_bug.cgi?id=98136", "98136")</f>
        <v>98136</v>
      </c>
      <c r="C2523" t="s">
        <v>140</v>
      </c>
      <c r="D2523" t="s">
        <v>10</v>
      </c>
      <c r="E2523" t="s">
        <v>16</v>
      </c>
      <c r="F2523" t="s">
        <v>26</v>
      </c>
      <c r="L2523" t="s">
        <v>11539</v>
      </c>
      <c r="R2523" t="s">
        <v>11539</v>
      </c>
      <c r="T2523" t="s">
        <v>11540</v>
      </c>
      <c r="U2523" t="s">
        <v>11541</v>
      </c>
      <c r="V2523" t="s">
        <v>11539</v>
      </c>
      <c r="W2523" t="s">
        <v>86</v>
      </c>
      <c r="X2523" t="s">
        <v>11542</v>
      </c>
      <c r="Y2523">
        <v>0</v>
      </c>
      <c r="Z2523">
        <v>1</v>
      </c>
    </row>
    <row r="2524" spans="1:26">
      <c r="A2524" s="1">
        <v>2522</v>
      </c>
      <c r="B2524" t="str">
        <f>HYPERLINK("https://bugs.eclipse.org/bugs/show_bug.cgi?id=98237", "98237")</f>
        <v>98237</v>
      </c>
      <c r="C2524" t="s">
        <v>11543</v>
      </c>
      <c r="D2524" t="s">
        <v>10</v>
      </c>
      <c r="E2524" t="s">
        <v>15</v>
      </c>
      <c r="F2524" t="s">
        <v>26</v>
      </c>
      <c r="L2524" t="s">
        <v>11544</v>
      </c>
      <c r="Q2524" t="s">
        <v>11544</v>
      </c>
      <c r="T2524" t="s">
        <v>11545</v>
      </c>
      <c r="U2524" t="s">
        <v>11544</v>
      </c>
      <c r="V2524" t="s">
        <v>11544</v>
      </c>
      <c r="W2524" t="s">
        <v>86</v>
      </c>
      <c r="X2524" t="s">
        <v>11546</v>
      </c>
      <c r="Y2524">
        <v>0</v>
      </c>
      <c r="Z2524">
        <v>0</v>
      </c>
    </row>
    <row r="2525" spans="1:26">
      <c r="A2525" s="1">
        <v>2523</v>
      </c>
      <c r="B2525" t="str">
        <f>HYPERLINK("https://bugs.eclipse.org/bugs/show_bug.cgi?id=98276", "98276")</f>
        <v>98276</v>
      </c>
      <c r="C2525" t="s">
        <v>35</v>
      </c>
      <c r="D2525" t="s">
        <v>11</v>
      </c>
      <c r="E2525" t="s">
        <v>12</v>
      </c>
      <c r="F2525" t="s">
        <v>26</v>
      </c>
      <c r="L2525" t="s">
        <v>11547</v>
      </c>
      <c r="M2525" t="s">
        <v>11548</v>
      </c>
      <c r="N2525" t="s">
        <v>11547</v>
      </c>
      <c r="T2525" t="s">
        <v>11549</v>
      </c>
      <c r="U2525" t="s">
        <v>11550</v>
      </c>
      <c r="V2525" t="s">
        <v>11548</v>
      </c>
      <c r="W2525" t="s">
        <v>2668</v>
      </c>
      <c r="X2525" t="s">
        <v>11551</v>
      </c>
      <c r="Y2525">
        <v>0</v>
      </c>
      <c r="Z2525">
        <v>7</v>
      </c>
    </row>
    <row r="2526" spans="1:26">
      <c r="A2526" s="1">
        <v>2524</v>
      </c>
      <c r="B2526" t="str">
        <f>HYPERLINK("https://bugs.eclipse.org/bugs/show_bug.cgi?id=98341", "98341")</f>
        <v>98341</v>
      </c>
      <c r="C2526" t="s">
        <v>149</v>
      </c>
      <c r="D2526" t="s">
        <v>10</v>
      </c>
      <c r="E2526" t="s">
        <v>12</v>
      </c>
      <c r="F2526" t="s">
        <v>26</v>
      </c>
      <c r="L2526" t="s">
        <v>11552</v>
      </c>
      <c r="N2526" t="s">
        <v>11552</v>
      </c>
      <c r="T2526" t="s">
        <v>11553</v>
      </c>
      <c r="U2526" t="s">
        <v>11554</v>
      </c>
      <c r="V2526" t="s">
        <v>11552</v>
      </c>
      <c r="W2526" t="s">
        <v>2668</v>
      </c>
      <c r="X2526" t="s">
        <v>11555</v>
      </c>
      <c r="Y2526">
        <v>3</v>
      </c>
      <c r="Z2526">
        <v>87</v>
      </c>
    </row>
    <row r="2527" spans="1:26">
      <c r="A2527" s="1">
        <v>2525</v>
      </c>
      <c r="B2527" t="str">
        <f>HYPERLINK("https://bugs.eclipse.org/bugs/show_bug.cgi?id=98394", "98394")</f>
        <v>98394</v>
      </c>
      <c r="C2527" t="s">
        <v>35</v>
      </c>
      <c r="D2527" t="s">
        <v>11</v>
      </c>
      <c r="E2527" t="s">
        <v>12</v>
      </c>
      <c r="F2527" t="s">
        <v>26</v>
      </c>
      <c r="L2527" t="s">
        <v>11556</v>
      </c>
      <c r="M2527" t="s">
        <v>11557</v>
      </c>
      <c r="N2527" t="s">
        <v>11556</v>
      </c>
      <c r="T2527" t="s">
        <v>11558</v>
      </c>
      <c r="U2527" t="s">
        <v>11559</v>
      </c>
      <c r="V2527" t="s">
        <v>11557</v>
      </c>
      <c r="W2527" t="s">
        <v>2668</v>
      </c>
      <c r="X2527" t="s">
        <v>11560</v>
      </c>
      <c r="Y2527">
        <v>0</v>
      </c>
      <c r="Z2527">
        <v>7</v>
      </c>
    </row>
    <row r="2528" spans="1:26">
      <c r="A2528" s="1">
        <v>2526</v>
      </c>
      <c r="B2528" t="str">
        <f>HYPERLINK("https://bugs.eclipse.org/bugs/show_bug.cgi?id=98474", "98474")</f>
        <v>98474</v>
      </c>
      <c r="C2528" t="s">
        <v>35</v>
      </c>
      <c r="D2528" t="s">
        <v>11</v>
      </c>
      <c r="E2528" t="s">
        <v>12</v>
      </c>
      <c r="F2528" t="s">
        <v>26</v>
      </c>
      <c r="L2528" t="s">
        <v>11561</v>
      </c>
      <c r="M2528" t="s">
        <v>11562</v>
      </c>
      <c r="N2528" t="s">
        <v>11561</v>
      </c>
      <c r="T2528" t="s">
        <v>11563</v>
      </c>
      <c r="U2528" t="s">
        <v>11564</v>
      </c>
      <c r="V2528" t="s">
        <v>11562</v>
      </c>
      <c r="W2528" t="s">
        <v>1161</v>
      </c>
      <c r="X2528" t="s">
        <v>11565</v>
      </c>
      <c r="Y2528">
        <v>1</v>
      </c>
      <c r="Z2528">
        <v>4</v>
      </c>
    </row>
    <row r="2529" spans="1:26">
      <c r="A2529" s="1">
        <v>2527</v>
      </c>
      <c r="B2529" t="str">
        <f>HYPERLINK("https://bugs.eclipse.org/bugs/show_bug.cgi?id=98475", "98475")</f>
        <v>98475</v>
      </c>
      <c r="C2529" t="s">
        <v>149</v>
      </c>
      <c r="D2529" t="s">
        <v>10</v>
      </c>
      <c r="E2529" t="s">
        <v>12</v>
      </c>
      <c r="F2529" t="s">
        <v>26</v>
      </c>
      <c r="L2529" t="s">
        <v>11566</v>
      </c>
      <c r="N2529" t="s">
        <v>11566</v>
      </c>
      <c r="T2529" t="s">
        <v>11567</v>
      </c>
      <c r="U2529" t="s">
        <v>11568</v>
      </c>
      <c r="V2529" t="s">
        <v>11566</v>
      </c>
      <c r="W2529" t="s">
        <v>49</v>
      </c>
      <c r="X2529" t="s">
        <v>11569</v>
      </c>
      <c r="Y2529">
        <v>0</v>
      </c>
      <c r="Z2529">
        <v>620.04166666666663</v>
      </c>
    </row>
    <row r="2530" spans="1:26">
      <c r="A2530" s="1">
        <v>2528</v>
      </c>
      <c r="B2530" t="str">
        <f>HYPERLINK("https://bugs.eclipse.org/bugs/show_bug.cgi?id=98485", "98485")</f>
        <v>98485</v>
      </c>
      <c r="C2530" t="s">
        <v>35</v>
      </c>
      <c r="D2530" t="s">
        <v>11</v>
      </c>
      <c r="E2530" t="s">
        <v>12</v>
      </c>
      <c r="F2530" t="s">
        <v>26</v>
      </c>
      <c r="L2530" t="s">
        <v>11570</v>
      </c>
      <c r="M2530" t="s">
        <v>11571</v>
      </c>
      <c r="N2530" t="s">
        <v>11570</v>
      </c>
      <c r="T2530" t="s">
        <v>11572</v>
      </c>
      <c r="U2530" t="s">
        <v>11573</v>
      </c>
      <c r="V2530" t="s">
        <v>11571</v>
      </c>
      <c r="W2530" t="s">
        <v>2668</v>
      </c>
      <c r="X2530" t="s">
        <v>11574</v>
      </c>
      <c r="Y2530">
        <v>1</v>
      </c>
      <c r="Z2530">
        <v>3</v>
      </c>
    </row>
    <row r="2531" spans="1:26">
      <c r="A2531" s="1">
        <v>2529</v>
      </c>
      <c r="B2531" t="str">
        <f>HYPERLINK("https://bugs.eclipse.org/bugs/show_bug.cgi?id=98543", "98543")</f>
        <v>98543</v>
      </c>
      <c r="C2531" t="s">
        <v>140</v>
      </c>
      <c r="D2531" t="s">
        <v>10</v>
      </c>
      <c r="E2531" t="s">
        <v>16</v>
      </c>
      <c r="F2531" t="s">
        <v>26</v>
      </c>
      <c r="L2531" t="s">
        <v>11575</v>
      </c>
      <c r="P2531" t="s">
        <v>11576</v>
      </c>
      <c r="R2531" t="s">
        <v>11575</v>
      </c>
      <c r="S2531" t="s">
        <v>11577</v>
      </c>
      <c r="T2531" t="s">
        <v>11578</v>
      </c>
      <c r="U2531" t="s">
        <v>11579</v>
      </c>
      <c r="V2531" t="s">
        <v>11575</v>
      </c>
      <c r="W2531" t="s">
        <v>1161</v>
      </c>
      <c r="X2531" t="s">
        <v>11580</v>
      </c>
      <c r="Y2531">
        <v>0</v>
      </c>
      <c r="Z2531">
        <v>83</v>
      </c>
    </row>
    <row r="2532" spans="1:26">
      <c r="A2532" s="1">
        <v>2530</v>
      </c>
      <c r="B2532" t="str">
        <f>HYPERLINK("https://bugs.eclipse.org/bugs/show_bug.cgi?id=98587", "98587")</f>
        <v>98587</v>
      </c>
      <c r="C2532" t="s">
        <v>149</v>
      </c>
      <c r="D2532" t="s">
        <v>10</v>
      </c>
      <c r="E2532" t="s">
        <v>12</v>
      </c>
      <c r="F2532" t="s">
        <v>26</v>
      </c>
      <c r="L2532" t="s">
        <v>11581</v>
      </c>
      <c r="N2532" t="s">
        <v>11581</v>
      </c>
      <c r="T2532" t="s">
        <v>11582</v>
      </c>
      <c r="U2532" t="s">
        <v>11583</v>
      </c>
      <c r="V2532" t="s">
        <v>11581</v>
      </c>
      <c r="W2532" t="s">
        <v>49</v>
      </c>
      <c r="X2532" t="s">
        <v>11584</v>
      </c>
      <c r="Y2532">
        <v>298.04166666666669</v>
      </c>
      <c r="Z2532">
        <v>301</v>
      </c>
    </row>
    <row r="2533" spans="1:26">
      <c r="A2533" s="1">
        <v>2531</v>
      </c>
      <c r="B2533" t="str">
        <f>HYPERLINK("https://bugs.eclipse.org/bugs/show_bug.cgi?id=98769", "98769")</f>
        <v>98769</v>
      </c>
      <c r="C2533" t="s">
        <v>11355</v>
      </c>
      <c r="D2533" t="s">
        <v>10</v>
      </c>
      <c r="E2533" t="s">
        <v>15</v>
      </c>
      <c r="F2533" t="s">
        <v>26</v>
      </c>
      <c r="L2533" t="s">
        <v>11585</v>
      </c>
      <c r="Q2533" t="s">
        <v>11585</v>
      </c>
      <c r="S2533" t="s">
        <v>11586</v>
      </c>
      <c r="T2533" t="s">
        <v>11587</v>
      </c>
      <c r="U2533" t="s">
        <v>11588</v>
      </c>
      <c r="V2533" t="s">
        <v>11585</v>
      </c>
      <c r="W2533" t="s">
        <v>49</v>
      </c>
      <c r="X2533" t="s">
        <v>11589</v>
      </c>
      <c r="Y2533">
        <v>0</v>
      </c>
      <c r="Z2533">
        <v>294.04166666666669</v>
      </c>
    </row>
    <row r="2534" spans="1:26">
      <c r="A2534" s="1">
        <v>2532</v>
      </c>
      <c r="B2534" t="str">
        <f>HYPERLINK("https://bugs.eclipse.org/bugs/show_bug.cgi?id=98856", "98856")</f>
        <v>98856</v>
      </c>
      <c r="C2534" t="s">
        <v>149</v>
      </c>
      <c r="D2534" t="s">
        <v>10</v>
      </c>
      <c r="E2534" t="s">
        <v>12</v>
      </c>
      <c r="F2534" t="s">
        <v>26</v>
      </c>
      <c r="L2534" t="s">
        <v>11590</v>
      </c>
      <c r="N2534" t="s">
        <v>11590</v>
      </c>
      <c r="T2534" t="s">
        <v>11591</v>
      </c>
      <c r="U2534" t="s">
        <v>11592</v>
      </c>
      <c r="V2534" t="s">
        <v>11590</v>
      </c>
      <c r="W2534" t="s">
        <v>86</v>
      </c>
      <c r="X2534" t="s">
        <v>11593</v>
      </c>
      <c r="Y2534">
        <v>0</v>
      </c>
      <c r="Z2534">
        <v>304</v>
      </c>
    </row>
    <row r="2535" spans="1:26">
      <c r="A2535" s="1">
        <v>2533</v>
      </c>
      <c r="B2535" t="str">
        <f>HYPERLINK("https://bugs.eclipse.org/bugs/show_bug.cgi?id=99108", "99108")</f>
        <v>99108</v>
      </c>
      <c r="C2535" t="s">
        <v>35</v>
      </c>
      <c r="D2535" t="s">
        <v>11</v>
      </c>
      <c r="E2535" t="s">
        <v>12</v>
      </c>
      <c r="F2535" t="s">
        <v>26</v>
      </c>
      <c r="L2535" t="s">
        <v>11594</v>
      </c>
      <c r="M2535" t="s">
        <v>11595</v>
      </c>
      <c r="N2535" t="s">
        <v>11594</v>
      </c>
      <c r="T2535" t="s">
        <v>11596</v>
      </c>
      <c r="U2535" t="s">
        <v>11597</v>
      </c>
      <c r="V2535" t="s">
        <v>11595</v>
      </c>
      <c r="W2535" t="s">
        <v>2668</v>
      </c>
      <c r="X2535" t="s">
        <v>11598</v>
      </c>
      <c r="Y2535">
        <v>0</v>
      </c>
      <c r="Z2535">
        <v>1</v>
      </c>
    </row>
    <row r="2536" spans="1:26">
      <c r="A2536" s="1">
        <v>2534</v>
      </c>
      <c r="B2536" t="str">
        <f>HYPERLINK("https://bugs.eclipse.org/bugs/show_bug.cgi?id=99110", "99110")</f>
        <v>99110</v>
      </c>
      <c r="C2536" t="s">
        <v>35</v>
      </c>
      <c r="D2536" t="s">
        <v>11</v>
      </c>
      <c r="E2536" t="s">
        <v>12</v>
      </c>
      <c r="F2536" t="s">
        <v>26</v>
      </c>
      <c r="L2536" t="s">
        <v>11599</v>
      </c>
      <c r="M2536" t="s">
        <v>11600</v>
      </c>
      <c r="N2536" t="s">
        <v>11599</v>
      </c>
      <c r="T2536" t="s">
        <v>11601</v>
      </c>
      <c r="U2536" t="s">
        <v>11602</v>
      </c>
      <c r="V2536" t="s">
        <v>11600</v>
      </c>
      <c r="W2536" t="s">
        <v>851</v>
      </c>
      <c r="X2536" t="s">
        <v>11603</v>
      </c>
      <c r="Y2536">
        <v>0</v>
      </c>
      <c r="Z2536">
        <v>1</v>
      </c>
    </row>
    <row r="2537" spans="1:26">
      <c r="A2537" s="1">
        <v>2535</v>
      </c>
      <c r="B2537" t="str">
        <f>HYPERLINK("https://bugs.eclipse.org/bugs/show_bug.cgi?id=99121", "99121")</f>
        <v>99121</v>
      </c>
      <c r="C2537" t="s">
        <v>191</v>
      </c>
      <c r="D2537" t="s">
        <v>192</v>
      </c>
      <c r="E2537" t="s">
        <v>14</v>
      </c>
      <c r="F2537" t="s">
        <v>26</v>
      </c>
      <c r="T2537" t="s">
        <v>11604</v>
      </c>
      <c r="U2537" t="s">
        <v>11605</v>
      </c>
      <c r="V2537" t="s">
        <v>11606</v>
      </c>
      <c r="W2537" t="s">
        <v>65</v>
      </c>
      <c r="X2537" t="s">
        <v>11607</v>
      </c>
      <c r="Y2537">
        <v>0</v>
      </c>
      <c r="Z2537">
        <v>5206</v>
      </c>
    </row>
    <row r="2538" spans="1:26">
      <c r="A2538" s="1">
        <v>2536</v>
      </c>
      <c r="B2538" t="str">
        <f>HYPERLINK("https://bugs.eclipse.org/bugs/show_bug.cgi?id=99211", "99211")</f>
        <v>99211</v>
      </c>
      <c r="C2538" t="s">
        <v>4692</v>
      </c>
      <c r="D2538" t="s">
        <v>4692</v>
      </c>
      <c r="F2538" t="s">
        <v>26</v>
      </c>
      <c r="T2538" t="s">
        <v>11608</v>
      </c>
      <c r="U2538" t="s">
        <v>11609</v>
      </c>
      <c r="V2538" t="s">
        <v>11610</v>
      </c>
      <c r="W2538" t="s">
        <v>65</v>
      </c>
      <c r="X2538" t="s">
        <v>11611</v>
      </c>
      <c r="Y2538">
        <v>354</v>
      </c>
    </row>
    <row r="2539" spans="1:26">
      <c r="A2539" s="1">
        <v>2537</v>
      </c>
      <c r="B2539" t="str">
        <f>HYPERLINK("https://bugs.eclipse.org/bugs/show_bug.cgi?id=99315", "99315")</f>
        <v>99315</v>
      </c>
      <c r="C2539" t="s">
        <v>11612</v>
      </c>
      <c r="D2539" t="s">
        <v>10</v>
      </c>
      <c r="E2539" t="s">
        <v>15</v>
      </c>
      <c r="F2539" t="s">
        <v>26</v>
      </c>
      <c r="L2539" t="s">
        <v>11613</v>
      </c>
      <c r="Q2539" t="s">
        <v>11613</v>
      </c>
      <c r="T2539" t="s">
        <v>11614</v>
      </c>
      <c r="U2539" t="s">
        <v>11615</v>
      </c>
      <c r="V2539" t="s">
        <v>11613</v>
      </c>
      <c r="W2539" t="s">
        <v>2668</v>
      </c>
      <c r="X2539" t="s">
        <v>11616</v>
      </c>
      <c r="Y2539">
        <v>0</v>
      </c>
      <c r="Z2539">
        <v>0</v>
      </c>
    </row>
    <row r="2540" spans="1:26">
      <c r="A2540" s="1">
        <v>2538</v>
      </c>
      <c r="B2540" t="str">
        <f>HYPERLINK("https://bugs.eclipse.org/bugs/show_bug.cgi?id=99323", "99323")</f>
        <v>99323</v>
      </c>
      <c r="C2540" t="s">
        <v>11617</v>
      </c>
      <c r="D2540" t="s">
        <v>10</v>
      </c>
      <c r="E2540" t="s">
        <v>15</v>
      </c>
      <c r="F2540" t="s">
        <v>26</v>
      </c>
      <c r="L2540" t="s">
        <v>11618</v>
      </c>
      <c r="Q2540" t="s">
        <v>11618</v>
      </c>
      <c r="S2540" t="s">
        <v>11619</v>
      </c>
      <c r="T2540" t="s">
        <v>11620</v>
      </c>
      <c r="U2540" t="s">
        <v>11621</v>
      </c>
      <c r="V2540" t="s">
        <v>11618</v>
      </c>
      <c r="W2540" t="s">
        <v>86</v>
      </c>
      <c r="X2540" t="s">
        <v>11622</v>
      </c>
      <c r="Y2540">
        <v>0</v>
      </c>
      <c r="Z2540">
        <v>0</v>
      </c>
    </row>
    <row r="2541" spans="1:26">
      <c r="A2541" s="1">
        <v>2539</v>
      </c>
      <c r="B2541" t="str">
        <f>HYPERLINK("https://bugs.eclipse.org/bugs/show_bug.cgi?id=99328", "99328")</f>
        <v>99328</v>
      </c>
      <c r="C2541" t="s">
        <v>25</v>
      </c>
      <c r="D2541" t="s">
        <v>25</v>
      </c>
      <c r="F2541" t="s">
        <v>26</v>
      </c>
      <c r="T2541" t="s">
        <v>11623</v>
      </c>
      <c r="U2541" t="s">
        <v>11624</v>
      </c>
      <c r="V2541" t="s">
        <v>11625</v>
      </c>
      <c r="W2541" t="s">
        <v>851</v>
      </c>
      <c r="X2541" t="s">
        <v>11626</v>
      </c>
      <c r="Y2541">
        <v>0</v>
      </c>
    </row>
    <row r="2542" spans="1:26">
      <c r="A2542" s="1">
        <v>2540</v>
      </c>
      <c r="B2542" t="str">
        <f>HYPERLINK("https://bugs.eclipse.org/bugs/show_bug.cgi?id=99339", "99339")</f>
        <v>99339</v>
      </c>
      <c r="C2542" t="s">
        <v>35</v>
      </c>
      <c r="D2542" t="s">
        <v>11</v>
      </c>
      <c r="E2542" t="s">
        <v>12</v>
      </c>
      <c r="F2542" t="s">
        <v>26</v>
      </c>
      <c r="G2542" t="s">
        <v>11627</v>
      </c>
      <c r="L2542" t="s">
        <v>11628</v>
      </c>
      <c r="M2542" t="s">
        <v>11629</v>
      </c>
      <c r="N2542" t="s">
        <v>11628</v>
      </c>
      <c r="T2542" t="s">
        <v>11630</v>
      </c>
      <c r="U2542" t="s">
        <v>11631</v>
      </c>
      <c r="V2542" t="s">
        <v>11629</v>
      </c>
      <c r="W2542" t="s">
        <v>86</v>
      </c>
      <c r="X2542" t="s">
        <v>11632</v>
      </c>
      <c r="Y2542">
        <v>0</v>
      </c>
      <c r="Z2542">
        <v>0</v>
      </c>
    </row>
    <row r="2543" spans="1:26">
      <c r="A2543" s="1">
        <v>2541</v>
      </c>
      <c r="B2543" t="str">
        <f>HYPERLINK("https://bugs.eclipse.org/bugs/show_bug.cgi?id=99346", "99346")</f>
        <v>99346</v>
      </c>
      <c r="C2543" t="s">
        <v>149</v>
      </c>
      <c r="D2543" t="s">
        <v>10</v>
      </c>
      <c r="E2543" t="s">
        <v>12</v>
      </c>
      <c r="F2543" t="s">
        <v>26</v>
      </c>
      <c r="L2543" t="s">
        <v>11633</v>
      </c>
      <c r="N2543" t="s">
        <v>11633</v>
      </c>
      <c r="T2543" t="s">
        <v>11634</v>
      </c>
      <c r="U2543" t="s">
        <v>11635</v>
      </c>
      <c r="V2543" t="s">
        <v>11633</v>
      </c>
      <c r="W2543" t="s">
        <v>2668</v>
      </c>
      <c r="X2543" t="s">
        <v>11636</v>
      </c>
      <c r="Y2543">
        <v>3</v>
      </c>
      <c r="Z2543">
        <v>285.04166666666669</v>
      </c>
    </row>
    <row r="2544" spans="1:26">
      <c r="A2544" s="1">
        <v>2542</v>
      </c>
      <c r="B2544" t="str">
        <f>HYPERLINK("https://bugs.eclipse.org/bugs/show_bug.cgi?id=99382", "99382")</f>
        <v>99382</v>
      </c>
      <c r="C2544" t="s">
        <v>11617</v>
      </c>
      <c r="D2544" t="s">
        <v>10</v>
      </c>
      <c r="E2544" t="s">
        <v>15</v>
      </c>
      <c r="F2544" t="s">
        <v>26</v>
      </c>
      <c r="L2544" t="s">
        <v>11637</v>
      </c>
      <c r="Q2544" t="s">
        <v>11637</v>
      </c>
      <c r="T2544" t="s">
        <v>11638</v>
      </c>
      <c r="U2544" t="s">
        <v>11637</v>
      </c>
      <c r="V2544" t="s">
        <v>11637</v>
      </c>
      <c r="W2544" t="s">
        <v>86</v>
      </c>
      <c r="X2544" t="s">
        <v>11639</v>
      </c>
      <c r="Y2544">
        <v>0</v>
      </c>
      <c r="Z2544">
        <v>0</v>
      </c>
    </row>
    <row r="2545" spans="1:26">
      <c r="A2545" s="1">
        <v>2543</v>
      </c>
      <c r="B2545" t="str">
        <f>HYPERLINK("https://bugs.eclipse.org/bugs/show_bug.cgi?id=99392", "99392")</f>
        <v>99392</v>
      </c>
      <c r="C2545" t="s">
        <v>35</v>
      </c>
      <c r="D2545" t="s">
        <v>11</v>
      </c>
      <c r="E2545" t="s">
        <v>12</v>
      </c>
      <c r="F2545" t="s">
        <v>26</v>
      </c>
      <c r="G2545" t="s">
        <v>11640</v>
      </c>
      <c r="L2545" t="s">
        <v>11641</v>
      </c>
      <c r="M2545" t="s">
        <v>11642</v>
      </c>
      <c r="N2545" t="s">
        <v>11641</v>
      </c>
      <c r="T2545" t="s">
        <v>11643</v>
      </c>
      <c r="U2545" t="s">
        <v>11644</v>
      </c>
      <c r="V2545" t="s">
        <v>11226</v>
      </c>
      <c r="W2545" t="s">
        <v>2668</v>
      </c>
      <c r="X2545" t="s">
        <v>11645</v>
      </c>
      <c r="Y2545">
        <v>3</v>
      </c>
      <c r="Z2545">
        <v>11</v>
      </c>
    </row>
    <row r="2546" spans="1:26">
      <c r="A2546" s="1">
        <v>2544</v>
      </c>
      <c r="B2546" t="str">
        <f>HYPERLINK("https://bugs.eclipse.org/bugs/show_bug.cgi?id=99511", "99511")</f>
        <v>99511</v>
      </c>
      <c r="C2546" t="s">
        <v>25</v>
      </c>
      <c r="D2546" t="s">
        <v>25</v>
      </c>
      <c r="F2546" t="s">
        <v>460</v>
      </c>
      <c r="G2546" t="s">
        <v>11646</v>
      </c>
      <c r="L2546" t="s">
        <v>11647</v>
      </c>
      <c r="S2546" t="s">
        <v>11648</v>
      </c>
      <c r="T2546" t="s">
        <v>11649</v>
      </c>
      <c r="U2546" t="s">
        <v>11650</v>
      </c>
      <c r="V2546" t="s">
        <v>11651</v>
      </c>
      <c r="W2546" t="s">
        <v>851</v>
      </c>
      <c r="X2546" t="s">
        <v>11652</v>
      </c>
      <c r="Y2546">
        <v>0</v>
      </c>
    </row>
    <row r="2547" spans="1:26">
      <c r="A2547" s="1">
        <v>2545</v>
      </c>
      <c r="B2547" t="str">
        <f>HYPERLINK("https://bugs.eclipse.org/bugs/show_bug.cgi?id=99574", "99574")</f>
        <v>99574</v>
      </c>
      <c r="C2547" t="s">
        <v>191</v>
      </c>
      <c r="D2547" t="s">
        <v>192</v>
      </c>
      <c r="E2547" t="s">
        <v>14</v>
      </c>
      <c r="F2547" t="s">
        <v>26</v>
      </c>
      <c r="P2547" t="s">
        <v>11653</v>
      </c>
      <c r="T2547" t="s">
        <v>11654</v>
      </c>
      <c r="U2547" t="s">
        <v>11655</v>
      </c>
      <c r="V2547" t="s">
        <v>11653</v>
      </c>
      <c r="W2547" t="s">
        <v>65</v>
      </c>
      <c r="X2547" t="s">
        <v>11656</v>
      </c>
      <c r="Y2547">
        <v>0</v>
      </c>
      <c r="Z2547">
        <v>5403</v>
      </c>
    </row>
    <row r="2548" spans="1:26">
      <c r="A2548" s="1">
        <v>2546</v>
      </c>
      <c r="B2548" t="str">
        <f>HYPERLINK("https://bugs.eclipse.org/bugs/show_bug.cgi?id=99595", "99595")</f>
        <v>99595</v>
      </c>
      <c r="C2548" t="s">
        <v>11657</v>
      </c>
      <c r="D2548" t="s">
        <v>10</v>
      </c>
      <c r="E2548" t="s">
        <v>15</v>
      </c>
      <c r="F2548" t="s">
        <v>26</v>
      </c>
      <c r="L2548" t="s">
        <v>11658</v>
      </c>
      <c r="Q2548" t="s">
        <v>11658</v>
      </c>
      <c r="T2548" t="s">
        <v>11659</v>
      </c>
      <c r="U2548" t="s">
        <v>11658</v>
      </c>
      <c r="V2548" t="s">
        <v>11658</v>
      </c>
      <c r="W2548" t="s">
        <v>86</v>
      </c>
      <c r="X2548" t="s">
        <v>11660</v>
      </c>
      <c r="Y2548">
        <v>0</v>
      </c>
      <c r="Z2548">
        <v>0</v>
      </c>
    </row>
    <row r="2549" spans="1:26">
      <c r="A2549" s="1">
        <v>2547</v>
      </c>
      <c r="B2549" t="str">
        <f>HYPERLINK("https://bugs.eclipse.org/bugs/show_bug.cgi?id=99596", "99596")</f>
        <v>99596</v>
      </c>
      <c r="C2549" t="s">
        <v>191</v>
      </c>
      <c r="D2549" t="s">
        <v>192</v>
      </c>
      <c r="E2549" t="s">
        <v>14</v>
      </c>
      <c r="F2549" t="s">
        <v>26</v>
      </c>
      <c r="G2549" t="s">
        <v>11661</v>
      </c>
      <c r="P2549" t="s">
        <v>11662</v>
      </c>
      <c r="T2549" t="s">
        <v>11663</v>
      </c>
      <c r="U2549" t="s">
        <v>11664</v>
      </c>
      <c r="V2549" t="s">
        <v>11662</v>
      </c>
      <c r="W2549" t="s">
        <v>65</v>
      </c>
      <c r="X2549" t="s">
        <v>11665</v>
      </c>
      <c r="Y2549">
        <v>0</v>
      </c>
      <c r="Z2549">
        <v>5366.041666666667</v>
      </c>
    </row>
    <row r="2550" spans="1:26">
      <c r="A2550" s="1">
        <v>2548</v>
      </c>
      <c r="B2550" t="str">
        <f>HYPERLINK("https://bugs.eclipse.org/bugs/show_bug.cgi?id=99601", "99601")</f>
        <v>99601</v>
      </c>
      <c r="C2550" t="s">
        <v>191</v>
      </c>
      <c r="D2550" t="s">
        <v>192</v>
      </c>
      <c r="E2550" t="s">
        <v>14</v>
      </c>
      <c r="F2550" t="s">
        <v>26</v>
      </c>
      <c r="T2550" t="s">
        <v>11666</v>
      </c>
      <c r="U2550" t="s">
        <v>11667</v>
      </c>
      <c r="V2550" t="s">
        <v>11668</v>
      </c>
      <c r="W2550" t="s">
        <v>65</v>
      </c>
      <c r="X2550" t="s">
        <v>11669</v>
      </c>
      <c r="Y2550">
        <v>0</v>
      </c>
      <c r="Z2550">
        <v>4909.041666666667</v>
      </c>
    </row>
    <row r="2551" spans="1:26">
      <c r="A2551" s="1">
        <v>2549</v>
      </c>
      <c r="B2551" t="str">
        <f>HYPERLINK("https://bugs.eclipse.org/bugs/show_bug.cgi?id=99605", "99605")</f>
        <v>99605</v>
      </c>
      <c r="C2551" t="s">
        <v>35</v>
      </c>
      <c r="D2551" t="s">
        <v>11</v>
      </c>
      <c r="E2551" t="s">
        <v>12</v>
      </c>
      <c r="F2551" t="s">
        <v>26</v>
      </c>
      <c r="L2551" t="s">
        <v>11670</v>
      </c>
      <c r="M2551" t="s">
        <v>11671</v>
      </c>
      <c r="N2551" t="s">
        <v>11670</v>
      </c>
      <c r="T2551" t="s">
        <v>11672</v>
      </c>
      <c r="U2551" t="s">
        <v>11673</v>
      </c>
      <c r="V2551" t="s">
        <v>11671</v>
      </c>
      <c r="W2551" t="s">
        <v>86</v>
      </c>
      <c r="X2551" t="s">
        <v>11674</v>
      </c>
      <c r="Y2551">
        <v>0</v>
      </c>
      <c r="Z2551">
        <v>4</v>
      </c>
    </row>
    <row r="2552" spans="1:26">
      <c r="A2552" s="1">
        <v>2550</v>
      </c>
      <c r="B2552" t="str">
        <f>HYPERLINK("https://bugs.eclipse.org/bugs/show_bug.cgi?id=99622", "99622")</f>
        <v>99622</v>
      </c>
      <c r="C2552" t="s">
        <v>191</v>
      </c>
      <c r="D2552" t="s">
        <v>192</v>
      </c>
      <c r="E2552" t="s">
        <v>14</v>
      </c>
      <c r="F2552" t="s">
        <v>26</v>
      </c>
      <c r="G2552" t="s">
        <v>11675</v>
      </c>
      <c r="P2552" t="s">
        <v>11676</v>
      </c>
      <c r="T2552" t="s">
        <v>11677</v>
      </c>
      <c r="U2552" t="s">
        <v>11678</v>
      </c>
      <c r="V2552" t="s">
        <v>11676</v>
      </c>
      <c r="W2552" t="s">
        <v>65</v>
      </c>
      <c r="X2552" t="s">
        <v>11679</v>
      </c>
      <c r="Y2552">
        <v>0</v>
      </c>
      <c r="Z2552">
        <v>5452</v>
      </c>
    </row>
    <row r="2553" spans="1:26">
      <c r="A2553" s="1">
        <v>2551</v>
      </c>
      <c r="B2553" t="str">
        <f>HYPERLINK("https://bugs.eclipse.org/bugs/show_bug.cgi?id=99625", "99625")</f>
        <v>99625</v>
      </c>
      <c r="C2553" t="s">
        <v>56</v>
      </c>
      <c r="D2553" t="s">
        <v>10</v>
      </c>
      <c r="E2553" t="s">
        <v>14</v>
      </c>
      <c r="F2553" t="s">
        <v>51</v>
      </c>
      <c r="L2553" t="s">
        <v>11680</v>
      </c>
      <c r="P2553" t="s">
        <v>11681</v>
      </c>
      <c r="T2553" t="s">
        <v>11682</v>
      </c>
      <c r="U2553" t="s">
        <v>11680</v>
      </c>
      <c r="V2553" t="s">
        <v>11681</v>
      </c>
      <c r="W2553" t="s">
        <v>75</v>
      </c>
      <c r="X2553" t="s">
        <v>11683</v>
      </c>
      <c r="Y2553">
        <v>0</v>
      </c>
      <c r="Z2553">
        <v>1539</v>
      </c>
    </row>
    <row r="2554" spans="1:26">
      <c r="A2554" s="1">
        <v>2552</v>
      </c>
      <c r="B2554" t="str">
        <f>HYPERLINK("https://bugs.eclipse.org/bugs/show_bug.cgi?id=99671", "99671")</f>
        <v>99671</v>
      </c>
      <c r="C2554" t="s">
        <v>11684</v>
      </c>
      <c r="D2554" t="s">
        <v>10</v>
      </c>
      <c r="E2554" t="s">
        <v>15</v>
      </c>
      <c r="F2554" t="s">
        <v>26</v>
      </c>
      <c r="L2554" t="s">
        <v>11685</v>
      </c>
      <c r="Q2554" t="s">
        <v>11685</v>
      </c>
      <c r="T2554" t="s">
        <v>11686</v>
      </c>
      <c r="U2554" t="s">
        <v>11685</v>
      </c>
      <c r="V2554" t="s">
        <v>11685</v>
      </c>
      <c r="W2554" t="s">
        <v>86</v>
      </c>
      <c r="X2554" t="s">
        <v>11687</v>
      </c>
      <c r="Y2554">
        <v>0</v>
      </c>
      <c r="Z2554">
        <v>0</v>
      </c>
    </row>
    <row r="2555" spans="1:26">
      <c r="A2555" s="1">
        <v>2553</v>
      </c>
      <c r="B2555" t="str">
        <f>HYPERLINK("https://bugs.eclipse.org/bugs/show_bug.cgi?id=99673", "99673")</f>
        <v>99673</v>
      </c>
      <c r="C2555" t="s">
        <v>35</v>
      </c>
      <c r="D2555" t="s">
        <v>11</v>
      </c>
      <c r="E2555" t="s">
        <v>12</v>
      </c>
      <c r="F2555" t="s">
        <v>26</v>
      </c>
      <c r="G2555" t="s">
        <v>11688</v>
      </c>
      <c r="L2555" t="s">
        <v>11689</v>
      </c>
      <c r="M2555" t="s">
        <v>11690</v>
      </c>
      <c r="N2555" t="s">
        <v>11689</v>
      </c>
      <c r="T2555" t="s">
        <v>11691</v>
      </c>
      <c r="U2555" t="s">
        <v>11692</v>
      </c>
      <c r="V2555" t="s">
        <v>11690</v>
      </c>
      <c r="W2555" t="s">
        <v>11693</v>
      </c>
      <c r="X2555" t="s">
        <v>11694</v>
      </c>
      <c r="Y2555">
        <v>0</v>
      </c>
      <c r="Z2555">
        <v>5412</v>
      </c>
    </row>
    <row r="2556" spans="1:26">
      <c r="A2556" s="1">
        <v>2554</v>
      </c>
      <c r="B2556" t="str">
        <f>HYPERLINK("https://bugs.eclipse.org/bugs/show_bug.cgi?id=99680", "99680")</f>
        <v>99680</v>
      </c>
      <c r="C2556" t="s">
        <v>35</v>
      </c>
      <c r="D2556" t="s">
        <v>11</v>
      </c>
      <c r="E2556" t="s">
        <v>12</v>
      </c>
      <c r="F2556" t="s">
        <v>26</v>
      </c>
      <c r="L2556" t="s">
        <v>11695</v>
      </c>
      <c r="M2556" t="s">
        <v>11696</v>
      </c>
      <c r="N2556" t="s">
        <v>11695</v>
      </c>
      <c r="T2556" t="s">
        <v>11697</v>
      </c>
      <c r="U2556" t="s">
        <v>11698</v>
      </c>
      <c r="V2556" t="s">
        <v>11696</v>
      </c>
      <c r="W2556" t="s">
        <v>2668</v>
      </c>
      <c r="X2556" t="s">
        <v>11699</v>
      </c>
      <c r="Y2556">
        <v>0</v>
      </c>
      <c r="Z2556">
        <v>4</v>
      </c>
    </row>
    <row r="2557" spans="1:26">
      <c r="A2557" s="1">
        <v>2555</v>
      </c>
      <c r="B2557" t="str">
        <f>HYPERLINK("https://bugs.eclipse.org/bugs/show_bug.cgi?id=99681", "99681")</f>
        <v>99681</v>
      </c>
      <c r="C2557" t="s">
        <v>35</v>
      </c>
      <c r="D2557" t="s">
        <v>11</v>
      </c>
      <c r="E2557" t="s">
        <v>12</v>
      </c>
      <c r="F2557" t="s">
        <v>26</v>
      </c>
      <c r="L2557" t="s">
        <v>11700</v>
      </c>
      <c r="M2557" t="s">
        <v>11701</v>
      </c>
      <c r="N2557" t="s">
        <v>11700</v>
      </c>
      <c r="T2557" t="s">
        <v>11702</v>
      </c>
      <c r="U2557" t="s">
        <v>11703</v>
      </c>
      <c r="V2557" t="s">
        <v>11701</v>
      </c>
      <c r="W2557" t="s">
        <v>86</v>
      </c>
      <c r="X2557" t="s">
        <v>11704</v>
      </c>
      <c r="Y2557">
        <v>0</v>
      </c>
      <c r="Z2557">
        <v>4</v>
      </c>
    </row>
    <row r="2558" spans="1:26">
      <c r="A2558" s="1">
        <v>2556</v>
      </c>
      <c r="B2558" t="str">
        <f>HYPERLINK("https://bugs.eclipse.org/bugs/show_bug.cgi?id=99688", "99688")</f>
        <v>99688</v>
      </c>
      <c r="C2558" t="s">
        <v>149</v>
      </c>
      <c r="D2558" t="s">
        <v>10</v>
      </c>
      <c r="E2558" t="s">
        <v>12</v>
      </c>
      <c r="F2558" t="s">
        <v>26</v>
      </c>
      <c r="L2558" t="s">
        <v>11705</v>
      </c>
      <c r="N2558" t="s">
        <v>11705</v>
      </c>
      <c r="T2558" t="s">
        <v>11706</v>
      </c>
      <c r="U2558" t="s">
        <v>11707</v>
      </c>
      <c r="V2558" t="s">
        <v>11705</v>
      </c>
      <c r="W2558" t="s">
        <v>2668</v>
      </c>
      <c r="X2558" t="s">
        <v>11708</v>
      </c>
      <c r="Y2558">
        <v>3</v>
      </c>
      <c r="Z2558">
        <v>21</v>
      </c>
    </row>
    <row r="2559" spans="1:26">
      <c r="A2559" s="1">
        <v>2557</v>
      </c>
      <c r="B2559" t="str">
        <f>HYPERLINK("https://bugs.eclipse.org/bugs/show_bug.cgi?id=99789", "99789")</f>
        <v>99789</v>
      </c>
      <c r="C2559" t="s">
        <v>35</v>
      </c>
      <c r="D2559" t="s">
        <v>11</v>
      </c>
      <c r="E2559" t="s">
        <v>12</v>
      </c>
      <c r="F2559" t="s">
        <v>26</v>
      </c>
      <c r="L2559" t="s">
        <v>11709</v>
      </c>
      <c r="M2559" t="s">
        <v>11710</v>
      </c>
      <c r="N2559" t="s">
        <v>11709</v>
      </c>
      <c r="T2559" t="s">
        <v>11711</v>
      </c>
      <c r="U2559" t="s">
        <v>11712</v>
      </c>
      <c r="V2559" t="s">
        <v>11710</v>
      </c>
      <c r="W2559" t="s">
        <v>851</v>
      </c>
      <c r="X2559" t="s">
        <v>11713</v>
      </c>
      <c r="Y2559">
        <v>0</v>
      </c>
      <c r="Z2559">
        <v>4</v>
      </c>
    </row>
    <row r="2560" spans="1:26">
      <c r="A2560" s="1">
        <v>2558</v>
      </c>
      <c r="B2560" t="str">
        <f>HYPERLINK("https://bugs.eclipse.org/bugs/show_bug.cgi?id=99933", "99933")</f>
        <v>99933</v>
      </c>
      <c r="C2560" t="s">
        <v>35</v>
      </c>
      <c r="D2560" t="s">
        <v>11</v>
      </c>
      <c r="E2560" t="s">
        <v>12</v>
      </c>
      <c r="F2560" t="s">
        <v>26</v>
      </c>
      <c r="G2560" t="s">
        <v>11714</v>
      </c>
      <c r="L2560" t="s">
        <v>11715</v>
      </c>
      <c r="M2560" t="s">
        <v>11716</v>
      </c>
      <c r="N2560" t="s">
        <v>11715</v>
      </c>
      <c r="T2560" t="s">
        <v>11717</v>
      </c>
      <c r="U2560" t="s">
        <v>11718</v>
      </c>
      <c r="V2560" t="s">
        <v>11716</v>
      </c>
      <c r="W2560" t="s">
        <v>49</v>
      </c>
      <c r="X2560" t="s">
        <v>11719</v>
      </c>
      <c r="Y2560">
        <v>0</v>
      </c>
      <c r="Z2560">
        <v>1074</v>
      </c>
    </row>
    <row r="2561" spans="1:26">
      <c r="A2561" s="1">
        <v>2559</v>
      </c>
      <c r="B2561" t="str">
        <f>HYPERLINK("https://bugs.eclipse.org/bugs/show_bug.cgi?id=99939", "99939")</f>
        <v>99939</v>
      </c>
      <c r="C2561" t="s">
        <v>11720</v>
      </c>
      <c r="D2561" t="s">
        <v>10</v>
      </c>
      <c r="E2561" t="s">
        <v>15</v>
      </c>
      <c r="F2561" t="s">
        <v>26</v>
      </c>
      <c r="L2561" t="s">
        <v>11721</v>
      </c>
      <c r="Q2561" t="s">
        <v>11721</v>
      </c>
      <c r="T2561" t="s">
        <v>11722</v>
      </c>
      <c r="U2561" t="s">
        <v>11723</v>
      </c>
      <c r="V2561" t="s">
        <v>11721</v>
      </c>
      <c r="W2561" t="s">
        <v>851</v>
      </c>
      <c r="X2561" t="s">
        <v>11724</v>
      </c>
      <c r="Y2561">
        <v>349</v>
      </c>
      <c r="Z2561">
        <v>612.04166666666663</v>
      </c>
    </row>
    <row r="2562" spans="1:26">
      <c r="A2562" s="1">
        <v>2560</v>
      </c>
      <c r="B2562" t="str">
        <f>HYPERLINK("https://bugs.eclipse.org/bugs/show_bug.cgi?id=99947", "99947")</f>
        <v>99947</v>
      </c>
      <c r="C2562" t="s">
        <v>56</v>
      </c>
      <c r="D2562" t="s">
        <v>10</v>
      </c>
      <c r="E2562" t="s">
        <v>14</v>
      </c>
      <c r="F2562" t="s">
        <v>26</v>
      </c>
      <c r="G2562" t="s">
        <v>11725</v>
      </c>
      <c r="L2562" t="s">
        <v>11726</v>
      </c>
      <c r="P2562" t="s">
        <v>11727</v>
      </c>
      <c r="T2562" t="s">
        <v>11728</v>
      </c>
      <c r="U2562" t="s">
        <v>11726</v>
      </c>
      <c r="V2562" t="s">
        <v>11727</v>
      </c>
      <c r="W2562" t="s">
        <v>75</v>
      </c>
      <c r="X2562" t="s">
        <v>11729</v>
      </c>
      <c r="Y2562">
        <v>0</v>
      </c>
      <c r="Z2562">
        <v>1538</v>
      </c>
    </row>
    <row r="2563" spans="1:26">
      <c r="A2563" s="1">
        <v>2561</v>
      </c>
      <c r="B2563" t="str">
        <f>HYPERLINK("https://bugs.eclipse.org/bugs/show_bug.cgi?id=99958", "99958")</f>
        <v>99958</v>
      </c>
      <c r="C2563" t="s">
        <v>35</v>
      </c>
      <c r="D2563" t="s">
        <v>11</v>
      </c>
      <c r="E2563" t="s">
        <v>12</v>
      </c>
      <c r="F2563" t="s">
        <v>26</v>
      </c>
      <c r="L2563" t="s">
        <v>11730</v>
      </c>
      <c r="M2563" t="s">
        <v>11731</v>
      </c>
      <c r="N2563" t="s">
        <v>11730</v>
      </c>
      <c r="T2563" t="s">
        <v>11732</v>
      </c>
      <c r="U2563" t="s">
        <v>11733</v>
      </c>
      <c r="V2563" t="s">
        <v>11731</v>
      </c>
      <c r="W2563" t="s">
        <v>86</v>
      </c>
      <c r="X2563" t="s">
        <v>11734</v>
      </c>
      <c r="Y2563">
        <v>0</v>
      </c>
      <c r="Z2563">
        <v>3</v>
      </c>
    </row>
    <row r="2564" spans="1:26">
      <c r="A2564" s="1">
        <v>2562</v>
      </c>
      <c r="B2564" t="str">
        <f>HYPERLINK("https://bugs.eclipse.org/bugs/show_bug.cgi?id=99974", "99974")</f>
        <v>99974</v>
      </c>
      <c r="C2564" t="s">
        <v>149</v>
      </c>
      <c r="D2564" t="s">
        <v>10</v>
      </c>
      <c r="E2564" t="s">
        <v>12</v>
      </c>
      <c r="F2564" t="s">
        <v>26</v>
      </c>
      <c r="L2564" t="s">
        <v>11735</v>
      </c>
      <c r="N2564" t="s">
        <v>11735</v>
      </c>
      <c r="T2564" t="s">
        <v>11736</v>
      </c>
      <c r="U2564" t="s">
        <v>11737</v>
      </c>
      <c r="V2564" t="s">
        <v>11735</v>
      </c>
      <c r="W2564" t="s">
        <v>86</v>
      </c>
      <c r="X2564" t="s">
        <v>11738</v>
      </c>
      <c r="Y2564">
        <v>1</v>
      </c>
      <c r="Z2564">
        <v>1</v>
      </c>
    </row>
    <row r="2565" spans="1:26">
      <c r="A2565" s="1">
        <v>2563</v>
      </c>
      <c r="B2565" t="str">
        <f>HYPERLINK("https://bugs.eclipse.org/bugs/show_bug.cgi?id=100086", "100086")</f>
        <v>100086</v>
      </c>
      <c r="C2565" t="s">
        <v>191</v>
      </c>
      <c r="D2565" t="s">
        <v>192</v>
      </c>
      <c r="E2565" t="s">
        <v>14</v>
      </c>
      <c r="F2565" t="s">
        <v>26</v>
      </c>
      <c r="T2565" t="s">
        <v>11739</v>
      </c>
      <c r="U2565" t="s">
        <v>11740</v>
      </c>
      <c r="V2565" t="s">
        <v>11741</v>
      </c>
      <c r="W2565" t="s">
        <v>65</v>
      </c>
      <c r="X2565" t="s">
        <v>11742</v>
      </c>
      <c r="Y2565">
        <v>0</v>
      </c>
      <c r="Z2565">
        <v>5191</v>
      </c>
    </row>
    <row r="2566" spans="1:26">
      <c r="A2566" s="1">
        <v>2564</v>
      </c>
      <c r="B2566" t="str">
        <f>HYPERLINK("https://bugs.eclipse.org/bugs/show_bug.cgi?id=100143", "100143")</f>
        <v>100143</v>
      </c>
      <c r="C2566" t="s">
        <v>191</v>
      </c>
      <c r="D2566" t="s">
        <v>192</v>
      </c>
      <c r="E2566" t="s">
        <v>14</v>
      </c>
      <c r="F2566" t="s">
        <v>26</v>
      </c>
      <c r="P2566" t="s">
        <v>11743</v>
      </c>
      <c r="Q2566" t="s">
        <v>11744</v>
      </c>
      <c r="S2566" t="s">
        <v>11745</v>
      </c>
      <c r="T2566" t="s">
        <v>11746</v>
      </c>
      <c r="U2566" t="s">
        <v>11747</v>
      </c>
      <c r="V2566" t="s">
        <v>11743</v>
      </c>
      <c r="W2566" t="s">
        <v>65</v>
      </c>
      <c r="X2566" t="s">
        <v>11748</v>
      </c>
      <c r="Y2566">
        <v>0</v>
      </c>
      <c r="Z2566">
        <v>5436</v>
      </c>
    </row>
    <row r="2567" spans="1:26">
      <c r="A2567" s="1">
        <v>2565</v>
      </c>
      <c r="B2567" t="str">
        <f>HYPERLINK("https://bugs.eclipse.org/bugs/show_bug.cgi?id=100151", "100151")</f>
        <v>100151</v>
      </c>
      <c r="C2567" t="s">
        <v>191</v>
      </c>
      <c r="D2567" t="s">
        <v>192</v>
      </c>
      <c r="E2567" t="s">
        <v>14</v>
      </c>
      <c r="F2567" t="s">
        <v>26</v>
      </c>
      <c r="P2567" t="s">
        <v>11749</v>
      </c>
      <c r="T2567" t="s">
        <v>11750</v>
      </c>
      <c r="U2567" t="s">
        <v>11751</v>
      </c>
      <c r="V2567" t="s">
        <v>11749</v>
      </c>
      <c r="W2567" t="s">
        <v>65</v>
      </c>
      <c r="X2567" t="s">
        <v>11752</v>
      </c>
      <c r="Y2567">
        <v>0</v>
      </c>
      <c r="Z2567">
        <v>5379.041666666667</v>
      </c>
    </row>
    <row r="2568" spans="1:26">
      <c r="A2568" s="1">
        <v>2566</v>
      </c>
      <c r="B2568" t="str">
        <f>HYPERLINK("https://bugs.eclipse.org/bugs/show_bug.cgi?id=100154", "100154")</f>
        <v>100154</v>
      </c>
      <c r="C2568" t="s">
        <v>140</v>
      </c>
      <c r="D2568" t="s">
        <v>10</v>
      </c>
      <c r="E2568" t="s">
        <v>16</v>
      </c>
      <c r="F2568" t="s">
        <v>26</v>
      </c>
      <c r="L2568" t="s">
        <v>11753</v>
      </c>
      <c r="R2568" t="s">
        <v>11753</v>
      </c>
      <c r="T2568" t="s">
        <v>11754</v>
      </c>
      <c r="U2568" t="s">
        <v>11755</v>
      </c>
      <c r="V2568" t="s">
        <v>11753</v>
      </c>
      <c r="W2568" t="s">
        <v>86</v>
      </c>
      <c r="X2568" t="s">
        <v>11756</v>
      </c>
      <c r="Y2568">
        <v>0</v>
      </c>
      <c r="Z2568">
        <v>2</v>
      </c>
    </row>
    <row r="2569" spans="1:26">
      <c r="A2569" s="1">
        <v>2567</v>
      </c>
      <c r="B2569" t="str">
        <f>HYPERLINK("https://bugs.eclipse.org/bugs/show_bug.cgi?id=100211", "100211")</f>
        <v>100211</v>
      </c>
      <c r="C2569" t="s">
        <v>35</v>
      </c>
      <c r="D2569" t="s">
        <v>11</v>
      </c>
      <c r="E2569" t="s">
        <v>12</v>
      </c>
      <c r="F2569" t="s">
        <v>26</v>
      </c>
      <c r="L2569" t="s">
        <v>11757</v>
      </c>
      <c r="M2569" t="s">
        <v>11758</v>
      </c>
      <c r="N2569" t="s">
        <v>11757</v>
      </c>
      <c r="T2569" t="s">
        <v>11759</v>
      </c>
      <c r="U2569" t="s">
        <v>11760</v>
      </c>
      <c r="V2569" t="s">
        <v>11758</v>
      </c>
      <c r="W2569" t="s">
        <v>1161</v>
      </c>
      <c r="X2569" t="s">
        <v>11761</v>
      </c>
      <c r="Y2569">
        <v>0</v>
      </c>
      <c r="Z2569">
        <v>79</v>
      </c>
    </row>
    <row r="2570" spans="1:26">
      <c r="A2570" s="1">
        <v>2568</v>
      </c>
      <c r="B2570" t="str">
        <f>HYPERLINK("https://bugs.eclipse.org/bugs/show_bug.cgi?id=100212", "100212")</f>
        <v>100212</v>
      </c>
      <c r="C2570" t="s">
        <v>35</v>
      </c>
      <c r="D2570" t="s">
        <v>11</v>
      </c>
      <c r="E2570" t="s">
        <v>12</v>
      </c>
      <c r="F2570" t="s">
        <v>26</v>
      </c>
      <c r="L2570" t="s">
        <v>11762</v>
      </c>
      <c r="M2570" t="s">
        <v>11763</v>
      </c>
      <c r="N2570" t="s">
        <v>11762</v>
      </c>
      <c r="T2570" t="s">
        <v>11759</v>
      </c>
      <c r="U2570" t="s">
        <v>11764</v>
      </c>
      <c r="V2570" t="s">
        <v>11763</v>
      </c>
      <c r="W2570" t="s">
        <v>851</v>
      </c>
      <c r="X2570" t="s">
        <v>11765</v>
      </c>
      <c r="Y2570">
        <v>0</v>
      </c>
      <c r="Z2570">
        <v>181.04166666666671</v>
      </c>
    </row>
    <row r="2571" spans="1:26">
      <c r="A2571" s="1">
        <v>2569</v>
      </c>
      <c r="B2571" t="str">
        <f>HYPERLINK("https://bugs.eclipse.org/bugs/show_bug.cgi?id=100389", "100389")</f>
        <v>100389</v>
      </c>
      <c r="C2571" t="s">
        <v>35</v>
      </c>
      <c r="D2571" t="s">
        <v>11</v>
      </c>
      <c r="E2571" t="s">
        <v>12</v>
      </c>
      <c r="F2571" t="s">
        <v>26</v>
      </c>
      <c r="L2571" t="s">
        <v>11766</v>
      </c>
      <c r="M2571" t="s">
        <v>11767</v>
      </c>
      <c r="N2571" t="s">
        <v>11766</v>
      </c>
      <c r="T2571" t="s">
        <v>11768</v>
      </c>
      <c r="U2571" t="s">
        <v>11769</v>
      </c>
      <c r="V2571" t="s">
        <v>11767</v>
      </c>
      <c r="W2571" t="s">
        <v>86</v>
      </c>
      <c r="X2571" t="s">
        <v>11770</v>
      </c>
      <c r="Y2571">
        <v>0</v>
      </c>
      <c r="Z2571">
        <v>1</v>
      </c>
    </row>
    <row r="2572" spans="1:26">
      <c r="A2572" s="1">
        <v>2570</v>
      </c>
      <c r="B2572" t="str">
        <f>HYPERLINK("https://bugs.eclipse.org/bugs/show_bug.cgi?id=100413", "100413")</f>
        <v>100413</v>
      </c>
      <c r="C2572" t="s">
        <v>56</v>
      </c>
      <c r="D2572" t="s">
        <v>10</v>
      </c>
      <c r="E2572" t="s">
        <v>14</v>
      </c>
      <c r="F2572" t="s">
        <v>26</v>
      </c>
      <c r="L2572" t="s">
        <v>11771</v>
      </c>
      <c r="P2572" t="s">
        <v>11771</v>
      </c>
      <c r="T2572" t="s">
        <v>11772</v>
      </c>
      <c r="U2572" t="s">
        <v>11773</v>
      </c>
      <c r="V2572" t="s">
        <v>11771</v>
      </c>
      <c r="W2572" t="s">
        <v>851</v>
      </c>
      <c r="X2572" t="s">
        <v>11774</v>
      </c>
      <c r="Y2572">
        <v>0</v>
      </c>
      <c r="Z2572">
        <v>0</v>
      </c>
    </row>
    <row r="2573" spans="1:26">
      <c r="A2573" s="1">
        <v>2571</v>
      </c>
      <c r="B2573" t="str">
        <f>HYPERLINK("https://bugs.eclipse.org/bugs/show_bug.cgi?id=100430", "100430")</f>
        <v>100430</v>
      </c>
      <c r="C2573" t="s">
        <v>35</v>
      </c>
      <c r="D2573" t="s">
        <v>11</v>
      </c>
      <c r="E2573" t="s">
        <v>12</v>
      </c>
      <c r="F2573" t="s">
        <v>26</v>
      </c>
      <c r="L2573" t="s">
        <v>11775</v>
      </c>
      <c r="M2573" t="s">
        <v>11776</v>
      </c>
      <c r="N2573" t="s">
        <v>11775</v>
      </c>
      <c r="P2573" t="s">
        <v>11777</v>
      </c>
      <c r="S2573" t="s">
        <v>11778</v>
      </c>
      <c r="T2573" t="s">
        <v>11779</v>
      </c>
      <c r="U2573" t="s">
        <v>11780</v>
      </c>
      <c r="V2573" t="s">
        <v>11776</v>
      </c>
      <c r="W2573" t="s">
        <v>9266</v>
      </c>
      <c r="X2573" t="s">
        <v>11781</v>
      </c>
      <c r="Y2573">
        <v>0</v>
      </c>
      <c r="Z2573">
        <v>5543</v>
      </c>
    </row>
    <row r="2574" spans="1:26">
      <c r="A2574" s="1">
        <v>2572</v>
      </c>
      <c r="B2574" t="str">
        <f>HYPERLINK("https://bugs.eclipse.org/bugs/show_bug.cgi?id=100446", "100446")</f>
        <v>100446</v>
      </c>
      <c r="C2574" t="s">
        <v>191</v>
      </c>
      <c r="D2574" t="s">
        <v>192</v>
      </c>
      <c r="E2574" t="s">
        <v>14</v>
      </c>
      <c r="F2574" t="s">
        <v>26</v>
      </c>
      <c r="T2574" t="s">
        <v>11782</v>
      </c>
      <c r="U2574" t="s">
        <v>11783</v>
      </c>
      <c r="V2574" t="s">
        <v>11784</v>
      </c>
      <c r="W2574" t="s">
        <v>65</v>
      </c>
      <c r="X2574" t="s">
        <v>11785</v>
      </c>
      <c r="Y2574">
        <v>0</v>
      </c>
      <c r="Z2574">
        <v>5218</v>
      </c>
    </row>
    <row r="2575" spans="1:26">
      <c r="A2575" s="1">
        <v>2573</v>
      </c>
      <c r="B2575" t="str">
        <f>HYPERLINK("https://bugs.eclipse.org/bugs/show_bug.cgi?id=100555", "100555")</f>
        <v>100555</v>
      </c>
      <c r="C2575" t="s">
        <v>35</v>
      </c>
      <c r="D2575" t="s">
        <v>11</v>
      </c>
      <c r="E2575" t="s">
        <v>12</v>
      </c>
      <c r="F2575" t="s">
        <v>26</v>
      </c>
      <c r="L2575" t="s">
        <v>11786</v>
      </c>
      <c r="M2575" t="s">
        <v>11787</v>
      </c>
      <c r="N2575" t="s">
        <v>11786</v>
      </c>
      <c r="T2575" t="s">
        <v>11788</v>
      </c>
      <c r="U2575" t="s">
        <v>11789</v>
      </c>
      <c r="V2575" t="s">
        <v>11787</v>
      </c>
      <c r="W2575" t="s">
        <v>851</v>
      </c>
      <c r="X2575" t="s">
        <v>11790</v>
      </c>
      <c r="Y2575">
        <v>0</v>
      </c>
      <c r="Z2575">
        <v>137.04166666666671</v>
      </c>
    </row>
    <row r="2576" spans="1:26">
      <c r="A2576" s="1">
        <v>2574</v>
      </c>
      <c r="B2576" t="str">
        <f>HYPERLINK("https://bugs.eclipse.org/bugs/show_bug.cgi?id=100593", "100593")</f>
        <v>100593</v>
      </c>
      <c r="C2576" t="s">
        <v>149</v>
      </c>
      <c r="D2576" t="s">
        <v>10</v>
      </c>
      <c r="E2576" t="s">
        <v>12</v>
      </c>
      <c r="F2576" t="s">
        <v>26</v>
      </c>
      <c r="L2576" t="s">
        <v>11791</v>
      </c>
      <c r="N2576" t="s">
        <v>11791</v>
      </c>
      <c r="T2576" t="s">
        <v>11792</v>
      </c>
      <c r="U2576" t="s">
        <v>11793</v>
      </c>
      <c r="V2576" t="s">
        <v>11794</v>
      </c>
      <c r="W2576" t="s">
        <v>851</v>
      </c>
      <c r="X2576" t="s">
        <v>11795</v>
      </c>
      <c r="Y2576">
        <v>0</v>
      </c>
      <c r="Z2576">
        <v>1511</v>
      </c>
    </row>
    <row r="2577" spans="1:26">
      <c r="A2577" s="1">
        <v>2575</v>
      </c>
      <c r="B2577" t="str">
        <f>HYPERLINK("https://bugs.eclipse.org/bugs/show_bug.cgi?id=100613", "100613")</f>
        <v>100613</v>
      </c>
      <c r="C2577" t="s">
        <v>11796</v>
      </c>
      <c r="D2577" t="s">
        <v>10</v>
      </c>
      <c r="E2577" t="s">
        <v>15</v>
      </c>
      <c r="F2577" t="s">
        <v>26</v>
      </c>
      <c r="L2577" t="s">
        <v>11797</v>
      </c>
      <c r="Q2577" t="s">
        <v>11798</v>
      </c>
      <c r="T2577" t="s">
        <v>11799</v>
      </c>
      <c r="U2577" t="s">
        <v>11800</v>
      </c>
      <c r="V2577" t="s">
        <v>11798</v>
      </c>
      <c r="W2577" t="s">
        <v>851</v>
      </c>
      <c r="X2577" t="s">
        <v>11801</v>
      </c>
      <c r="Y2577">
        <v>0</v>
      </c>
      <c r="Z2577">
        <v>1116</v>
      </c>
    </row>
    <row r="2578" spans="1:26">
      <c r="A2578" s="1">
        <v>2576</v>
      </c>
      <c r="B2578" t="str">
        <f>HYPERLINK("https://bugs.eclipse.org/bugs/show_bug.cgi?id=100698", "100698")</f>
        <v>100698</v>
      </c>
      <c r="C2578" t="s">
        <v>140</v>
      </c>
      <c r="D2578" t="s">
        <v>10</v>
      </c>
      <c r="E2578" t="s">
        <v>16</v>
      </c>
      <c r="F2578" t="s">
        <v>26</v>
      </c>
      <c r="L2578" t="s">
        <v>11802</v>
      </c>
      <c r="R2578" t="s">
        <v>11802</v>
      </c>
      <c r="T2578" t="s">
        <v>11803</v>
      </c>
      <c r="U2578" t="s">
        <v>11804</v>
      </c>
      <c r="V2578" t="s">
        <v>11802</v>
      </c>
      <c r="W2578" t="s">
        <v>86</v>
      </c>
      <c r="X2578" t="s">
        <v>11805</v>
      </c>
      <c r="Y2578">
        <v>3</v>
      </c>
      <c r="Z2578">
        <v>26</v>
      </c>
    </row>
    <row r="2579" spans="1:26">
      <c r="A2579" s="1">
        <v>2577</v>
      </c>
      <c r="B2579" t="str">
        <f>HYPERLINK("https://bugs.eclipse.org/bugs/show_bug.cgi?id=100714", "100714")</f>
        <v>100714</v>
      </c>
      <c r="C2579" t="s">
        <v>56</v>
      </c>
      <c r="D2579" t="s">
        <v>10</v>
      </c>
      <c r="E2579" t="s">
        <v>14</v>
      </c>
      <c r="F2579" t="s">
        <v>26</v>
      </c>
      <c r="H2579" t="s">
        <v>11806</v>
      </c>
      <c r="L2579" t="s">
        <v>11807</v>
      </c>
      <c r="P2579" t="s">
        <v>11808</v>
      </c>
      <c r="T2579" t="s">
        <v>11809</v>
      </c>
      <c r="U2579" t="s">
        <v>11810</v>
      </c>
      <c r="V2579" t="s">
        <v>11811</v>
      </c>
      <c r="W2579" t="s">
        <v>143</v>
      </c>
      <c r="X2579" t="s">
        <v>11812</v>
      </c>
      <c r="Y2579">
        <v>1</v>
      </c>
      <c r="Z2579">
        <v>3679</v>
      </c>
    </row>
    <row r="2580" spans="1:26">
      <c r="A2580" s="1">
        <v>2578</v>
      </c>
      <c r="B2580" t="str">
        <f>HYPERLINK("https://bugs.eclipse.org/bugs/show_bug.cgi?id=100841", "100841")</f>
        <v>100841</v>
      </c>
      <c r="C2580" t="s">
        <v>191</v>
      </c>
      <c r="D2580" t="s">
        <v>192</v>
      </c>
      <c r="E2580" t="s">
        <v>14</v>
      </c>
      <c r="F2580" t="s">
        <v>26</v>
      </c>
      <c r="T2580" t="s">
        <v>11813</v>
      </c>
      <c r="U2580" t="s">
        <v>11814</v>
      </c>
      <c r="V2580" t="s">
        <v>11815</v>
      </c>
      <c r="W2580" t="s">
        <v>65</v>
      </c>
      <c r="X2580" t="s">
        <v>11816</v>
      </c>
      <c r="Y2580">
        <v>0</v>
      </c>
      <c r="Z2580">
        <v>5189</v>
      </c>
    </row>
    <row r="2581" spans="1:26">
      <c r="A2581" s="1">
        <v>2579</v>
      </c>
      <c r="B2581" t="str">
        <f>HYPERLINK("https://bugs.eclipse.org/bugs/show_bug.cgi?id=100846", "100846")</f>
        <v>100846</v>
      </c>
      <c r="C2581" t="s">
        <v>35</v>
      </c>
      <c r="D2581" t="s">
        <v>11</v>
      </c>
      <c r="E2581" t="s">
        <v>12</v>
      </c>
      <c r="F2581" t="s">
        <v>150</v>
      </c>
      <c r="L2581" t="s">
        <v>11817</v>
      </c>
      <c r="M2581" t="s">
        <v>11818</v>
      </c>
      <c r="N2581" t="s">
        <v>11817</v>
      </c>
      <c r="T2581" t="s">
        <v>11819</v>
      </c>
      <c r="U2581" t="s">
        <v>11820</v>
      </c>
      <c r="V2581" t="s">
        <v>11818</v>
      </c>
      <c r="W2581" t="s">
        <v>851</v>
      </c>
      <c r="X2581" t="s">
        <v>11821</v>
      </c>
      <c r="Y2581">
        <v>0</v>
      </c>
      <c r="Z2581">
        <v>2</v>
      </c>
    </row>
    <row r="2582" spans="1:26">
      <c r="A2582" s="1">
        <v>2580</v>
      </c>
      <c r="B2582" t="str">
        <f>HYPERLINK("https://bugs.eclipse.org/bugs/show_bug.cgi?id=101011", "101011")</f>
        <v>101011</v>
      </c>
      <c r="C2582" t="s">
        <v>140</v>
      </c>
      <c r="D2582" t="s">
        <v>10</v>
      </c>
      <c r="E2582" t="s">
        <v>16</v>
      </c>
      <c r="F2582" t="s">
        <v>26</v>
      </c>
      <c r="L2582" t="s">
        <v>11822</v>
      </c>
      <c r="R2582" t="s">
        <v>11822</v>
      </c>
      <c r="T2582" t="s">
        <v>11823</v>
      </c>
      <c r="U2582" t="s">
        <v>11824</v>
      </c>
      <c r="V2582" t="s">
        <v>11822</v>
      </c>
      <c r="W2582" t="s">
        <v>2668</v>
      </c>
      <c r="X2582" t="s">
        <v>11825</v>
      </c>
      <c r="Y2582">
        <v>0</v>
      </c>
      <c r="Z2582">
        <v>69</v>
      </c>
    </row>
    <row r="2583" spans="1:26">
      <c r="A2583" s="1">
        <v>2581</v>
      </c>
      <c r="B2583" t="str">
        <f>HYPERLINK("https://bugs.eclipse.org/bugs/show_bug.cgi?id=101143", "101143")</f>
        <v>101143</v>
      </c>
      <c r="C2583" t="s">
        <v>35</v>
      </c>
      <c r="D2583" t="s">
        <v>11</v>
      </c>
      <c r="E2583" t="s">
        <v>12</v>
      </c>
      <c r="F2583" t="s">
        <v>26</v>
      </c>
      <c r="L2583" t="s">
        <v>11826</v>
      </c>
      <c r="M2583" t="s">
        <v>11827</v>
      </c>
      <c r="N2583" t="s">
        <v>11826</v>
      </c>
      <c r="T2583" t="s">
        <v>11828</v>
      </c>
      <c r="U2583" t="s">
        <v>11829</v>
      </c>
      <c r="V2583" t="s">
        <v>11827</v>
      </c>
      <c r="W2583" t="s">
        <v>49</v>
      </c>
      <c r="X2583" t="s">
        <v>11830</v>
      </c>
      <c r="Y2583">
        <v>0</v>
      </c>
      <c r="Z2583">
        <v>91</v>
      </c>
    </row>
    <row r="2584" spans="1:26">
      <c r="A2584" s="1">
        <v>2582</v>
      </c>
      <c r="B2584" t="str">
        <f>HYPERLINK("https://bugs.eclipse.org/bugs/show_bug.cgi?id=101209", "101209")</f>
        <v>101209</v>
      </c>
      <c r="C2584" t="s">
        <v>35</v>
      </c>
      <c r="D2584" t="s">
        <v>11</v>
      </c>
      <c r="E2584" t="s">
        <v>12</v>
      </c>
      <c r="F2584" t="s">
        <v>26</v>
      </c>
      <c r="L2584" t="s">
        <v>11831</v>
      </c>
      <c r="M2584" t="s">
        <v>11832</v>
      </c>
      <c r="N2584" t="s">
        <v>11831</v>
      </c>
      <c r="T2584" t="s">
        <v>11833</v>
      </c>
      <c r="U2584" t="s">
        <v>11834</v>
      </c>
      <c r="V2584" t="s">
        <v>11832</v>
      </c>
      <c r="W2584" t="s">
        <v>86</v>
      </c>
      <c r="X2584" t="s">
        <v>11835</v>
      </c>
      <c r="Y2584">
        <v>0</v>
      </c>
      <c r="Z2584">
        <v>2</v>
      </c>
    </row>
    <row r="2585" spans="1:26">
      <c r="A2585" s="1">
        <v>2583</v>
      </c>
      <c r="B2585" t="str">
        <f>HYPERLINK("https://bugs.eclipse.org/bugs/show_bug.cgi?id=101210", "101210")</f>
        <v>101210</v>
      </c>
      <c r="C2585" t="s">
        <v>35</v>
      </c>
      <c r="D2585" t="s">
        <v>11</v>
      </c>
      <c r="E2585" t="s">
        <v>12</v>
      </c>
      <c r="F2585" t="s">
        <v>26</v>
      </c>
      <c r="L2585" t="s">
        <v>11836</v>
      </c>
      <c r="M2585" t="s">
        <v>11837</v>
      </c>
      <c r="N2585" t="s">
        <v>11836</v>
      </c>
      <c r="T2585" t="s">
        <v>11838</v>
      </c>
      <c r="U2585" t="s">
        <v>11839</v>
      </c>
      <c r="V2585" t="s">
        <v>11837</v>
      </c>
      <c r="W2585" t="s">
        <v>851</v>
      </c>
      <c r="X2585" t="s">
        <v>11840</v>
      </c>
      <c r="Y2585">
        <v>0</v>
      </c>
      <c r="Z2585">
        <v>174.04166666666671</v>
      </c>
    </row>
    <row r="2586" spans="1:26">
      <c r="A2586" s="1">
        <v>2584</v>
      </c>
      <c r="B2586" t="str">
        <f>HYPERLINK("https://bugs.eclipse.org/bugs/show_bug.cgi?id=101211", "101211")</f>
        <v>101211</v>
      </c>
      <c r="C2586" t="s">
        <v>35</v>
      </c>
      <c r="D2586" t="s">
        <v>11</v>
      </c>
      <c r="E2586" t="s">
        <v>12</v>
      </c>
      <c r="F2586" t="s">
        <v>26</v>
      </c>
      <c r="L2586" t="s">
        <v>11841</v>
      </c>
      <c r="M2586" t="s">
        <v>11842</v>
      </c>
      <c r="N2586" t="s">
        <v>11841</v>
      </c>
      <c r="T2586" t="s">
        <v>11843</v>
      </c>
      <c r="U2586" t="s">
        <v>11844</v>
      </c>
      <c r="V2586" t="s">
        <v>11842</v>
      </c>
      <c r="W2586" t="s">
        <v>851</v>
      </c>
      <c r="X2586" t="s">
        <v>11845</v>
      </c>
      <c r="Y2586">
        <v>0</v>
      </c>
      <c r="Z2586">
        <v>174.04166666666671</v>
      </c>
    </row>
    <row r="2587" spans="1:26">
      <c r="A2587" s="1">
        <v>2585</v>
      </c>
      <c r="B2587" t="str">
        <f>HYPERLINK("https://bugs.eclipse.org/bugs/show_bug.cgi?id=101233", "101233")</f>
        <v>101233</v>
      </c>
      <c r="C2587" t="s">
        <v>35</v>
      </c>
      <c r="D2587" t="s">
        <v>11</v>
      </c>
      <c r="E2587" t="s">
        <v>12</v>
      </c>
      <c r="F2587" t="s">
        <v>26</v>
      </c>
      <c r="L2587" t="s">
        <v>11846</v>
      </c>
      <c r="M2587" t="s">
        <v>11847</v>
      </c>
      <c r="N2587" t="s">
        <v>11846</v>
      </c>
      <c r="T2587" t="s">
        <v>11848</v>
      </c>
      <c r="U2587" t="s">
        <v>11849</v>
      </c>
      <c r="V2587" t="s">
        <v>11847</v>
      </c>
      <c r="W2587" t="s">
        <v>143</v>
      </c>
      <c r="X2587" t="s">
        <v>11850</v>
      </c>
      <c r="Y2587">
        <v>0</v>
      </c>
      <c r="Z2587">
        <v>1504</v>
      </c>
    </row>
    <row r="2588" spans="1:26">
      <c r="A2588" s="1">
        <v>2586</v>
      </c>
      <c r="B2588" t="str">
        <f>HYPERLINK("https://bugs.eclipse.org/bugs/show_bug.cgi?id=101419", "101419")</f>
        <v>101419</v>
      </c>
      <c r="C2588" t="s">
        <v>25</v>
      </c>
      <c r="D2588" t="s">
        <v>25</v>
      </c>
      <c r="F2588" t="s">
        <v>26</v>
      </c>
      <c r="G2588" t="s">
        <v>11851</v>
      </c>
      <c r="L2588" t="s">
        <v>11852</v>
      </c>
      <c r="R2588" t="s">
        <v>11852</v>
      </c>
      <c r="S2588" t="s">
        <v>11853</v>
      </c>
      <c r="T2588" t="s">
        <v>11854</v>
      </c>
      <c r="U2588" t="s">
        <v>11855</v>
      </c>
      <c r="V2588" t="s">
        <v>11856</v>
      </c>
      <c r="W2588" t="s">
        <v>143</v>
      </c>
      <c r="X2588" t="s">
        <v>11857</v>
      </c>
      <c r="Y2588">
        <v>0</v>
      </c>
    </row>
    <row r="2589" spans="1:26">
      <c r="A2589" s="1">
        <v>2587</v>
      </c>
      <c r="B2589" t="str">
        <f>HYPERLINK("https://bugs.eclipse.org/bugs/show_bug.cgi?id=101630", "101630")</f>
        <v>101630</v>
      </c>
      <c r="C2589" t="s">
        <v>56</v>
      </c>
      <c r="D2589" t="s">
        <v>10</v>
      </c>
      <c r="E2589" t="s">
        <v>14</v>
      </c>
      <c r="F2589" t="s">
        <v>51</v>
      </c>
      <c r="L2589" t="s">
        <v>11858</v>
      </c>
      <c r="P2589" t="s">
        <v>8161</v>
      </c>
      <c r="T2589" t="s">
        <v>11859</v>
      </c>
      <c r="U2589" t="s">
        <v>11858</v>
      </c>
      <c r="V2589" t="s">
        <v>8161</v>
      </c>
      <c r="W2589" t="s">
        <v>80</v>
      </c>
      <c r="X2589" t="s">
        <v>11860</v>
      </c>
      <c r="Y2589">
        <v>10</v>
      </c>
      <c r="Z2589">
        <v>1528</v>
      </c>
    </row>
    <row r="2590" spans="1:26">
      <c r="A2590" s="1">
        <v>2588</v>
      </c>
      <c r="B2590" t="str">
        <f>HYPERLINK("https://bugs.eclipse.org/bugs/show_bug.cgi?id=101765", "101765")</f>
        <v>101765</v>
      </c>
      <c r="C2590" t="s">
        <v>88</v>
      </c>
      <c r="D2590" t="s">
        <v>10</v>
      </c>
      <c r="E2590" t="s">
        <v>13</v>
      </c>
      <c r="F2590" t="s">
        <v>51</v>
      </c>
      <c r="L2590" t="s">
        <v>11861</v>
      </c>
      <c r="O2590" t="s">
        <v>11861</v>
      </c>
      <c r="T2590" t="s">
        <v>11862</v>
      </c>
      <c r="U2590" t="s">
        <v>11863</v>
      </c>
      <c r="V2590" t="s">
        <v>11861</v>
      </c>
      <c r="W2590" t="s">
        <v>143</v>
      </c>
      <c r="X2590" t="s">
        <v>11864</v>
      </c>
      <c r="Y2590">
        <v>10</v>
      </c>
      <c r="Z2590">
        <v>1343.041666666667</v>
      </c>
    </row>
    <row r="2591" spans="1:26">
      <c r="A2591" s="1">
        <v>2589</v>
      </c>
      <c r="B2591" t="str">
        <f>HYPERLINK("https://bugs.eclipse.org/bugs/show_bug.cgi?id=101863", "101863")</f>
        <v>101863</v>
      </c>
      <c r="C2591" t="s">
        <v>35</v>
      </c>
      <c r="D2591" t="s">
        <v>11</v>
      </c>
      <c r="E2591" t="s">
        <v>12</v>
      </c>
      <c r="F2591" t="s">
        <v>26</v>
      </c>
      <c r="G2591" t="s">
        <v>11865</v>
      </c>
      <c r="L2591" t="s">
        <v>11866</v>
      </c>
      <c r="M2591" t="s">
        <v>11867</v>
      </c>
      <c r="N2591" t="s">
        <v>11866</v>
      </c>
      <c r="T2591" t="s">
        <v>11868</v>
      </c>
      <c r="U2591" t="s">
        <v>11869</v>
      </c>
      <c r="V2591" t="s">
        <v>11870</v>
      </c>
      <c r="W2591" t="s">
        <v>2668</v>
      </c>
      <c r="X2591" t="s">
        <v>11871</v>
      </c>
      <c r="Y2591">
        <v>0</v>
      </c>
      <c r="Z2591">
        <v>169.04166666666671</v>
      </c>
    </row>
    <row r="2592" spans="1:26">
      <c r="A2592" s="1">
        <v>2590</v>
      </c>
      <c r="B2592" t="str">
        <f>HYPERLINK("https://bugs.eclipse.org/bugs/show_bug.cgi?id=101938", "101938")</f>
        <v>101938</v>
      </c>
      <c r="C2592" t="s">
        <v>35</v>
      </c>
      <c r="D2592" t="s">
        <v>11</v>
      </c>
      <c r="E2592" t="s">
        <v>12</v>
      </c>
      <c r="F2592" t="s">
        <v>26</v>
      </c>
      <c r="L2592" t="s">
        <v>11872</v>
      </c>
      <c r="M2592" t="s">
        <v>11873</v>
      </c>
      <c r="N2592" t="s">
        <v>11872</v>
      </c>
      <c r="T2592" t="s">
        <v>11874</v>
      </c>
      <c r="U2592" t="s">
        <v>11875</v>
      </c>
      <c r="V2592" t="s">
        <v>11873</v>
      </c>
      <c r="W2592" t="s">
        <v>49</v>
      </c>
      <c r="X2592" t="s">
        <v>11876</v>
      </c>
      <c r="Y2592">
        <v>1</v>
      </c>
      <c r="Z2592">
        <v>43</v>
      </c>
    </row>
    <row r="2593" spans="1:26">
      <c r="A2593" s="1">
        <v>2591</v>
      </c>
      <c r="B2593" t="str">
        <f>HYPERLINK("https://bugs.eclipse.org/bugs/show_bug.cgi?id=101980", "101980")</f>
        <v>101980</v>
      </c>
      <c r="C2593" t="s">
        <v>11877</v>
      </c>
      <c r="D2593" t="s">
        <v>10</v>
      </c>
      <c r="E2593" t="s">
        <v>15</v>
      </c>
      <c r="F2593" t="s">
        <v>26</v>
      </c>
      <c r="L2593" t="s">
        <v>11878</v>
      </c>
      <c r="N2593" t="s">
        <v>11879</v>
      </c>
      <c r="Q2593" t="s">
        <v>11878</v>
      </c>
      <c r="S2593" t="s">
        <v>11880</v>
      </c>
      <c r="T2593" t="s">
        <v>11881</v>
      </c>
      <c r="U2593" t="s">
        <v>11882</v>
      </c>
      <c r="V2593" t="s">
        <v>11878</v>
      </c>
      <c r="W2593" t="s">
        <v>851</v>
      </c>
      <c r="X2593" t="s">
        <v>11883</v>
      </c>
      <c r="Y2593">
        <v>0</v>
      </c>
      <c r="Z2593">
        <v>14</v>
      </c>
    </row>
    <row r="2594" spans="1:26">
      <c r="A2594" s="1">
        <v>2592</v>
      </c>
      <c r="B2594" t="str">
        <f>HYPERLINK("https://bugs.eclipse.org/bugs/show_bug.cgi?id=102018", "102018")</f>
        <v>102018</v>
      </c>
      <c r="C2594" t="s">
        <v>35</v>
      </c>
      <c r="D2594" t="s">
        <v>11</v>
      </c>
      <c r="E2594" t="s">
        <v>12</v>
      </c>
      <c r="F2594" t="s">
        <v>26</v>
      </c>
      <c r="G2594" t="s">
        <v>11884</v>
      </c>
      <c r="L2594" t="s">
        <v>11885</v>
      </c>
      <c r="M2594" t="s">
        <v>11886</v>
      </c>
      <c r="N2594" t="s">
        <v>11885</v>
      </c>
      <c r="T2594" t="s">
        <v>11887</v>
      </c>
      <c r="U2594" t="s">
        <v>11888</v>
      </c>
      <c r="V2594" t="s">
        <v>11886</v>
      </c>
      <c r="W2594" t="s">
        <v>1161</v>
      </c>
      <c r="X2594" t="s">
        <v>11889</v>
      </c>
      <c r="Y2594">
        <v>0</v>
      </c>
      <c r="Z2594">
        <v>66</v>
      </c>
    </row>
    <row r="2595" spans="1:26">
      <c r="A2595" s="1">
        <v>2593</v>
      </c>
      <c r="B2595" t="str">
        <f>HYPERLINK("https://bugs.eclipse.org/bugs/show_bug.cgi?id=102020", "102020")</f>
        <v>102020</v>
      </c>
      <c r="C2595" t="s">
        <v>35</v>
      </c>
      <c r="D2595" t="s">
        <v>11</v>
      </c>
      <c r="E2595" t="s">
        <v>12</v>
      </c>
      <c r="F2595" t="s">
        <v>26</v>
      </c>
      <c r="G2595" t="s">
        <v>11890</v>
      </c>
      <c r="L2595" t="s">
        <v>11891</v>
      </c>
      <c r="M2595" t="s">
        <v>11892</v>
      </c>
      <c r="N2595" t="s">
        <v>11891</v>
      </c>
      <c r="T2595" t="s">
        <v>11893</v>
      </c>
      <c r="U2595" t="s">
        <v>11894</v>
      </c>
      <c r="V2595" t="s">
        <v>11892</v>
      </c>
      <c r="W2595" t="s">
        <v>49</v>
      </c>
      <c r="X2595" t="s">
        <v>11895</v>
      </c>
      <c r="Y2595">
        <v>0</v>
      </c>
      <c r="Z2595">
        <v>1060</v>
      </c>
    </row>
    <row r="2596" spans="1:26">
      <c r="A2596" s="1">
        <v>2594</v>
      </c>
      <c r="B2596" t="str">
        <f>HYPERLINK("https://bugs.eclipse.org/bugs/show_bug.cgi?id=102039", "102039")</f>
        <v>102039</v>
      </c>
      <c r="C2596" t="s">
        <v>25</v>
      </c>
      <c r="D2596" t="s">
        <v>25</v>
      </c>
      <c r="F2596" t="s">
        <v>26</v>
      </c>
      <c r="T2596" t="s">
        <v>11896</v>
      </c>
      <c r="U2596" t="s">
        <v>11897</v>
      </c>
      <c r="V2596" t="s">
        <v>11898</v>
      </c>
      <c r="W2596" t="s">
        <v>65</v>
      </c>
      <c r="X2596" t="s">
        <v>11899</v>
      </c>
      <c r="Y2596">
        <v>1</v>
      </c>
    </row>
    <row r="2597" spans="1:26">
      <c r="A2597" s="1">
        <v>2595</v>
      </c>
      <c r="B2597" t="str">
        <f>HYPERLINK("https://bugs.eclipse.org/bugs/show_bug.cgi?id=102125", "102125")</f>
        <v>102125</v>
      </c>
      <c r="C2597" t="s">
        <v>191</v>
      </c>
      <c r="D2597" t="s">
        <v>192</v>
      </c>
      <c r="E2597" t="s">
        <v>14</v>
      </c>
      <c r="F2597" t="s">
        <v>26</v>
      </c>
      <c r="T2597" t="s">
        <v>11900</v>
      </c>
      <c r="U2597" t="s">
        <v>11901</v>
      </c>
      <c r="V2597" t="s">
        <v>11902</v>
      </c>
      <c r="W2597" t="s">
        <v>65</v>
      </c>
      <c r="X2597" t="s">
        <v>11903</v>
      </c>
      <c r="Y2597">
        <v>5</v>
      </c>
      <c r="Z2597">
        <v>5257.041666666667</v>
      </c>
    </row>
    <row r="2598" spans="1:26">
      <c r="A2598" s="1">
        <v>2596</v>
      </c>
      <c r="B2598" t="str">
        <f>HYPERLINK("https://bugs.eclipse.org/bugs/show_bug.cgi?id=102134", "102134")</f>
        <v>102134</v>
      </c>
      <c r="C2598" t="s">
        <v>5136</v>
      </c>
      <c r="D2598" t="s">
        <v>10</v>
      </c>
      <c r="E2598" t="s">
        <v>15</v>
      </c>
      <c r="F2598" t="s">
        <v>26</v>
      </c>
      <c r="L2598" t="s">
        <v>11904</v>
      </c>
      <c r="Q2598" t="s">
        <v>11904</v>
      </c>
      <c r="T2598" t="s">
        <v>11905</v>
      </c>
      <c r="U2598" t="s">
        <v>11906</v>
      </c>
      <c r="V2598" t="s">
        <v>11904</v>
      </c>
      <c r="W2598" t="s">
        <v>851</v>
      </c>
      <c r="X2598" t="s">
        <v>11907</v>
      </c>
      <c r="Y2598">
        <v>0</v>
      </c>
      <c r="Z2598">
        <v>265.04166666666669</v>
      </c>
    </row>
    <row r="2599" spans="1:26">
      <c r="A2599" s="1">
        <v>2597</v>
      </c>
      <c r="B2599" t="str">
        <f>HYPERLINK("https://bugs.eclipse.org/bugs/show_bug.cgi?id=102161", "102161")</f>
        <v>102161</v>
      </c>
      <c r="C2599" t="s">
        <v>56</v>
      </c>
      <c r="D2599" t="s">
        <v>10</v>
      </c>
      <c r="E2599" t="s">
        <v>14</v>
      </c>
      <c r="F2599" t="s">
        <v>26</v>
      </c>
      <c r="L2599" t="s">
        <v>11908</v>
      </c>
      <c r="P2599" t="s">
        <v>11908</v>
      </c>
      <c r="T2599" t="s">
        <v>11909</v>
      </c>
      <c r="U2599" t="s">
        <v>11908</v>
      </c>
      <c r="V2599" t="s">
        <v>11908</v>
      </c>
      <c r="W2599" t="s">
        <v>49</v>
      </c>
      <c r="X2599" t="s">
        <v>11910</v>
      </c>
      <c r="Y2599">
        <v>0</v>
      </c>
      <c r="Z2599">
        <v>0</v>
      </c>
    </row>
    <row r="2600" spans="1:26">
      <c r="A2600" s="1">
        <v>2598</v>
      </c>
      <c r="B2600" t="str">
        <f>HYPERLINK("https://bugs.eclipse.org/bugs/show_bug.cgi?id=102287", "102287")</f>
        <v>102287</v>
      </c>
      <c r="C2600" t="s">
        <v>149</v>
      </c>
      <c r="D2600" t="s">
        <v>10</v>
      </c>
      <c r="E2600" t="s">
        <v>12</v>
      </c>
      <c r="F2600" t="s">
        <v>26</v>
      </c>
      <c r="L2600" t="s">
        <v>11911</v>
      </c>
      <c r="N2600" t="s">
        <v>11911</v>
      </c>
      <c r="T2600" t="s">
        <v>11912</v>
      </c>
      <c r="U2600" t="s">
        <v>11913</v>
      </c>
      <c r="V2600" t="s">
        <v>11914</v>
      </c>
      <c r="W2600" t="s">
        <v>49</v>
      </c>
      <c r="X2600" t="s">
        <v>11915</v>
      </c>
      <c r="Y2600">
        <v>5</v>
      </c>
      <c r="Z2600">
        <v>706</v>
      </c>
    </row>
    <row r="2601" spans="1:26">
      <c r="A2601" s="1">
        <v>2599</v>
      </c>
      <c r="B2601" t="str">
        <f>HYPERLINK("https://bugs.eclipse.org/bugs/show_bug.cgi?id=102288", "102288")</f>
        <v>102288</v>
      </c>
      <c r="C2601" t="s">
        <v>149</v>
      </c>
      <c r="D2601" t="s">
        <v>10</v>
      </c>
      <c r="E2601" t="s">
        <v>12</v>
      </c>
      <c r="F2601" t="s">
        <v>26</v>
      </c>
      <c r="L2601" t="s">
        <v>11916</v>
      </c>
      <c r="N2601" t="s">
        <v>11916</v>
      </c>
      <c r="T2601" t="s">
        <v>11917</v>
      </c>
      <c r="U2601" t="s">
        <v>11918</v>
      </c>
      <c r="V2601" t="s">
        <v>11916</v>
      </c>
      <c r="W2601" t="s">
        <v>2668</v>
      </c>
      <c r="X2601" t="s">
        <v>11919</v>
      </c>
      <c r="Y2601">
        <v>0</v>
      </c>
      <c r="Z2601">
        <v>221.04166666666671</v>
      </c>
    </row>
    <row r="2602" spans="1:26">
      <c r="A2602" s="1">
        <v>2600</v>
      </c>
      <c r="B2602" t="str">
        <f>HYPERLINK("https://bugs.eclipse.org/bugs/show_bug.cgi?id=102483", "102483")</f>
        <v>102483</v>
      </c>
      <c r="C2602" t="s">
        <v>11920</v>
      </c>
      <c r="D2602" t="s">
        <v>10</v>
      </c>
      <c r="E2602" t="s">
        <v>15</v>
      </c>
      <c r="F2602" t="s">
        <v>26</v>
      </c>
      <c r="L2602" t="s">
        <v>11921</v>
      </c>
      <c r="Q2602" t="s">
        <v>11921</v>
      </c>
      <c r="T2602" t="s">
        <v>11922</v>
      </c>
      <c r="U2602" t="s">
        <v>11923</v>
      </c>
      <c r="V2602" t="s">
        <v>11921</v>
      </c>
      <c r="W2602" t="s">
        <v>86</v>
      </c>
      <c r="X2602" t="s">
        <v>11924</v>
      </c>
      <c r="Y2602">
        <v>0</v>
      </c>
      <c r="Z2602">
        <v>1</v>
      </c>
    </row>
    <row r="2603" spans="1:26">
      <c r="A2603" s="1">
        <v>2601</v>
      </c>
      <c r="B2603" t="str">
        <f>HYPERLINK("https://bugs.eclipse.org/bugs/show_bug.cgi?id=102534", "102534")</f>
        <v>102534</v>
      </c>
      <c r="C2603" t="s">
        <v>35</v>
      </c>
      <c r="D2603" t="s">
        <v>11</v>
      </c>
      <c r="E2603" t="s">
        <v>12</v>
      </c>
      <c r="F2603" t="s">
        <v>26</v>
      </c>
      <c r="L2603" t="s">
        <v>11925</v>
      </c>
      <c r="M2603" t="s">
        <v>11926</v>
      </c>
      <c r="N2603" t="s">
        <v>11925</v>
      </c>
      <c r="T2603" t="s">
        <v>11927</v>
      </c>
      <c r="U2603" t="s">
        <v>11928</v>
      </c>
      <c r="V2603" t="s">
        <v>11926</v>
      </c>
      <c r="W2603" t="s">
        <v>49</v>
      </c>
      <c r="X2603" t="s">
        <v>11929</v>
      </c>
      <c r="Y2603">
        <v>1</v>
      </c>
      <c r="Z2603">
        <v>39</v>
      </c>
    </row>
    <row r="2604" spans="1:26">
      <c r="A2604" s="1">
        <v>2602</v>
      </c>
      <c r="B2604" t="str">
        <f>HYPERLINK("https://bugs.eclipse.org/bugs/show_bug.cgi?id=102580", "102580")</f>
        <v>102580</v>
      </c>
      <c r="C2604" t="s">
        <v>140</v>
      </c>
      <c r="D2604" t="s">
        <v>10</v>
      </c>
      <c r="E2604" t="s">
        <v>16</v>
      </c>
      <c r="F2604" t="s">
        <v>26</v>
      </c>
      <c r="L2604" t="s">
        <v>11930</v>
      </c>
      <c r="R2604" t="s">
        <v>11930</v>
      </c>
      <c r="T2604" t="s">
        <v>11931</v>
      </c>
      <c r="U2604" t="s">
        <v>11932</v>
      </c>
      <c r="V2604" t="s">
        <v>11930</v>
      </c>
      <c r="W2604" t="s">
        <v>851</v>
      </c>
      <c r="X2604" t="s">
        <v>11933</v>
      </c>
      <c r="Y2604">
        <v>0</v>
      </c>
      <c r="Z2604">
        <v>1</v>
      </c>
    </row>
    <row r="2605" spans="1:26">
      <c r="A2605" s="1">
        <v>2603</v>
      </c>
      <c r="B2605" t="str">
        <f>HYPERLINK("https://bugs.eclipse.org/bugs/show_bug.cgi?id=102632", "102632")</f>
        <v>102632</v>
      </c>
      <c r="C2605" t="s">
        <v>149</v>
      </c>
      <c r="D2605" t="s">
        <v>10</v>
      </c>
      <c r="E2605" t="s">
        <v>12</v>
      </c>
      <c r="F2605" t="s">
        <v>26</v>
      </c>
      <c r="G2605" t="s">
        <v>11934</v>
      </c>
      <c r="L2605" t="s">
        <v>11935</v>
      </c>
      <c r="N2605" t="s">
        <v>11935</v>
      </c>
      <c r="T2605" t="s">
        <v>11936</v>
      </c>
      <c r="U2605" t="s">
        <v>11937</v>
      </c>
      <c r="V2605" t="s">
        <v>11938</v>
      </c>
      <c r="W2605" t="s">
        <v>11939</v>
      </c>
      <c r="X2605" t="s">
        <v>11940</v>
      </c>
      <c r="Y2605">
        <v>0</v>
      </c>
      <c r="Z2605">
        <v>5536</v>
      </c>
    </row>
    <row r="2606" spans="1:26">
      <c r="A2606" s="1">
        <v>2604</v>
      </c>
      <c r="B2606" t="str">
        <f>HYPERLINK("https://bugs.eclipse.org/bugs/show_bug.cgi?id=102724", "102724")</f>
        <v>102724</v>
      </c>
      <c r="C2606" t="s">
        <v>149</v>
      </c>
      <c r="D2606" t="s">
        <v>10</v>
      </c>
      <c r="E2606" t="s">
        <v>12</v>
      </c>
      <c r="F2606" t="s">
        <v>26</v>
      </c>
      <c r="L2606" t="s">
        <v>11941</v>
      </c>
      <c r="N2606" t="s">
        <v>11941</v>
      </c>
      <c r="T2606" t="s">
        <v>11942</v>
      </c>
      <c r="U2606" t="s">
        <v>11943</v>
      </c>
      <c r="V2606" t="s">
        <v>11941</v>
      </c>
      <c r="W2606" t="s">
        <v>86</v>
      </c>
      <c r="X2606" t="s">
        <v>11944</v>
      </c>
      <c r="Y2606">
        <v>0</v>
      </c>
      <c r="Z2606">
        <v>9</v>
      </c>
    </row>
    <row r="2607" spans="1:26">
      <c r="A2607" s="1">
        <v>2605</v>
      </c>
      <c r="B2607" t="str">
        <f>HYPERLINK("https://bugs.eclipse.org/bugs/show_bug.cgi?id=102872", "102872")</f>
        <v>102872</v>
      </c>
      <c r="C2607" t="s">
        <v>191</v>
      </c>
      <c r="D2607" t="s">
        <v>192</v>
      </c>
      <c r="E2607" t="s">
        <v>14</v>
      </c>
      <c r="F2607" t="s">
        <v>26</v>
      </c>
      <c r="G2607" t="s">
        <v>11945</v>
      </c>
      <c r="T2607" t="s">
        <v>11946</v>
      </c>
      <c r="U2607" t="s">
        <v>11947</v>
      </c>
      <c r="V2607" t="s">
        <v>11948</v>
      </c>
      <c r="W2607" t="s">
        <v>65</v>
      </c>
      <c r="X2607" t="s">
        <v>11949</v>
      </c>
      <c r="Y2607">
        <v>8</v>
      </c>
      <c r="Z2607">
        <v>5265.041666666667</v>
      </c>
    </row>
    <row r="2608" spans="1:26">
      <c r="A2608" s="1">
        <v>2606</v>
      </c>
      <c r="B2608" t="str">
        <f>HYPERLINK("https://bugs.eclipse.org/bugs/show_bug.cgi?id=102907", "102907")</f>
        <v>102907</v>
      </c>
      <c r="C2608" t="s">
        <v>35</v>
      </c>
      <c r="D2608" t="s">
        <v>11</v>
      </c>
      <c r="E2608" t="s">
        <v>12</v>
      </c>
      <c r="F2608" t="s">
        <v>26</v>
      </c>
      <c r="L2608" t="s">
        <v>11950</v>
      </c>
      <c r="M2608" t="s">
        <v>11951</v>
      </c>
      <c r="N2608" t="s">
        <v>11950</v>
      </c>
      <c r="T2608" t="s">
        <v>11952</v>
      </c>
      <c r="U2608" t="s">
        <v>11953</v>
      </c>
      <c r="V2608" t="s">
        <v>11951</v>
      </c>
      <c r="W2608" t="s">
        <v>40</v>
      </c>
      <c r="X2608" t="s">
        <v>11954</v>
      </c>
      <c r="Y2608">
        <v>8</v>
      </c>
      <c r="Z2608">
        <v>77</v>
      </c>
    </row>
    <row r="2609" spans="1:26">
      <c r="A2609" s="1">
        <v>2607</v>
      </c>
      <c r="B2609" t="str">
        <f>HYPERLINK("https://bugs.eclipse.org/bugs/show_bug.cgi?id=102995", "102995")</f>
        <v>102995</v>
      </c>
      <c r="C2609" t="s">
        <v>56</v>
      </c>
      <c r="D2609" t="s">
        <v>10</v>
      </c>
      <c r="E2609" t="s">
        <v>14</v>
      </c>
      <c r="F2609" t="s">
        <v>51</v>
      </c>
      <c r="L2609" t="s">
        <v>11955</v>
      </c>
      <c r="P2609" t="s">
        <v>11956</v>
      </c>
      <c r="T2609" t="s">
        <v>11957</v>
      </c>
      <c r="U2609" t="s">
        <v>11958</v>
      </c>
      <c r="V2609" t="s">
        <v>11956</v>
      </c>
      <c r="W2609" t="s">
        <v>75</v>
      </c>
      <c r="X2609" t="s">
        <v>11959</v>
      </c>
      <c r="Y2609">
        <v>0</v>
      </c>
      <c r="Z2609">
        <v>1515</v>
      </c>
    </row>
    <row r="2610" spans="1:26">
      <c r="A2610" s="1">
        <v>2608</v>
      </c>
      <c r="B2610" t="str">
        <f>HYPERLINK("https://bugs.eclipse.org/bugs/show_bug.cgi?id=103044", "103044")</f>
        <v>103044</v>
      </c>
      <c r="C2610" t="s">
        <v>149</v>
      </c>
      <c r="D2610" t="s">
        <v>10</v>
      </c>
      <c r="E2610" t="s">
        <v>12</v>
      </c>
      <c r="F2610" t="s">
        <v>26</v>
      </c>
      <c r="L2610" t="s">
        <v>11960</v>
      </c>
      <c r="N2610" t="s">
        <v>11960</v>
      </c>
      <c r="T2610" t="s">
        <v>11961</v>
      </c>
      <c r="U2610" t="s">
        <v>11962</v>
      </c>
      <c r="V2610" t="s">
        <v>11960</v>
      </c>
      <c r="W2610" t="s">
        <v>49</v>
      </c>
      <c r="X2610" t="s">
        <v>11963</v>
      </c>
      <c r="Y2610">
        <v>43</v>
      </c>
      <c r="Z2610">
        <v>154.04166666666671</v>
      </c>
    </row>
    <row r="2611" spans="1:26">
      <c r="A2611" s="1">
        <v>2609</v>
      </c>
      <c r="B2611" t="str">
        <f>HYPERLINK("https://bugs.eclipse.org/bugs/show_bug.cgi?id=103287", "103287")</f>
        <v>103287</v>
      </c>
      <c r="C2611" t="s">
        <v>140</v>
      </c>
      <c r="D2611" t="s">
        <v>10</v>
      </c>
      <c r="E2611" t="s">
        <v>16</v>
      </c>
      <c r="F2611" t="s">
        <v>26</v>
      </c>
      <c r="L2611" t="s">
        <v>11964</v>
      </c>
      <c r="R2611" t="s">
        <v>11964</v>
      </c>
      <c r="T2611" t="s">
        <v>11965</v>
      </c>
      <c r="U2611" t="s">
        <v>11966</v>
      </c>
      <c r="V2611" t="s">
        <v>11967</v>
      </c>
      <c r="W2611" t="s">
        <v>143</v>
      </c>
      <c r="X2611" t="s">
        <v>11968</v>
      </c>
      <c r="Y2611">
        <v>0</v>
      </c>
      <c r="Z2611">
        <v>4939.041666666667</v>
      </c>
    </row>
    <row r="2612" spans="1:26">
      <c r="A2612" s="1">
        <v>2610</v>
      </c>
      <c r="B2612" t="str">
        <f>HYPERLINK("https://bugs.eclipse.org/bugs/show_bug.cgi?id=103340", "103340")</f>
        <v>103340</v>
      </c>
      <c r="C2612" t="s">
        <v>11969</v>
      </c>
      <c r="D2612" t="s">
        <v>10</v>
      </c>
      <c r="E2612" t="s">
        <v>15</v>
      </c>
      <c r="F2612" t="s">
        <v>26</v>
      </c>
      <c r="L2612" t="s">
        <v>11970</v>
      </c>
      <c r="Q2612" t="s">
        <v>11970</v>
      </c>
      <c r="T2612" t="s">
        <v>11971</v>
      </c>
      <c r="U2612" t="s">
        <v>11972</v>
      </c>
      <c r="V2612" t="s">
        <v>11970</v>
      </c>
      <c r="W2612" t="s">
        <v>49</v>
      </c>
      <c r="X2612" t="s">
        <v>11973</v>
      </c>
      <c r="Y2612">
        <v>0</v>
      </c>
      <c r="Z2612">
        <v>1</v>
      </c>
    </row>
    <row r="2613" spans="1:26">
      <c r="A2613" s="1">
        <v>2611</v>
      </c>
      <c r="B2613" t="str">
        <f>HYPERLINK("https://bugs.eclipse.org/bugs/show_bug.cgi?id=103377", "103377")</f>
        <v>103377</v>
      </c>
      <c r="C2613" t="s">
        <v>35</v>
      </c>
      <c r="D2613" t="s">
        <v>11</v>
      </c>
      <c r="E2613" t="s">
        <v>12</v>
      </c>
      <c r="F2613" t="s">
        <v>26</v>
      </c>
      <c r="G2613" t="s">
        <v>11974</v>
      </c>
      <c r="L2613" t="s">
        <v>11975</v>
      </c>
      <c r="M2613" t="s">
        <v>11976</v>
      </c>
      <c r="N2613" t="s">
        <v>11975</v>
      </c>
      <c r="T2613" t="s">
        <v>11977</v>
      </c>
      <c r="U2613" t="s">
        <v>11978</v>
      </c>
      <c r="V2613" t="s">
        <v>11976</v>
      </c>
      <c r="W2613" t="s">
        <v>86</v>
      </c>
      <c r="X2613" t="s">
        <v>11979</v>
      </c>
      <c r="Y2613">
        <v>0</v>
      </c>
      <c r="Z2613">
        <v>53</v>
      </c>
    </row>
    <row r="2614" spans="1:26">
      <c r="A2614" s="1">
        <v>2612</v>
      </c>
      <c r="B2614" t="str">
        <f>HYPERLINK("https://bugs.eclipse.org/bugs/show_bug.cgi?id=103667", "103667")</f>
        <v>103667</v>
      </c>
      <c r="C2614" t="s">
        <v>25</v>
      </c>
      <c r="D2614" t="s">
        <v>25</v>
      </c>
      <c r="F2614" t="s">
        <v>26</v>
      </c>
      <c r="T2614" t="s">
        <v>11980</v>
      </c>
      <c r="U2614" t="s">
        <v>11981</v>
      </c>
      <c r="V2614" t="s">
        <v>11982</v>
      </c>
      <c r="W2614" t="s">
        <v>11983</v>
      </c>
      <c r="X2614" t="s">
        <v>11984</v>
      </c>
      <c r="Y2614">
        <v>0</v>
      </c>
    </row>
    <row r="2615" spans="1:26">
      <c r="A2615" s="1">
        <v>2613</v>
      </c>
      <c r="B2615" t="str">
        <f>HYPERLINK("https://bugs.eclipse.org/bugs/show_bug.cgi?id=103695", "103695")</f>
        <v>103695</v>
      </c>
      <c r="C2615" t="s">
        <v>88</v>
      </c>
      <c r="D2615" t="s">
        <v>10</v>
      </c>
      <c r="E2615" t="s">
        <v>13</v>
      </c>
      <c r="F2615" t="s">
        <v>26</v>
      </c>
      <c r="L2615" t="s">
        <v>11985</v>
      </c>
      <c r="O2615" t="s">
        <v>11985</v>
      </c>
      <c r="T2615" t="s">
        <v>11986</v>
      </c>
      <c r="U2615" t="s">
        <v>11987</v>
      </c>
      <c r="V2615" t="s">
        <v>11985</v>
      </c>
      <c r="W2615" t="s">
        <v>2777</v>
      </c>
      <c r="X2615" t="s">
        <v>11988</v>
      </c>
      <c r="Y2615">
        <v>0</v>
      </c>
      <c r="Z2615">
        <v>1769</v>
      </c>
    </row>
    <row r="2616" spans="1:26">
      <c r="A2616" s="1">
        <v>2614</v>
      </c>
      <c r="B2616" t="str">
        <f>HYPERLINK("https://bugs.eclipse.org/bugs/show_bug.cgi?id=103774", "103774")</f>
        <v>103774</v>
      </c>
      <c r="C2616" t="s">
        <v>56</v>
      </c>
      <c r="D2616" t="s">
        <v>10</v>
      </c>
      <c r="E2616" t="s">
        <v>14</v>
      </c>
      <c r="F2616" t="s">
        <v>26</v>
      </c>
      <c r="L2616" t="s">
        <v>11989</v>
      </c>
      <c r="P2616" t="s">
        <v>11990</v>
      </c>
      <c r="T2616" t="s">
        <v>11991</v>
      </c>
      <c r="U2616" t="s">
        <v>11992</v>
      </c>
      <c r="V2616" t="s">
        <v>11990</v>
      </c>
      <c r="W2616" t="s">
        <v>80</v>
      </c>
      <c r="X2616" t="s">
        <v>11993</v>
      </c>
      <c r="Y2616">
        <v>0</v>
      </c>
      <c r="Z2616">
        <v>1508</v>
      </c>
    </row>
    <row r="2617" spans="1:26">
      <c r="A2617" s="1">
        <v>2615</v>
      </c>
      <c r="B2617" t="str">
        <f>HYPERLINK("https://bugs.eclipse.org/bugs/show_bug.cgi?id=103797", "103797")</f>
        <v>103797</v>
      </c>
      <c r="C2617" t="s">
        <v>25</v>
      </c>
      <c r="D2617" t="s">
        <v>25</v>
      </c>
      <c r="F2617" t="s">
        <v>51</v>
      </c>
      <c r="T2617" t="s">
        <v>11994</v>
      </c>
      <c r="U2617" t="s">
        <v>11995</v>
      </c>
      <c r="V2617" t="s">
        <v>11996</v>
      </c>
      <c r="W2617" t="s">
        <v>143</v>
      </c>
      <c r="X2617" t="s">
        <v>11997</v>
      </c>
      <c r="Y2617">
        <v>4</v>
      </c>
    </row>
    <row r="2618" spans="1:26">
      <c r="A2618" s="1">
        <v>2616</v>
      </c>
      <c r="B2618" t="str">
        <f>HYPERLINK("https://bugs.eclipse.org/bugs/show_bug.cgi?id=103812", "103812")</f>
        <v>103812</v>
      </c>
      <c r="C2618" t="s">
        <v>140</v>
      </c>
      <c r="D2618" t="s">
        <v>10</v>
      </c>
      <c r="E2618" t="s">
        <v>16</v>
      </c>
      <c r="F2618" t="s">
        <v>26</v>
      </c>
      <c r="L2618" t="s">
        <v>11998</v>
      </c>
      <c r="R2618" t="s">
        <v>11998</v>
      </c>
      <c r="T2618" t="s">
        <v>11999</v>
      </c>
      <c r="U2618" t="s">
        <v>12000</v>
      </c>
      <c r="V2618" t="s">
        <v>11998</v>
      </c>
      <c r="W2618" t="s">
        <v>2668</v>
      </c>
      <c r="X2618" t="s">
        <v>12001</v>
      </c>
      <c r="Y2618">
        <v>0</v>
      </c>
      <c r="Z2618">
        <v>32</v>
      </c>
    </row>
    <row r="2619" spans="1:26">
      <c r="A2619" s="1">
        <v>2617</v>
      </c>
      <c r="B2619" t="str">
        <f>HYPERLINK("https://bugs.eclipse.org/bugs/show_bug.cgi?id=103846", "103846")</f>
        <v>103846</v>
      </c>
      <c r="C2619" t="s">
        <v>191</v>
      </c>
      <c r="D2619" t="s">
        <v>192</v>
      </c>
      <c r="E2619" t="s">
        <v>14</v>
      </c>
      <c r="F2619" t="s">
        <v>26</v>
      </c>
      <c r="T2619" t="s">
        <v>12002</v>
      </c>
      <c r="U2619" t="s">
        <v>12003</v>
      </c>
      <c r="V2619" t="s">
        <v>12004</v>
      </c>
      <c r="W2619" t="s">
        <v>65</v>
      </c>
      <c r="X2619" t="s">
        <v>12005</v>
      </c>
      <c r="Y2619">
        <v>5</v>
      </c>
      <c r="Z2619">
        <v>5138</v>
      </c>
    </row>
    <row r="2620" spans="1:26">
      <c r="A2620" s="1">
        <v>2618</v>
      </c>
      <c r="B2620" t="str">
        <f>HYPERLINK("https://bugs.eclipse.org/bugs/show_bug.cgi?id=103970", "103970")</f>
        <v>103970</v>
      </c>
      <c r="C2620" t="s">
        <v>35</v>
      </c>
      <c r="D2620" t="s">
        <v>11</v>
      </c>
      <c r="E2620" t="s">
        <v>12</v>
      </c>
      <c r="F2620" t="s">
        <v>26</v>
      </c>
      <c r="G2620" t="s">
        <v>12006</v>
      </c>
      <c r="L2620" t="s">
        <v>12007</v>
      </c>
      <c r="M2620" t="s">
        <v>12008</v>
      </c>
      <c r="N2620" t="s">
        <v>12007</v>
      </c>
      <c r="T2620" t="s">
        <v>12009</v>
      </c>
      <c r="U2620" t="s">
        <v>12010</v>
      </c>
      <c r="V2620" t="s">
        <v>12008</v>
      </c>
      <c r="W2620" t="s">
        <v>49</v>
      </c>
      <c r="X2620" t="s">
        <v>12011</v>
      </c>
      <c r="Y2620">
        <v>11</v>
      </c>
      <c r="Z2620">
        <v>67</v>
      </c>
    </row>
    <row r="2621" spans="1:26">
      <c r="A2621" s="1">
        <v>2619</v>
      </c>
      <c r="B2621" t="str">
        <f>HYPERLINK("https://bugs.eclipse.org/bugs/show_bug.cgi?id=103996", "103996")</f>
        <v>103996</v>
      </c>
      <c r="C2621" t="s">
        <v>149</v>
      </c>
      <c r="D2621" t="s">
        <v>10</v>
      </c>
      <c r="E2621" t="s">
        <v>12</v>
      </c>
      <c r="F2621" t="s">
        <v>26</v>
      </c>
      <c r="L2621" t="s">
        <v>12012</v>
      </c>
      <c r="N2621" t="s">
        <v>12012</v>
      </c>
      <c r="T2621" t="s">
        <v>12013</v>
      </c>
      <c r="U2621" t="s">
        <v>12014</v>
      </c>
      <c r="V2621" t="s">
        <v>12012</v>
      </c>
      <c r="W2621" t="s">
        <v>851</v>
      </c>
      <c r="X2621" t="s">
        <v>12015</v>
      </c>
      <c r="Y2621">
        <v>0</v>
      </c>
      <c r="Z2621">
        <v>231.04166666666671</v>
      </c>
    </row>
    <row r="2622" spans="1:26">
      <c r="A2622" s="1">
        <v>2620</v>
      </c>
      <c r="B2622" t="str">
        <f>HYPERLINK("https://bugs.eclipse.org/bugs/show_bug.cgi?id=104007", "104007")</f>
        <v>104007</v>
      </c>
      <c r="C2622" t="s">
        <v>191</v>
      </c>
      <c r="D2622" t="s">
        <v>192</v>
      </c>
      <c r="E2622" t="s">
        <v>14</v>
      </c>
      <c r="F2622" t="s">
        <v>26</v>
      </c>
      <c r="T2622" t="s">
        <v>12016</v>
      </c>
      <c r="U2622" t="s">
        <v>12017</v>
      </c>
      <c r="V2622" t="s">
        <v>12018</v>
      </c>
      <c r="W2622" t="s">
        <v>65</v>
      </c>
      <c r="X2622" t="s">
        <v>12019</v>
      </c>
      <c r="Y2622">
        <v>3</v>
      </c>
      <c r="Z2622">
        <v>5252.041666666667</v>
      </c>
    </row>
    <row r="2623" spans="1:26">
      <c r="A2623" s="1">
        <v>2621</v>
      </c>
      <c r="B2623" t="str">
        <f>HYPERLINK("https://bugs.eclipse.org/bugs/show_bug.cgi?id=104027", "104027")</f>
        <v>104027</v>
      </c>
      <c r="C2623" t="s">
        <v>191</v>
      </c>
      <c r="D2623" t="s">
        <v>192</v>
      </c>
      <c r="E2623" t="s">
        <v>14</v>
      </c>
      <c r="F2623" t="s">
        <v>26</v>
      </c>
      <c r="T2623" t="s">
        <v>12020</v>
      </c>
      <c r="U2623" t="s">
        <v>12021</v>
      </c>
      <c r="V2623" t="s">
        <v>12022</v>
      </c>
      <c r="W2623" t="s">
        <v>65</v>
      </c>
      <c r="X2623" t="s">
        <v>12023</v>
      </c>
      <c r="Y2623">
        <v>0</v>
      </c>
      <c r="Z2623">
        <v>5221</v>
      </c>
    </row>
    <row r="2624" spans="1:26">
      <c r="A2624" s="1">
        <v>2622</v>
      </c>
      <c r="B2624" t="str">
        <f>HYPERLINK("https://bugs.eclipse.org/bugs/show_bug.cgi?id=104030", "104030")</f>
        <v>104030</v>
      </c>
      <c r="C2624" t="s">
        <v>35</v>
      </c>
      <c r="D2624" t="s">
        <v>11</v>
      </c>
      <c r="E2624" t="s">
        <v>12</v>
      </c>
      <c r="F2624" t="s">
        <v>26</v>
      </c>
      <c r="L2624" t="s">
        <v>12024</v>
      </c>
      <c r="M2624" t="s">
        <v>12025</v>
      </c>
      <c r="N2624" t="s">
        <v>12024</v>
      </c>
      <c r="T2624" t="s">
        <v>12026</v>
      </c>
      <c r="U2624" t="s">
        <v>12027</v>
      </c>
      <c r="V2624" t="s">
        <v>12025</v>
      </c>
      <c r="W2624" t="s">
        <v>143</v>
      </c>
      <c r="X2624" t="s">
        <v>12028</v>
      </c>
      <c r="Y2624">
        <v>0</v>
      </c>
      <c r="Z2624">
        <v>49</v>
      </c>
    </row>
    <row r="2625" spans="1:26">
      <c r="A2625" s="1">
        <v>2623</v>
      </c>
      <c r="B2625" t="str">
        <f>HYPERLINK("https://bugs.eclipse.org/bugs/show_bug.cgi?id=104038", "104038")</f>
        <v>104038</v>
      </c>
      <c r="C2625" t="s">
        <v>191</v>
      </c>
      <c r="D2625" t="s">
        <v>192</v>
      </c>
      <c r="E2625" t="s">
        <v>14</v>
      </c>
      <c r="F2625" t="s">
        <v>26</v>
      </c>
      <c r="P2625" t="s">
        <v>12029</v>
      </c>
      <c r="T2625" t="s">
        <v>12030</v>
      </c>
      <c r="U2625" t="s">
        <v>12031</v>
      </c>
      <c r="V2625" t="s">
        <v>12029</v>
      </c>
      <c r="W2625" t="s">
        <v>65</v>
      </c>
      <c r="X2625" t="s">
        <v>12032</v>
      </c>
      <c r="Y2625">
        <v>3</v>
      </c>
      <c r="Z2625">
        <v>5322.041666666667</v>
      </c>
    </row>
    <row r="2626" spans="1:26">
      <c r="A2626" s="1">
        <v>2624</v>
      </c>
      <c r="B2626" t="str">
        <f>HYPERLINK("https://bugs.eclipse.org/bugs/show_bug.cgi?id=104388", "104388")</f>
        <v>104388</v>
      </c>
      <c r="C2626" t="s">
        <v>140</v>
      </c>
      <c r="D2626" t="s">
        <v>10</v>
      </c>
      <c r="E2626" t="s">
        <v>16</v>
      </c>
      <c r="F2626" t="s">
        <v>26</v>
      </c>
      <c r="L2626" t="s">
        <v>12033</v>
      </c>
      <c r="R2626" t="s">
        <v>12033</v>
      </c>
      <c r="T2626" t="s">
        <v>12034</v>
      </c>
      <c r="U2626" t="s">
        <v>12035</v>
      </c>
      <c r="V2626" t="s">
        <v>12033</v>
      </c>
      <c r="W2626" t="s">
        <v>143</v>
      </c>
      <c r="X2626" t="s">
        <v>12036</v>
      </c>
      <c r="Y2626">
        <v>1</v>
      </c>
      <c r="Z2626">
        <v>2408.041666666667</v>
      </c>
    </row>
    <row r="2627" spans="1:26">
      <c r="A2627" s="1">
        <v>2625</v>
      </c>
      <c r="B2627" t="str">
        <f>HYPERLINK("https://bugs.eclipse.org/bugs/show_bug.cgi?id=104828", "104828")</f>
        <v>104828</v>
      </c>
      <c r="C2627" t="s">
        <v>12037</v>
      </c>
      <c r="D2627" t="s">
        <v>10</v>
      </c>
      <c r="E2627" t="s">
        <v>15</v>
      </c>
      <c r="F2627" t="s">
        <v>26</v>
      </c>
      <c r="L2627" t="s">
        <v>12038</v>
      </c>
      <c r="Q2627" t="s">
        <v>12038</v>
      </c>
      <c r="T2627" t="s">
        <v>12039</v>
      </c>
      <c r="U2627" t="s">
        <v>12040</v>
      </c>
      <c r="V2627" t="s">
        <v>12038</v>
      </c>
      <c r="W2627" t="s">
        <v>851</v>
      </c>
      <c r="X2627" t="s">
        <v>12041</v>
      </c>
      <c r="Y2627">
        <v>0</v>
      </c>
      <c r="Z2627">
        <v>0</v>
      </c>
    </row>
    <row r="2628" spans="1:26">
      <c r="A2628" s="1">
        <v>2626</v>
      </c>
      <c r="B2628" t="str">
        <f>HYPERLINK("https://bugs.eclipse.org/bugs/show_bug.cgi?id=105168", "105168")</f>
        <v>105168</v>
      </c>
      <c r="C2628" t="s">
        <v>56</v>
      </c>
      <c r="D2628" t="s">
        <v>10</v>
      </c>
      <c r="E2628" t="s">
        <v>14</v>
      </c>
      <c r="F2628" t="s">
        <v>26</v>
      </c>
      <c r="L2628" t="s">
        <v>12042</v>
      </c>
      <c r="P2628" t="s">
        <v>12042</v>
      </c>
      <c r="T2628" t="s">
        <v>12043</v>
      </c>
      <c r="U2628" t="s">
        <v>12044</v>
      </c>
      <c r="V2628" t="s">
        <v>12042</v>
      </c>
      <c r="W2628" t="s">
        <v>86</v>
      </c>
      <c r="X2628" t="s">
        <v>12045</v>
      </c>
      <c r="Y2628">
        <v>0</v>
      </c>
      <c r="Z2628">
        <v>249.04166666666671</v>
      </c>
    </row>
    <row r="2629" spans="1:26">
      <c r="A2629" s="1">
        <v>2627</v>
      </c>
      <c r="B2629" t="str">
        <f>HYPERLINK("https://bugs.eclipse.org/bugs/show_bug.cgi?id=105254", "105254")</f>
        <v>105254</v>
      </c>
      <c r="C2629" t="s">
        <v>35</v>
      </c>
      <c r="D2629" t="s">
        <v>11</v>
      </c>
      <c r="E2629" t="s">
        <v>12</v>
      </c>
      <c r="F2629" t="s">
        <v>26</v>
      </c>
      <c r="H2629" t="s">
        <v>12046</v>
      </c>
      <c r="L2629" t="s">
        <v>12047</v>
      </c>
      <c r="M2629" t="s">
        <v>12048</v>
      </c>
      <c r="N2629" t="s">
        <v>12047</v>
      </c>
      <c r="T2629" t="s">
        <v>12049</v>
      </c>
      <c r="U2629" t="s">
        <v>12050</v>
      </c>
      <c r="V2629" t="s">
        <v>12048</v>
      </c>
      <c r="W2629" t="s">
        <v>851</v>
      </c>
      <c r="X2629" t="s">
        <v>12051</v>
      </c>
      <c r="Y2629">
        <v>0</v>
      </c>
      <c r="Z2629">
        <v>14</v>
      </c>
    </row>
    <row r="2630" spans="1:26">
      <c r="A2630" s="1">
        <v>2628</v>
      </c>
      <c r="B2630" t="str">
        <f>HYPERLINK("https://bugs.eclipse.org/bugs/show_bug.cgi?id=105324", "105324")</f>
        <v>105324</v>
      </c>
      <c r="C2630" t="s">
        <v>25</v>
      </c>
      <c r="D2630" t="s">
        <v>25</v>
      </c>
      <c r="F2630" t="s">
        <v>51</v>
      </c>
      <c r="T2630" t="s">
        <v>12052</v>
      </c>
      <c r="U2630" t="s">
        <v>12053</v>
      </c>
      <c r="V2630" t="s">
        <v>12054</v>
      </c>
      <c r="W2630" t="s">
        <v>143</v>
      </c>
      <c r="X2630" t="s">
        <v>12055</v>
      </c>
      <c r="Y2630">
        <v>0</v>
      </c>
    </row>
    <row r="2631" spans="1:26">
      <c r="A2631" s="1">
        <v>2629</v>
      </c>
      <c r="B2631" t="str">
        <f>HYPERLINK("https://bugs.eclipse.org/bugs/show_bug.cgi?id=105333", "105333")</f>
        <v>105333</v>
      </c>
      <c r="C2631" t="s">
        <v>191</v>
      </c>
      <c r="D2631" t="s">
        <v>192</v>
      </c>
      <c r="E2631" t="s">
        <v>14</v>
      </c>
      <c r="F2631" t="s">
        <v>26</v>
      </c>
      <c r="T2631" t="s">
        <v>12056</v>
      </c>
      <c r="U2631" t="s">
        <v>12057</v>
      </c>
      <c r="V2631" t="s">
        <v>12058</v>
      </c>
      <c r="W2631" t="s">
        <v>65</v>
      </c>
      <c r="X2631" t="s">
        <v>12059</v>
      </c>
      <c r="Y2631">
        <v>6</v>
      </c>
      <c r="Z2631">
        <v>5178</v>
      </c>
    </row>
    <row r="2632" spans="1:26">
      <c r="A2632" s="1">
        <v>2630</v>
      </c>
      <c r="B2632" t="str">
        <f>HYPERLINK("https://bugs.eclipse.org/bugs/show_bug.cgi?id=105584", "105584")</f>
        <v>105584</v>
      </c>
      <c r="C2632" t="s">
        <v>4692</v>
      </c>
      <c r="D2632" t="s">
        <v>4692</v>
      </c>
      <c r="F2632" t="s">
        <v>26</v>
      </c>
      <c r="G2632" t="s">
        <v>12060</v>
      </c>
      <c r="T2632" t="s">
        <v>12061</v>
      </c>
      <c r="U2632" t="s">
        <v>12062</v>
      </c>
      <c r="V2632" t="s">
        <v>12063</v>
      </c>
      <c r="W2632" t="s">
        <v>65</v>
      </c>
      <c r="X2632" t="s">
        <v>12064</v>
      </c>
      <c r="Y2632">
        <v>1</v>
      </c>
    </row>
    <row r="2633" spans="1:26">
      <c r="A2633" s="1">
        <v>2631</v>
      </c>
      <c r="B2633" t="str">
        <f>HYPERLINK("https://bugs.eclipse.org/bugs/show_bug.cgi?id=105609", "105609")</f>
        <v>105609</v>
      </c>
      <c r="C2633" t="s">
        <v>149</v>
      </c>
      <c r="D2633" t="s">
        <v>10</v>
      </c>
      <c r="E2633" t="s">
        <v>12</v>
      </c>
      <c r="F2633" t="s">
        <v>26</v>
      </c>
      <c r="G2633" t="s">
        <v>12065</v>
      </c>
      <c r="H2633" t="s">
        <v>12066</v>
      </c>
      <c r="L2633" t="s">
        <v>12067</v>
      </c>
      <c r="N2633" t="s">
        <v>12067</v>
      </c>
      <c r="T2633" t="s">
        <v>12068</v>
      </c>
      <c r="U2633" t="s">
        <v>12069</v>
      </c>
      <c r="V2633" t="s">
        <v>12070</v>
      </c>
      <c r="W2633" t="s">
        <v>49</v>
      </c>
      <c r="X2633" t="s">
        <v>12071</v>
      </c>
      <c r="Y2633">
        <v>1</v>
      </c>
      <c r="Z2633">
        <v>570.04166666666663</v>
      </c>
    </row>
    <row r="2634" spans="1:26">
      <c r="A2634" s="1">
        <v>2632</v>
      </c>
      <c r="B2634" t="str">
        <f>HYPERLINK("https://bugs.eclipse.org/bugs/show_bug.cgi?id=105654", "105654")</f>
        <v>105654</v>
      </c>
      <c r="C2634" t="s">
        <v>149</v>
      </c>
      <c r="D2634" t="s">
        <v>10</v>
      </c>
      <c r="E2634" t="s">
        <v>12</v>
      </c>
      <c r="F2634" t="s">
        <v>26</v>
      </c>
      <c r="G2634" t="s">
        <v>12072</v>
      </c>
      <c r="L2634" t="s">
        <v>12073</v>
      </c>
      <c r="N2634" t="s">
        <v>12073</v>
      </c>
      <c r="T2634" t="s">
        <v>12074</v>
      </c>
      <c r="U2634" t="s">
        <v>12075</v>
      </c>
      <c r="V2634" t="s">
        <v>12076</v>
      </c>
      <c r="W2634" t="s">
        <v>1954</v>
      </c>
      <c r="X2634" t="s">
        <v>12077</v>
      </c>
      <c r="Y2634">
        <v>0</v>
      </c>
      <c r="Z2634">
        <v>343</v>
      </c>
    </row>
    <row r="2635" spans="1:26">
      <c r="A2635" s="1">
        <v>2633</v>
      </c>
      <c r="B2635" t="str">
        <f>HYPERLINK("https://bugs.eclipse.org/bugs/show_bug.cgi?id=105666", "105666")</f>
        <v>105666</v>
      </c>
      <c r="C2635" t="s">
        <v>4692</v>
      </c>
      <c r="D2635" t="s">
        <v>4692</v>
      </c>
      <c r="F2635" t="s">
        <v>26</v>
      </c>
      <c r="T2635" t="s">
        <v>12078</v>
      </c>
      <c r="U2635" t="s">
        <v>12079</v>
      </c>
      <c r="V2635" t="s">
        <v>12080</v>
      </c>
      <c r="W2635" t="s">
        <v>49</v>
      </c>
      <c r="X2635" t="s">
        <v>12081</v>
      </c>
      <c r="Y2635">
        <v>0</v>
      </c>
    </row>
    <row r="2636" spans="1:26">
      <c r="A2636" s="1">
        <v>2634</v>
      </c>
      <c r="B2636" t="str">
        <f>HYPERLINK("https://bugs.eclipse.org/bugs/show_bug.cgi?id=105667", "105667")</f>
        <v>105667</v>
      </c>
      <c r="C2636" t="s">
        <v>56</v>
      </c>
      <c r="D2636" t="s">
        <v>10</v>
      </c>
      <c r="E2636" t="s">
        <v>14</v>
      </c>
      <c r="F2636" t="s">
        <v>51</v>
      </c>
      <c r="L2636" t="s">
        <v>12082</v>
      </c>
      <c r="P2636" t="s">
        <v>12082</v>
      </c>
      <c r="T2636" t="s">
        <v>12083</v>
      </c>
      <c r="U2636" t="s">
        <v>12084</v>
      </c>
      <c r="V2636" t="s">
        <v>12082</v>
      </c>
      <c r="W2636" t="s">
        <v>49</v>
      </c>
      <c r="X2636" t="s">
        <v>12085</v>
      </c>
      <c r="Y2636">
        <v>0</v>
      </c>
      <c r="Z2636">
        <v>319</v>
      </c>
    </row>
    <row r="2637" spans="1:26">
      <c r="A2637" s="1">
        <v>2635</v>
      </c>
      <c r="B2637" t="str">
        <f>HYPERLINK("https://bugs.eclipse.org/bugs/show_bug.cgi?id=105743", "105743")</f>
        <v>105743</v>
      </c>
      <c r="C2637" t="s">
        <v>35</v>
      </c>
      <c r="D2637" t="s">
        <v>11</v>
      </c>
      <c r="E2637" t="s">
        <v>12</v>
      </c>
      <c r="F2637" t="s">
        <v>26</v>
      </c>
      <c r="L2637" t="s">
        <v>12086</v>
      </c>
      <c r="M2637" t="s">
        <v>12087</v>
      </c>
      <c r="N2637" t="s">
        <v>12086</v>
      </c>
      <c r="S2637" t="s">
        <v>12088</v>
      </c>
      <c r="T2637" t="s">
        <v>12089</v>
      </c>
      <c r="U2637" t="s">
        <v>12090</v>
      </c>
      <c r="V2637" t="s">
        <v>12087</v>
      </c>
      <c r="W2637" t="s">
        <v>1954</v>
      </c>
      <c r="X2637" t="s">
        <v>12091</v>
      </c>
      <c r="Y2637">
        <v>1</v>
      </c>
      <c r="Z2637">
        <v>395</v>
      </c>
    </row>
    <row r="2638" spans="1:26">
      <c r="A2638" s="1">
        <v>2636</v>
      </c>
      <c r="B2638" t="str">
        <f>HYPERLINK("https://bugs.eclipse.org/bugs/show_bug.cgi?id=105747", "105747")</f>
        <v>105747</v>
      </c>
      <c r="C2638" t="s">
        <v>140</v>
      </c>
      <c r="D2638" t="s">
        <v>10</v>
      </c>
      <c r="E2638" t="s">
        <v>16</v>
      </c>
      <c r="F2638" t="s">
        <v>26</v>
      </c>
      <c r="L2638" t="s">
        <v>12092</v>
      </c>
      <c r="R2638" t="s">
        <v>12092</v>
      </c>
      <c r="T2638" t="s">
        <v>12093</v>
      </c>
      <c r="U2638" t="s">
        <v>12094</v>
      </c>
      <c r="V2638" t="s">
        <v>12092</v>
      </c>
      <c r="W2638" t="s">
        <v>143</v>
      </c>
      <c r="X2638" t="s">
        <v>12095</v>
      </c>
      <c r="Y2638">
        <v>1</v>
      </c>
      <c r="Z2638">
        <v>1218.041666666667</v>
      </c>
    </row>
    <row r="2639" spans="1:26">
      <c r="A2639" s="1">
        <v>2637</v>
      </c>
      <c r="B2639" t="str">
        <f>HYPERLINK("https://bugs.eclipse.org/bugs/show_bug.cgi?id=105829", "105829")</f>
        <v>105829</v>
      </c>
      <c r="C2639" t="s">
        <v>35</v>
      </c>
      <c r="D2639" t="s">
        <v>11</v>
      </c>
      <c r="E2639" t="s">
        <v>12</v>
      </c>
      <c r="F2639" t="s">
        <v>26</v>
      </c>
      <c r="L2639" t="s">
        <v>12096</v>
      </c>
      <c r="M2639" t="s">
        <v>12097</v>
      </c>
      <c r="N2639" t="s">
        <v>12096</v>
      </c>
      <c r="T2639" t="s">
        <v>12098</v>
      </c>
      <c r="U2639" t="s">
        <v>12099</v>
      </c>
      <c r="V2639" t="s">
        <v>12097</v>
      </c>
      <c r="W2639" t="s">
        <v>143</v>
      </c>
      <c r="X2639" t="s">
        <v>12100</v>
      </c>
      <c r="Y2639">
        <v>0</v>
      </c>
      <c r="Z2639">
        <v>31</v>
      </c>
    </row>
    <row r="2640" spans="1:26">
      <c r="A2640" s="1">
        <v>2638</v>
      </c>
      <c r="B2640" t="str">
        <f>HYPERLINK("https://bugs.eclipse.org/bugs/show_bug.cgi?id=105893", "105893")</f>
        <v>105893</v>
      </c>
      <c r="C2640" t="s">
        <v>25</v>
      </c>
      <c r="D2640" t="s">
        <v>25</v>
      </c>
      <c r="F2640" t="s">
        <v>26</v>
      </c>
      <c r="G2640" t="s">
        <v>12101</v>
      </c>
      <c r="T2640" t="s">
        <v>12102</v>
      </c>
      <c r="U2640" t="s">
        <v>12103</v>
      </c>
      <c r="V2640" t="s">
        <v>12104</v>
      </c>
      <c r="W2640" t="s">
        <v>6576</v>
      </c>
      <c r="X2640" t="s">
        <v>12105</v>
      </c>
      <c r="Y2640">
        <v>2</v>
      </c>
    </row>
    <row r="2641" spans="1:26">
      <c r="A2641" s="1">
        <v>2639</v>
      </c>
      <c r="B2641" t="str">
        <f>HYPERLINK("https://bugs.eclipse.org/bugs/show_bug.cgi?id=105956", "105956")</f>
        <v>105956</v>
      </c>
      <c r="C2641" t="s">
        <v>191</v>
      </c>
      <c r="D2641" t="s">
        <v>192</v>
      </c>
      <c r="E2641" t="s">
        <v>14</v>
      </c>
      <c r="F2641" t="s">
        <v>26</v>
      </c>
      <c r="P2641" t="s">
        <v>12106</v>
      </c>
      <c r="T2641" t="s">
        <v>12107</v>
      </c>
      <c r="U2641" t="s">
        <v>12108</v>
      </c>
      <c r="V2641" t="s">
        <v>12106</v>
      </c>
      <c r="W2641" t="s">
        <v>65</v>
      </c>
      <c r="X2641" t="s">
        <v>12109</v>
      </c>
      <c r="Y2641">
        <v>0</v>
      </c>
      <c r="Z2641">
        <v>5361</v>
      </c>
    </row>
    <row r="2642" spans="1:26">
      <c r="A2642" s="1">
        <v>2640</v>
      </c>
      <c r="B2642" t="str">
        <f>HYPERLINK("https://bugs.eclipse.org/bugs/show_bug.cgi?id=106008", "106008")</f>
        <v>106008</v>
      </c>
      <c r="C2642" t="s">
        <v>12110</v>
      </c>
      <c r="D2642" t="s">
        <v>10</v>
      </c>
      <c r="E2642" t="s">
        <v>15</v>
      </c>
      <c r="F2642" t="s">
        <v>26</v>
      </c>
      <c r="G2642" t="s">
        <v>12111</v>
      </c>
      <c r="L2642" t="s">
        <v>12112</v>
      </c>
      <c r="Q2642" t="s">
        <v>12112</v>
      </c>
      <c r="T2642" t="s">
        <v>12113</v>
      </c>
      <c r="U2642" t="s">
        <v>12114</v>
      </c>
      <c r="V2642" t="s">
        <v>12112</v>
      </c>
      <c r="W2642" t="s">
        <v>86</v>
      </c>
      <c r="X2642" t="s">
        <v>12115</v>
      </c>
      <c r="Y2642">
        <v>0</v>
      </c>
      <c r="Z2642">
        <v>2</v>
      </c>
    </row>
    <row r="2643" spans="1:26">
      <c r="A2643" s="1">
        <v>2641</v>
      </c>
      <c r="B2643" t="str">
        <f>HYPERLINK("https://bugs.eclipse.org/bugs/show_bug.cgi?id=106017", "106017")</f>
        <v>106017</v>
      </c>
      <c r="C2643" t="s">
        <v>12116</v>
      </c>
      <c r="D2643" t="s">
        <v>10</v>
      </c>
      <c r="E2643" t="s">
        <v>15</v>
      </c>
      <c r="F2643" t="s">
        <v>26</v>
      </c>
      <c r="L2643" t="s">
        <v>12117</v>
      </c>
      <c r="Q2643" t="s">
        <v>12117</v>
      </c>
      <c r="T2643" t="s">
        <v>12118</v>
      </c>
      <c r="U2643" t="s">
        <v>12119</v>
      </c>
      <c r="V2643" t="s">
        <v>12117</v>
      </c>
      <c r="W2643" t="s">
        <v>11007</v>
      </c>
      <c r="X2643" t="s">
        <v>12120</v>
      </c>
      <c r="Y2643">
        <v>0</v>
      </c>
      <c r="Z2643">
        <v>0</v>
      </c>
    </row>
    <row r="2644" spans="1:26">
      <c r="A2644" s="1">
        <v>2642</v>
      </c>
      <c r="B2644" t="str">
        <f>HYPERLINK("https://bugs.eclipse.org/bugs/show_bug.cgi?id=106033", "106033")</f>
        <v>106033</v>
      </c>
      <c r="C2644" t="s">
        <v>191</v>
      </c>
      <c r="D2644" t="s">
        <v>192</v>
      </c>
      <c r="E2644" t="s">
        <v>14</v>
      </c>
      <c r="F2644" t="s">
        <v>26</v>
      </c>
      <c r="P2644" t="s">
        <v>12121</v>
      </c>
      <c r="T2644" t="s">
        <v>12122</v>
      </c>
      <c r="U2644" t="s">
        <v>12123</v>
      </c>
      <c r="V2644" t="s">
        <v>12121</v>
      </c>
      <c r="W2644" t="s">
        <v>65</v>
      </c>
      <c r="X2644" t="s">
        <v>12124</v>
      </c>
      <c r="Y2644">
        <v>1268.041666666667</v>
      </c>
      <c r="Z2644">
        <v>5376</v>
      </c>
    </row>
    <row r="2645" spans="1:26">
      <c r="A2645" s="1">
        <v>2643</v>
      </c>
      <c r="B2645" t="str">
        <f>HYPERLINK("https://bugs.eclipse.org/bugs/show_bug.cgi?id=106127", "106127")</f>
        <v>106127</v>
      </c>
      <c r="C2645" t="s">
        <v>35</v>
      </c>
      <c r="D2645" t="s">
        <v>11</v>
      </c>
      <c r="E2645" t="s">
        <v>12</v>
      </c>
      <c r="F2645" t="s">
        <v>26</v>
      </c>
      <c r="L2645" t="s">
        <v>12125</v>
      </c>
      <c r="M2645" t="s">
        <v>12126</v>
      </c>
      <c r="N2645" t="s">
        <v>12125</v>
      </c>
      <c r="T2645" t="s">
        <v>12127</v>
      </c>
      <c r="U2645" t="s">
        <v>12128</v>
      </c>
      <c r="V2645" t="s">
        <v>12126</v>
      </c>
      <c r="W2645" t="s">
        <v>49</v>
      </c>
      <c r="X2645" t="s">
        <v>12129</v>
      </c>
      <c r="Y2645">
        <v>1</v>
      </c>
      <c r="Z2645">
        <v>47</v>
      </c>
    </row>
    <row r="2646" spans="1:26">
      <c r="A2646" s="1">
        <v>2644</v>
      </c>
      <c r="B2646" t="str">
        <f>HYPERLINK("https://bugs.eclipse.org/bugs/show_bug.cgi?id=106174", "106174")</f>
        <v>106174</v>
      </c>
      <c r="C2646" t="s">
        <v>35</v>
      </c>
      <c r="D2646" t="s">
        <v>11</v>
      </c>
      <c r="E2646" t="s">
        <v>12</v>
      </c>
      <c r="F2646" t="s">
        <v>26</v>
      </c>
      <c r="L2646" t="s">
        <v>12130</v>
      </c>
      <c r="M2646" t="s">
        <v>12131</v>
      </c>
      <c r="N2646" t="s">
        <v>12130</v>
      </c>
      <c r="T2646" t="s">
        <v>12132</v>
      </c>
      <c r="U2646" t="s">
        <v>12133</v>
      </c>
      <c r="V2646" t="s">
        <v>12131</v>
      </c>
      <c r="W2646" t="s">
        <v>49</v>
      </c>
      <c r="X2646" t="s">
        <v>12134</v>
      </c>
      <c r="Y2646">
        <v>0</v>
      </c>
      <c r="Z2646">
        <v>46</v>
      </c>
    </row>
    <row r="2647" spans="1:26">
      <c r="A2647" s="1">
        <v>2645</v>
      </c>
      <c r="B2647" t="str">
        <f>HYPERLINK("https://bugs.eclipse.org/bugs/show_bug.cgi?id=106207", "106207")</f>
        <v>106207</v>
      </c>
      <c r="C2647" t="s">
        <v>149</v>
      </c>
      <c r="D2647" t="s">
        <v>10</v>
      </c>
      <c r="E2647" t="s">
        <v>12</v>
      </c>
      <c r="F2647" t="s">
        <v>51</v>
      </c>
      <c r="G2647" t="s">
        <v>12135</v>
      </c>
      <c r="L2647" t="s">
        <v>12136</v>
      </c>
      <c r="N2647" t="s">
        <v>12136</v>
      </c>
      <c r="T2647" t="s">
        <v>12137</v>
      </c>
      <c r="U2647" t="s">
        <v>12138</v>
      </c>
      <c r="V2647" t="s">
        <v>12136</v>
      </c>
      <c r="W2647" t="s">
        <v>2668</v>
      </c>
      <c r="X2647" t="s">
        <v>12139</v>
      </c>
      <c r="Y2647">
        <v>0</v>
      </c>
      <c r="Z2647">
        <v>259</v>
      </c>
    </row>
    <row r="2648" spans="1:26">
      <c r="A2648" s="1">
        <v>2646</v>
      </c>
      <c r="B2648" t="str">
        <f>HYPERLINK("https://bugs.eclipse.org/bugs/show_bug.cgi?id=106329", "106329")</f>
        <v>106329</v>
      </c>
      <c r="C2648" t="s">
        <v>35</v>
      </c>
      <c r="D2648" t="s">
        <v>11</v>
      </c>
      <c r="E2648" t="s">
        <v>12</v>
      </c>
      <c r="F2648" t="s">
        <v>26</v>
      </c>
      <c r="L2648" t="s">
        <v>12140</v>
      </c>
      <c r="M2648" t="s">
        <v>12141</v>
      </c>
      <c r="N2648" t="s">
        <v>12140</v>
      </c>
      <c r="T2648" t="s">
        <v>12142</v>
      </c>
      <c r="U2648" t="s">
        <v>12143</v>
      </c>
      <c r="V2648" t="s">
        <v>12141</v>
      </c>
      <c r="W2648" t="s">
        <v>851</v>
      </c>
      <c r="X2648" t="s">
        <v>12144</v>
      </c>
      <c r="Y2648">
        <v>0</v>
      </c>
      <c r="Z2648">
        <v>85.041666666666671</v>
      </c>
    </row>
    <row r="2649" spans="1:26">
      <c r="A2649" s="1">
        <v>2647</v>
      </c>
      <c r="B2649" t="str">
        <f>HYPERLINK("https://bugs.eclipse.org/bugs/show_bug.cgi?id=106369", "106369")</f>
        <v>106369</v>
      </c>
      <c r="C2649" t="s">
        <v>12145</v>
      </c>
      <c r="D2649" t="s">
        <v>10</v>
      </c>
      <c r="E2649" t="s">
        <v>15</v>
      </c>
      <c r="F2649" t="s">
        <v>26</v>
      </c>
      <c r="L2649" t="s">
        <v>12146</v>
      </c>
      <c r="Q2649" t="s">
        <v>12146</v>
      </c>
      <c r="T2649" t="s">
        <v>12147</v>
      </c>
      <c r="U2649" t="s">
        <v>12148</v>
      </c>
      <c r="V2649" t="s">
        <v>12146</v>
      </c>
      <c r="W2649" t="s">
        <v>86</v>
      </c>
      <c r="X2649" t="s">
        <v>12149</v>
      </c>
      <c r="Y2649">
        <v>1</v>
      </c>
      <c r="Z2649">
        <v>238</v>
      </c>
    </row>
    <row r="2650" spans="1:26">
      <c r="A2650" s="1">
        <v>2648</v>
      </c>
      <c r="B2650" t="str">
        <f>HYPERLINK("https://bugs.eclipse.org/bugs/show_bug.cgi?id=106571", "106571")</f>
        <v>106571</v>
      </c>
      <c r="C2650" t="s">
        <v>4692</v>
      </c>
      <c r="D2650" t="s">
        <v>4692</v>
      </c>
      <c r="F2650" t="s">
        <v>51</v>
      </c>
      <c r="T2650" t="s">
        <v>12150</v>
      </c>
      <c r="U2650" t="s">
        <v>12151</v>
      </c>
      <c r="V2650" t="s">
        <v>12152</v>
      </c>
      <c r="W2650" t="s">
        <v>49</v>
      </c>
      <c r="X2650" t="s">
        <v>12153</v>
      </c>
      <c r="Y2650">
        <v>1</v>
      </c>
    </row>
    <row r="2651" spans="1:26">
      <c r="A2651" s="1">
        <v>2649</v>
      </c>
      <c r="B2651" t="str">
        <f>HYPERLINK("https://bugs.eclipse.org/bugs/show_bug.cgi?id=106628", "106628")</f>
        <v>106628</v>
      </c>
      <c r="C2651" t="s">
        <v>140</v>
      </c>
      <c r="D2651" t="s">
        <v>10</v>
      </c>
      <c r="E2651" t="s">
        <v>16</v>
      </c>
      <c r="F2651" t="s">
        <v>26</v>
      </c>
      <c r="L2651" t="s">
        <v>12154</v>
      </c>
      <c r="R2651" t="s">
        <v>12154</v>
      </c>
      <c r="T2651" t="s">
        <v>12155</v>
      </c>
      <c r="U2651" t="s">
        <v>12156</v>
      </c>
      <c r="V2651" t="s">
        <v>12154</v>
      </c>
      <c r="W2651" t="s">
        <v>851</v>
      </c>
      <c r="X2651" t="s">
        <v>12157</v>
      </c>
      <c r="Y2651">
        <v>0</v>
      </c>
      <c r="Z2651">
        <v>329</v>
      </c>
    </row>
    <row r="2652" spans="1:26">
      <c r="A2652" s="1">
        <v>2650</v>
      </c>
      <c r="B2652" t="str">
        <f>HYPERLINK("https://bugs.eclipse.org/bugs/show_bug.cgi?id=106635", "106635")</f>
        <v>106635</v>
      </c>
      <c r="C2652" t="s">
        <v>149</v>
      </c>
      <c r="D2652" t="s">
        <v>10</v>
      </c>
      <c r="E2652" t="s">
        <v>12</v>
      </c>
      <c r="F2652" t="s">
        <v>26</v>
      </c>
      <c r="G2652" t="s">
        <v>12158</v>
      </c>
      <c r="L2652" t="s">
        <v>12159</v>
      </c>
      <c r="N2652" t="s">
        <v>12159</v>
      </c>
      <c r="R2652" t="s">
        <v>12160</v>
      </c>
      <c r="S2652" t="s">
        <v>12161</v>
      </c>
      <c r="T2652" t="s">
        <v>12162</v>
      </c>
      <c r="U2652" t="s">
        <v>12163</v>
      </c>
      <c r="V2652" t="s">
        <v>12159</v>
      </c>
      <c r="W2652" t="s">
        <v>851</v>
      </c>
      <c r="X2652" t="s">
        <v>12164</v>
      </c>
      <c r="Y2652">
        <v>1</v>
      </c>
      <c r="Z2652">
        <v>639</v>
      </c>
    </row>
    <row r="2653" spans="1:26">
      <c r="A2653" s="1">
        <v>2651</v>
      </c>
      <c r="B2653" t="str">
        <f>HYPERLINK("https://bugs.eclipse.org/bugs/show_bug.cgi?id=107019", "107019")</f>
        <v>107019</v>
      </c>
      <c r="C2653" t="s">
        <v>140</v>
      </c>
      <c r="D2653" t="s">
        <v>10</v>
      </c>
      <c r="E2653" t="s">
        <v>16</v>
      </c>
      <c r="F2653" t="s">
        <v>26</v>
      </c>
      <c r="L2653" t="s">
        <v>12165</v>
      </c>
      <c r="R2653" t="s">
        <v>12165</v>
      </c>
      <c r="T2653" t="s">
        <v>12166</v>
      </c>
      <c r="U2653" t="s">
        <v>12167</v>
      </c>
      <c r="V2653" t="s">
        <v>12165</v>
      </c>
      <c r="W2653" t="s">
        <v>2668</v>
      </c>
      <c r="X2653" t="s">
        <v>12168</v>
      </c>
      <c r="Y2653">
        <v>0</v>
      </c>
      <c r="Z2653">
        <v>14</v>
      </c>
    </row>
    <row r="2654" spans="1:26">
      <c r="A2654" s="1">
        <v>2652</v>
      </c>
      <c r="B2654" t="str">
        <f>HYPERLINK("https://bugs.eclipse.org/bugs/show_bug.cgi?id=107026", "107026")</f>
        <v>107026</v>
      </c>
      <c r="C2654" t="s">
        <v>35</v>
      </c>
      <c r="D2654" t="s">
        <v>11</v>
      </c>
      <c r="E2654" t="s">
        <v>12</v>
      </c>
      <c r="F2654" t="s">
        <v>26</v>
      </c>
      <c r="L2654" t="s">
        <v>12169</v>
      </c>
      <c r="M2654" t="s">
        <v>12170</v>
      </c>
      <c r="N2654" t="s">
        <v>12169</v>
      </c>
      <c r="T2654" t="s">
        <v>12171</v>
      </c>
      <c r="U2654" t="s">
        <v>12172</v>
      </c>
      <c r="V2654" t="s">
        <v>12170</v>
      </c>
      <c r="W2654" t="s">
        <v>49</v>
      </c>
      <c r="X2654" t="s">
        <v>12173</v>
      </c>
      <c r="Y2654">
        <v>0</v>
      </c>
      <c r="Z2654">
        <v>36</v>
      </c>
    </row>
    <row r="2655" spans="1:26">
      <c r="A2655" s="1">
        <v>2653</v>
      </c>
      <c r="B2655" t="str">
        <f>HYPERLINK("https://bugs.eclipse.org/bugs/show_bug.cgi?id=107030", "107030")</f>
        <v>107030</v>
      </c>
      <c r="C2655" t="s">
        <v>140</v>
      </c>
      <c r="D2655" t="s">
        <v>10</v>
      </c>
      <c r="E2655" t="s">
        <v>16</v>
      </c>
      <c r="F2655" t="s">
        <v>26</v>
      </c>
      <c r="L2655" t="s">
        <v>12174</v>
      </c>
      <c r="R2655" t="s">
        <v>12174</v>
      </c>
      <c r="T2655" t="s">
        <v>12175</v>
      </c>
      <c r="U2655" t="s">
        <v>12176</v>
      </c>
      <c r="V2655" t="s">
        <v>12174</v>
      </c>
      <c r="W2655" t="s">
        <v>143</v>
      </c>
      <c r="X2655" t="s">
        <v>12177</v>
      </c>
      <c r="Y2655">
        <v>0</v>
      </c>
      <c r="Z2655">
        <v>1204.041666666667</v>
      </c>
    </row>
    <row r="2656" spans="1:26">
      <c r="A2656" s="1">
        <v>2654</v>
      </c>
      <c r="B2656" t="str">
        <f>HYPERLINK("https://bugs.eclipse.org/bugs/show_bug.cgi?id=107034", "107034")</f>
        <v>107034</v>
      </c>
      <c r="C2656" t="s">
        <v>35</v>
      </c>
      <c r="D2656" t="s">
        <v>11</v>
      </c>
      <c r="E2656" t="s">
        <v>12</v>
      </c>
      <c r="F2656" t="s">
        <v>26</v>
      </c>
      <c r="L2656" t="s">
        <v>12178</v>
      </c>
      <c r="M2656" t="s">
        <v>12179</v>
      </c>
      <c r="N2656" t="s">
        <v>12178</v>
      </c>
      <c r="T2656" t="s">
        <v>12180</v>
      </c>
      <c r="U2656" t="s">
        <v>12181</v>
      </c>
      <c r="V2656" t="s">
        <v>12179</v>
      </c>
      <c r="W2656" t="s">
        <v>49</v>
      </c>
      <c r="X2656" t="s">
        <v>12182</v>
      </c>
      <c r="Y2656">
        <v>0</v>
      </c>
      <c r="Z2656">
        <v>36</v>
      </c>
    </row>
    <row r="2657" spans="1:26">
      <c r="A2657" s="1">
        <v>2655</v>
      </c>
      <c r="B2657" t="str">
        <f>HYPERLINK("https://bugs.eclipse.org/bugs/show_bug.cgi?id=107115", "107115")</f>
        <v>107115</v>
      </c>
      <c r="C2657" t="s">
        <v>12183</v>
      </c>
      <c r="D2657" t="s">
        <v>10</v>
      </c>
      <c r="E2657" t="s">
        <v>15</v>
      </c>
      <c r="F2657" t="s">
        <v>26</v>
      </c>
      <c r="L2657" t="s">
        <v>12184</v>
      </c>
      <c r="Q2657" t="s">
        <v>12184</v>
      </c>
      <c r="T2657" t="s">
        <v>12185</v>
      </c>
      <c r="U2657" t="s">
        <v>12186</v>
      </c>
      <c r="V2657" t="s">
        <v>12184</v>
      </c>
      <c r="W2657" t="s">
        <v>86</v>
      </c>
      <c r="X2657" t="s">
        <v>12187</v>
      </c>
      <c r="Y2657">
        <v>0</v>
      </c>
      <c r="Z2657">
        <v>1</v>
      </c>
    </row>
    <row r="2658" spans="1:26">
      <c r="A2658" s="1">
        <v>2656</v>
      </c>
      <c r="B2658" t="str">
        <f>HYPERLINK("https://bugs.eclipse.org/bugs/show_bug.cgi?id=107153", "107153")</f>
        <v>107153</v>
      </c>
      <c r="C2658" t="s">
        <v>56</v>
      </c>
      <c r="D2658" t="s">
        <v>10</v>
      </c>
      <c r="E2658" t="s">
        <v>14</v>
      </c>
      <c r="F2658" t="s">
        <v>51</v>
      </c>
      <c r="L2658" t="s">
        <v>12188</v>
      </c>
      <c r="P2658" t="s">
        <v>12189</v>
      </c>
      <c r="T2658" t="s">
        <v>12190</v>
      </c>
      <c r="U2658" t="s">
        <v>12188</v>
      </c>
      <c r="V2658" t="s">
        <v>12189</v>
      </c>
      <c r="W2658" t="s">
        <v>75</v>
      </c>
      <c r="X2658" t="s">
        <v>12191</v>
      </c>
      <c r="Y2658">
        <v>1</v>
      </c>
      <c r="Z2658">
        <v>1475</v>
      </c>
    </row>
    <row r="2659" spans="1:26">
      <c r="A2659" s="1">
        <v>2657</v>
      </c>
      <c r="B2659" t="str">
        <f>HYPERLINK("https://bugs.eclipse.org/bugs/show_bug.cgi?id=107192", "107192")</f>
        <v>107192</v>
      </c>
      <c r="C2659" t="s">
        <v>191</v>
      </c>
      <c r="D2659" t="s">
        <v>192</v>
      </c>
      <c r="E2659" t="s">
        <v>14</v>
      </c>
      <c r="F2659" t="s">
        <v>26</v>
      </c>
      <c r="T2659" t="s">
        <v>12192</v>
      </c>
      <c r="U2659" t="s">
        <v>12193</v>
      </c>
      <c r="V2659" t="s">
        <v>12194</v>
      </c>
      <c r="W2659" t="s">
        <v>65</v>
      </c>
      <c r="X2659" t="s">
        <v>12195</v>
      </c>
      <c r="Y2659">
        <v>0</v>
      </c>
      <c r="Z2659">
        <v>4817</v>
      </c>
    </row>
    <row r="2660" spans="1:26">
      <c r="A2660" s="1">
        <v>2658</v>
      </c>
      <c r="B2660" t="str">
        <f>HYPERLINK("https://bugs.eclipse.org/bugs/show_bug.cgi?id=107237", "107237")</f>
        <v>107237</v>
      </c>
      <c r="C2660" t="s">
        <v>56</v>
      </c>
      <c r="D2660" t="s">
        <v>10</v>
      </c>
      <c r="E2660" t="s">
        <v>14</v>
      </c>
      <c r="F2660" t="s">
        <v>26</v>
      </c>
      <c r="L2660" t="s">
        <v>12196</v>
      </c>
      <c r="P2660" t="s">
        <v>12196</v>
      </c>
      <c r="T2660" t="s">
        <v>12197</v>
      </c>
      <c r="U2660" t="s">
        <v>12198</v>
      </c>
      <c r="V2660" t="s">
        <v>12196</v>
      </c>
      <c r="W2660" t="s">
        <v>86</v>
      </c>
      <c r="X2660" t="s">
        <v>12199</v>
      </c>
      <c r="Y2660">
        <v>0</v>
      </c>
      <c r="Z2660">
        <v>75.041666666666671</v>
      </c>
    </row>
    <row r="2661" spans="1:26">
      <c r="A2661" s="1">
        <v>2659</v>
      </c>
      <c r="B2661" t="str">
        <f>HYPERLINK("https://bugs.eclipse.org/bugs/show_bug.cgi?id=107409", "107409")</f>
        <v>107409</v>
      </c>
      <c r="C2661" t="s">
        <v>12200</v>
      </c>
      <c r="D2661" t="s">
        <v>192</v>
      </c>
      <c r="E2661" t="s">
        <v>15</v>
      </c>
      <c r="F2661" t="s">
        <v>26</v>
      </c>
      <c r="G2661" t="s">
        <v>12201</v>
      </c>
      <c r="Q2661" t="s">
        <v>12202</v>
      </c>
      <c r="T2661" t="s">
        <v>12203</v>
      </c>
      <c r="U2661" t="s">
        <v>12204</v>
      </c>
      <c r="V2661" t="s">
        <v>12202</v>
      </c>
      <c r="W2661" t="s">
        <v>9181</v>
      </c>
      <c r="X2661" t="s">
        <v>12205</v>
      </c>
      <c r="Y2661">
        <v>0</v>
      </c>
      <c r="Z2661">
        <v>3231</v>
      </c>
    </row>
    <row r="2662" spans="1:26">
      <c r="A2662" s="1">
        <v>2660</v>
      </c>
      <c r="B2662" t="str">
        <f>HYPERLINK("https://bugs.eclipse.org/bugs/show_bug.cgi?id=107417", "107417")</f>
        <v>107417</v>
      </c>
      <c r="C2662" t="s">
        <v>4692</v>
      </c>
      <c r="D2662" t="s">
        <v>4692</v>
      </c>
      <c r="F2662" t="s">
        <v>26</v>
      </c>
      <c r="T2662" t="s">
        <v>12206</v>
      </c>
      <c r="U2662" t="s">
        <v>12207</v>
      </c>
      <c r="V2662" t="s">
        <v>12208</v>
      </c>
      <c r="W2662" t="s">
        <v>49</v>
      </c>
      <c r="X2662" t="s">
        <v>12209</v>
      </c>
      <c r="Y2662">
        <v>0</v>
      </c>
    </row>
    <row r="2663" spans="1:26">
      <c r="A2663" s="1">
        <v>2661</v>
      </c>
      <c r="B2663" t="str">
        <f>HYPERLINK("https://bugs.eclipse.org/bugs/show_bug.cgi?id=107543", "107543")</f>
        <v>107543</v>
      </c>
      <c r="C2663" t="s">
        <v>140</v>
      </c>
      <c r="D2663" t="s">
        <v>10</v>
      </c>
      <c r="E2663" t="s">
        <v>16</v>
      </c>
      <c r="F2663" t="s">
        <v>26</v>
      </c>
      <c r="G2663" t="s">
        <v>12210</v>
      </c>
      <c r="L2663" t="s">
        <v>12211</v>
      </c>
      <c r="R2663" t="s">
        <v>12211</v>
      </c>
      <c r="T2663" t="s">
        <v>12212</v>
      </c>
      <c r="U2663" t="s">
        <v>12213</v>
      </c>
      <c r="V2663" t="s">
        <v>12211</v>
      </c>
      <c r="W2663" t="s">
        <v>2668</v>
      </c>
      <c r="X2663" t="s">
        <v>12214</v>
      </c>
      <c r="Y2663">
        <v>0</v>
      </c>
      <c r="Z2663">
        <v>156.04166666666671</v>
      </c>
    </row>
    <row r="2664" spans="1:26">
      <c r="A2664" s="1">
        <v>2662</v>
      </c>
      <c r="B2664" t="str">
        <f>HYPERLINK("https://bugs.eclipse.org/bugs/show_bug.cgi?id=107637", "107637")</f>
        <v>107637</v>
      </c>
      <c r="C2664" t="s">
        <v>35</v>
      </c>
      <c r="D2664" t="s">
        <v>11</v>
      </c>
      <c r="E2664" t="s">
        <v>12</v>
      </c>
      <c r="F2664" t="s">
        <v>26</v>
      </c>
      <c r="L2664" t="s">
        <v>12215</v>
      </c>
      <c r="M2664" t="s">
        <v>12216</v>
      </c>
      <c r="N2664" t="s">
        <v>12215</v>
      </c>
      <c r="T2664" t="s">
        <v>12217</v>
      </c>
      <c r="U2664" t="s">
        <v>12218</v>
      </c>
      <c r="V2664" t="s">
        <v>12216</v>
      </c>
      <c r="W2664" t="s">
        <v>2668</v>
      </c>
      <c r="X2664" t="s">
        <v>12219</v>
      </c>
      <c r="Y2664">
        <v>0</v>
      </c>
      <c r="Z2664">
        <v>29</v>
      </c>
    </row>
    <row r="2665" spans="1:26">
      <c r="A2665" s="1">
        <v>2663</v>
      </c>
      <c r="B2665" t="str">
        <f>HYPERLINK("https://bugs.eclipse.org/bugs/show_bug.cgi?id=107717", "107717")</f>
        <v>107717</v>
      </c>
      <c r="C2665" t="s">
        <v>88</v>
      </c>
      <c r="D2665" t="s">
        <v>10</v>
      </c>
      <c r="E2665" t="s">
        <v>13</v>
      </c>
      <c r="F2665" t="s">
        <v>26</v>
      </c>
      <c r="L2665" t="s">
        <v>12220</v>
      </c>
      <c r="O2665" t="s">
        <v>12220</v>
      </c>
      <c r="T2665" t="s">
        <v>12221</v>
      </c>
      <c r="U2665" t="s">
        <v>12222</v>
      </c>
      <c r="V2665" t="s">
        <v>12220</v>
      </c>
      <c r="W2665" t="s">
        <v>143</v>
      </c>
      <c r="X2665" t="s">
        <v>12223</v>
      </c>
      <c r="Y2665">
        <v>0</v>
      </c>
      <c r="Z2665">
        <v>4927.041666666667</v>
      </c>
    </row>
    <row r="2666" spans="1:26">
      <c r="A2666" s="1">
        <v>2664</v>
      </c>
      <c r="B2666" t="str">
        <f>HYPERLINK("https://bugs.eclipse.org/bugs/show_bug.cgi?id=107726", "107726")</f>
        <v>107726</v>
      </c>
      <c r="C2666" t="s">
        <v>56</v>
      </c>
      <c r="D2666" t="s">
        <v>10</v>
      </c>
      <c r="E2666" t="s">
        <v>14</v>
      </c>
      <c r="F2666" t="s">
        <v>51</v>
      </c>
      <c r="L2666" t="s">
        <v>12224</v>
      </c>
      <c r="P2666" t="s">
        <v>12225</v>
      </c>
      <c r="T2666" t="s">
        <v>12226</v>
      </c>
      <c r="U2666" t="s">
        <v>12224</v>
      </c>
      <c r="V2666" t="s">
        <v>12225</v>
      </c>
      <c r="W2666" t="s">
        <v>80</v>
      </c>
      <c r="X2666" t="s">
        <v>12227</v>
      </c>
      <c r="Y2666">
        <v>1</v>
      </c>
      <c r="Z2666">
        <v>1468</v>
      </c>
    </row>
    <row r="2667" spans="1:26">
      <c r="A2667" s="1">
        <v>2665</v>
      </c>
      <c r="B2667" t="str">
        <f>HYPERLINK("https://bugs.eclipse.org/bugs/show_bug.cgi?id=107749", "107749")</f>
        <v>107749</v>
      </c>
      <c r="C2667" t="s">
        <v>191</v>
      </c>
      <c r="D2667" t="s">
        <v>192</v>
      </c>
      <c r="E2667" t="s">
        <v>14</v>
      </c>
      <c r="F2667" t="s">
        <v>26</v>
      </c>
      <c r="G2667" t="s">
        <v>12228</v>
      </c>
      <c r="T2667" t="s">
        <v>12229</v>
      </c>
      <c r="U2667" t="s">
        <v>12230</v>
      </c>
      <c r="V2667" t="s">
        <v>12231</v>
      </c>
      <c r="W2667" t="s">
        <v>65</v>
      </c>
      <c r="X2667" t="s">
        <v>12232</v>
      </c>
      <c r="Y2667">
        <v>0</v>
      </c>
      <c r="Z2667">
        <v>5222.041666666667</v>
      </c>
    </row>
    <row r="2668" spans="1:26">
      <c r="A2668" s="1">
        <v>2666</v>
      </c>
      <c r="B2668" t="str">
        <f>HYPERLINK("https://bugs.eclipse.org/bugs/show_bug.cgi?id=107855", "107855")</f>
        <v>107855</v>
      </c>
      <c r="C2668" t="s">
        <v>12233</v>
      </c>
      <c r="D2668" t="s">
        <v>10</v>
      </c>
      <c r="E2668" t="s">
        <v>15</v>
      </c>
      <c r="F2668" t="s">
        <v>26</v>
      </c>
      <c r="L2668" t="s">
        <v>12234</v>
      </c>
      <c r="Q2668" t="s">
        <v>12234</v>
      </c>
      <c r="T2668" t="s">
        <v>12235</v>
      </c>
      <c r="U2668" t="s">
        <v>12236</v>
      </c>
      <c r="V2668" t="s">
        <v>12234</v>
      </c>
      <c r="W2668" t="s">
        <v>851</v>
      </c>
      <c r="X2668" t="s">
        <v>12237</v>
      </c>
      <c r="Y2668">
        <v>0</v>
      </c>
      <c r="Z2668">
        <v>289</v>
      </c>
    </row>
    <row r="2669" spans="1:26">
      <c r="A2669" s="1">
        <v>2667</v>
      </c>
      <c r="B2669" t="str">
        <f>HYPERLINK("https://bugs.eclipse.org/bugs/show_bug.cgi?id=107861", "107861")</f>
        <v>107861</v>
      </c>
      <c r="C2669" t="s">
        <v>56</v>
      </c>
      <c r="D2669" t="s">
        <v>10</v>
      </c>
      <c r="E2669" t="s">
        <v>14</v>
      </c>
      <c r="F2669" t="s">
        <v>26</v>
      </c>
      <c r="L2669" t="s">
        <v>12238</v>
      </c>
      <c r="P2669" t="s">
        <v>12239</v>
      </c>
      <c r="T2669" t="s">
        <v>12240</v>
      </c>
      <c r="U2669" t="s">
        <v>12238</v>
      </c>
      <c r="V2669" t="s">
        <v>12239</v>
      </c>
      <c r="W2669" t="s">
        <v>75</v>
      </c>
      <c r="X2669" t="s">
        <v>12241</v>
      </c>
      <c r="Y2669">
        <v>0</v>
      </c>
      <c r="Z2669">
        <v>1467</v>
      </c>
    </row>
    <row r="2670" spans="1:26">
      <c r="A2670" s="1">
        <v>2668</v>
      </c>
      <c r="B2670" t="str">
        <f>HYPERLINK("https://bugs.eclipse.org/bugs/show_bug.cgi?id=107910", "107910")</f>
        <v>107910</v>
      </c>
      <c r="C2670" t="s">
        <v>56</v>
      </c>
      <c r="D2670" t="s">
        <v>10</v>
      </c>
      <c r="E2670" t="s">
        <v>14</v>
      </c>
      <c r="F2670" t="s">
        <v>26</v>
      </c>
      <c r="L2670" t="s">
        <v>12242</v>
      </c>
      <c r="P2670" t="s">
        <v>12243</v>
      </c>
      <c r="T2670" t="s">
        <v>12244</v>
      </c>
      <c r="U2670" t="s">
        <v>12245</v>
      </c>
      <c r="V2670" t="s">
        <v>12243</v>
      </c>
      <c r="W2670" t="s">
        <v>75</v>
      </c>
      <c r="X2670" t="s">
        <v>12246</v>
      </c>
      <c r="Y2670">
        <v>1</v>
      </c>
      <c r="Z2670">
        <v>1467</v>
      </c>
    </row>
    <row r="2671" spans="1:26">
      <c r="A2671" s="1">
        <v>2669</v>
      </c>
      <c r="B2671" t="str">
        <f>HYPERLINK("https://bugs.eclipse.org/bugs/show_bug.cgi?id=107998", "107998")</f>
        <v>107998</v>
      </c>
      <c r="C2671" t="s">
        <v>35</v>
      </c>
      <c r="D2671" t="s">
        <v>11</v>
      </c>
      <c r="E2671" t="s">
        <v>12</v>
      </c>
      <c r="F2671" t="s">
        <v>26</v>
      </c>
      <c r="L2671" t="s">
        <v>12247</v>
      </c>
      <c r="M2671" t="s">
        <v>12248</v>
      </c>
      <c r="N2671" t="s">
        <v>12247</v>
      </c>
      <c r="T2671" t="s">
        <v>12249</v>
      </c>
      <c r="U2671" t="s">
        <v>12250</v>
      </c>
      <c r="V2671" t="s">
        <v>12248</v>
      </c>
      <c r="W2671" t="s">
        <v>851</v>
      </c>
      <c r="X2671" t="s">
        <v>12251</v>
      </c>
      <c r="Y2671">
        <v>0</v>
      </c>
      <c r="Z2671">
        <v>70.041666666666671</v>
      </c>
    </row>
    <row r="2672" spans="1:26">
      <c r="A2672" s="1">
        <v>2670</v>
      </c>
      <c r="B2672" t="str">
        <f>HYPERLINK("https://bugs.eclipse.org/bugs/show_bug.cgi?id=108000", "108000")</f>
        <v>108000</v>
      </c>
      <c r="C2672" t="s">
        <v>191</v>
      </c>
      <c r="D2672" t="s">
        <v>192</v>
      </c>
      <c r="E2672" t="s">
        <v>14</v>
      </c>
      <c r="F2672" t="s">
        <v>26</v>
      </c>
      <c r="L2672" t="s">
        <v>12252</v>
      </c>
      <c r="R2672" t="s">
        <v>12252</v>
      </c>
      <c r="S2672" t="s">
        <v>12253</v>
      </c>
      <c r="T2672" t="s">
        <v>12254</v>
      </c>
      <c r="U2672" t="s">
        <v>12252</v>
      </c>
      <c r="V2672" t="s">
        <v>12255</v>
      </c>
      <c r="W2672" t="s">
        <v>65</v>
      </c>
      <c r="X2672" t="s">
        <v>12256</v>
      </c>
      <c r="Y2672">
        <v>0</v>
      </c>
      <c r="Z2672">
        <v>5237.041666666667</v>
      </c>
    </row>
    <row r="2673" spans="1:26">
      <c r="A2673" s="1">
        <v>2671</v>
      </c>
      <c r="B2673" t="str">
        <f>HYPERLINK("https://bugs.eclipse.org/bugs/show_bug.cgi?id=108002", "108002")</f>
        <v>108002</v>
      </c>
      <c r="C2673" t="s">
        <v>140</v>
      </c>
      <c r="D2673" t="s">
        <v>10</v>
      </c>
      <c r="E2673" t="s">
        <v>16</v>
      </c>
      <c r="F2673" t="s">
        <v>26</v>
      </c>
      <c r="L2673" t="s">
        <v>12257</v>
      </c>
      <c r="R2673" t="s">
        <v>12257</v>
      </c>
      <c r="T2673" t="s">
        <v>12258</v>
      </c>
      <c r="U2673" t="s">
        <v>12259</v>
      </c>
      <c r="V2673" t="s">
        <v>12257</v>
      </c>
      <c r="W2673" t="s">
        <v>2668</v>
      </c>
      <c r="X2673" t="s">
        <v>12260</v>
      </c>
      <c r="Y2673">
        <v>0</v>
      </c>
      <c r="Z2673">
        <v>55</v>
      </c>
    </row>
    <row r="2674" spans="1:26">
      <c r="A2674" s="1">
        <v>2672</v>
      </c>
      <c r="B2674" t="str">
        <f>HYPERLINK("https://bugs.eclipse.org/bugs/show_bug.cgi?id=108003", "108003")</f>
        <v>108003</v>
      </c>
      <c r="C2674" t="s">
        <v>12261</v>
      </c>
      <c r="D2674" t="s">
        <v>10</v>
      </c>
      <c r="E2674" t="s">
        <v>15</v>
      </c>
      <c r="F2674" t="s">
        <v>26</v>
      </c>
      <c r="L2674" t="s">
        <v>12262</v>
      </c>
      <c r="Q2674" t="s">
        <v>12262</v>
      </c>
      <c r="T2674" t="s">
        <v>12263</v>
      </c>
      <c r="U2674" t="s">
        <v>12262</v>
      </c>
      <c r="V2674" t="s">
        <v>12262</v>
      </c>
      <c r="W2674" t="s">
        <v>851</v>
      </c>
      <c r="X2674" t="s">
        <v>12264</v>
      </c>
      <c r="Y2674">
        <v>207.04166666666671</v>
      </c>
      <c r="Z2674">
        <v>207.04166666666671</v>
      </c>
    </row>
    <row r="2675" spans="1:26">
      <c r="A2675" s="1">
        <v>2673</v>
      </c>
      <c r="B2675" t="str">
        <f>HYPERLINK("https://bugs.eclipse.org/bugs/show_bug.cgi?id=108019", "108019")</f>
        <v>108019</v>
      </c>
      <c r="C2675" t="s">
        <v>12265</v>
      </c>
      <c r="D2675" t="s">
        <v>10</v>
      </c>
      <c r="E2675" t="s">
        <v>15</v>
      </c>
      <c r="F2675" t="s">
        <v>26</v>
      </c>
      <c r="L2675" t="s">
        <v>12266</v>
      </c>
      <c r="Q2675" t="s">
        <v>12266</v>
      </c>
      <c r="T2675" t="s">
        <v>12267</v>
      </c>
      <c r="U2675" t="s">
        <v>12268</v>
      </c>
      <c r="V2675" t="s">
        <v>12266</v>
      </c>
      <c r="W2675" t="s">
        <v>851</v>
      </c>
      <c r="X2675" t="s">
        <v>12269</v>
      </c>
      <c r="Y2675">
        <v>343</v>
      </c>
      <c r="Z2675">
        <v>363</v>
      </c>
    </row>
    <row r="2676" spans="1:26">
      <c r="A2676" s="1">
        <v>2674</v>
      </c>
      <c r="B2676" t="str">
        <f>HYPERLINK("https://bugs.eclipse.org/bugs/show_bug.cgi?id=108030", "108030")</f>
        <v>108030</v>
      </c>
      <c r="C2676" t="s">
        <v>35</v>
      </c>
      <c r="D2676" t="s">
        <v>11</v>
      </c>
      <c r="E2676" t="s">
        <v>12</v>
      </c>
      <c r="F2676" t="s">
        <v>150</v>
      </c>
      <c r="G2676" t="s">
        <v>12270</v>
      </c>
      <c r="L2676" t="s">
        <v>12271</v>
      </c>
      <c r="M2676" t="s">
        <v>12272</v>
      </c>
      <c r="N2676" t="s">
        <v>12271</v>
      </c>
      <c r="T2676" t="s">
        <v>12273</v>
      </c>
      <c r="U2676" t="s">
        <v>12274</v>
      </c>
      <c r="V2676" t="s">
        <v>12272</v>
      </c>
      <c r="W2676" t="s">
        <v>143</v>
      </c>
      <c r="X2676" t="s">
        <v>12275</v>
      </c>
      <c r="Y2676">
        <v>0</v>
      </c>
      <c r="Z2676">
        <v>258</v>
      </c>
    </row>
    <row r="2677" spans="1:26">
      <c r="A2677" s="1">
        <v>2675</v>
      </c>
      <c r="B2677" t="str">
        <f>HYPERLINK("https://bugs.eclipse.org/bugs/show_bug.cgi?id=108071", "108071")</f>
        <v>108071</v>
      </c>
      <c r="C2677" t="s">
        <v>35</v>
      </c>
      <c r="D2677" t="s">
        <v>11</v>
      </c>
      <c r="E2677" t="s">
        <v>12</v>
      </c>
      <c r="F2677" t="s">
        <v>26</v>
      </c>
      <c r="G2677" t="s">
        <v>12276</v>
      </c>
      <c r="L2677" t="s">
        <v>12277</v>
      </c>
      <c r="M2677" t="s">
        <v>12278</v>
      </c>
      <c r="N2677" t="s">
        <v>12277</v>
      </c>
      <c r="T2677" t="s">
        <v>12279</v>
      </c>
      <c r="U2677" t="s">
        <v>12280</v>
      </c>
      <c r="V2677" t="s">
        <v>12281</v>
      </c>
      <c r="W2677" t="s">
        <v>143</v>
      </c>
      <c r="X2677" t="s">
        <v>12282</v>
      </c>
      <c r="Y2677">
        <v>1</v>
      </c>
      <c r="Z2677">
        <v>104.0416666666667</v>
      </c>
    </row>
    <row r="2678" spans="1:26">
      <c r="A2678" s="1">
        <v>2676</v>
      </c>
      <c r="B2678" t="str">
        <f>HYPERLINK("https://bugs.eclipse.org/bugs/show_bug.cgi?id=108103", "108103")</f>
        <v>108103</v>
      </c>
      <c r="C2678" t="s">
        <v>4692</v>
      </c>
      <c r="D2678" t="s">
        <v>4692</v>
      </c>
      <c r="F2678" t="s">
        <v>26</v>
      </c>
      <c r="T2678" t="s">
        <v>12283</v>
      </c>
      <c r="U2678" t="s">
        <v>12284</v>
      </c>
      <c r="V2678" t="s">
        <v>12285</v>
      </c>
      <c r="W2678" t="s">
        <v>49</v>
      </c>
      <c r="X2678" t="s">
        <v>12286</v>
      </c>
      <c r="Y2678">
        <v>0</v>
      </c>
    </row>
    <row r="2679" spans="1:26">
      <c r="A2679" s="1">
        <v>2677</v>
      </c>
      <c r="B2679" t="str">
        <f>HYPERLINK("https://bugs.eclipse.org/bugs/show_bug.cgi?id=108115", "108115")</f>
        <v>108115</v>
      </c>
      <c r="C2679" t="s">
        <v>35</v>
      </c>
      <c r="D2679" t="s">
        <v>11</v>
      </c>
      <c r="E2679" t="s">
        <v>12</v>
      </c>
      <c r="F2679" t="s">
        <v>26</v>
      </c>
      <c r="L2679" t="s">
        <v>12287</v>
      </c>
      <c r="M2679" t="s">
        <v>12288</v>
      </c>
      <c r="N2679" t="s">
        <v>12287</v>
      </c>
      <c r="T2679" t="s">
        <v>12289</v>
      </c>
      <c r="U2679" t="s">
        <v>12290</v>
      </c>
      <c r="V2679" t="s">
        <v>12288</v>
      </c>
      <c r="W2679" t="s">
        <v>2668</v>
      </c>
      <c r="X2679" t="s">
        <v>12291</v>
      </c>
      <c r="Y2679">
        <v>0</v>
      </c>
      <c r="Z2679">
        <v>7</v>
      </c>
    </row>
    <row r="2680" spans="1:26">
      <c r="A2680" s="1">
        <v>2678</v>
      </c>
      <c r="B2680" t="str">
        <f>HYPERLINK("https://bugs.eclipse.org/bugs/show_bug.cgi?id=108145", "108145")</f>
        <v>108145</v>
      </c>
      <c r="C2680" t="s">
        <v>12292</v>
      </c>
      <c r="D2680" t="s">
        <v>10</v>
      </c>
      <c r="E2680" t="s">
        <v>15</v>
      </c>
      <c r="F2680" t="s">
        <v>26</v>
      </c>
      <c r="L2680" t="s">
        <v>12293</v>
      </c>
      <c r="Q2680" t="s">
        <v>12293</v>
      </c>
      <c r="T2680" t="s">
        <v>12294</v>
      </c>
      <c r="U2680" t="s">
        <v>12293</v>
      </c>
      <c r="V2680" t="s">
        <v>12293</v>
      </c>
      <c r="W2680" t="s">
        <v>86</v>
      </c>
      <c r="X2680" t="s">
        <v>12295</v>
      </c>
      <c r="Y2680">
        <v>3</v>
      </c>
      <c r="Z2680">
        <v>3</v>
      </c>
    </row>
    <row r="2681" spans="1:26">
      <c r="A2681" s="1">
        <v>2679</v>
      </c>
      <c r="B2681" t="str">
        <f>HYPERLINK("https://bugs.eclipse.org/bugs/show_bug.cgi?id=108147", "108147")</f>
        <v>108147</v>
      </c>
      <c r="C2681" t="s">
        <v>35</v>
      </c>
      <c r="D2681" t="s">
        <v>11</v>
      </c>
      <c r="E2681" t="s">
        <v>12</v>
      </c>
      <c r="F2681" t="s">
        <v>26</v>
      </c>
      <c r="G2681" t="s">
        <v>12296</v>
      </c>
      <c r="L2681" t="s">
        <v>12297</v>
      </c>
      <c r="M2681" t="s">
        <v>12298</v>
      </c>
      <c r="N2681" t="s">
        <v>12297</v>
      </c>
      <c r="T2681" t="s">
        <v>12299</v>
      </c>
      <c r="U2681" t="s">
        <v>12300</v>
      </c>
      <c r="V2681" t="s">
        <v>12298</v>
      </c>
      <c r="W2681" t="s">
        <v>12301</v>
      </c>
      <c r="X2681" t="s">
        <v>12302</v>
      </c>
      <c r="Y2681">
        <v>3</v>
      </c>
      <c r="Z2681">
        <v>5198.041666666667</v>
      </c>
    </row>
    <row r="2682" spans="1:26">
      <c r="A2682" s="1">
        <v>2680</v>
      </c>
      <c r="B2682" t="str">
        <f>HYPERLINK("https://bugs.eclipse.org/bugs/show_bug.cgi?id=108188", "108188")</f>
        <v>108188</v>
      </c>
      <c r="C2682" t="s">
        <v>8572</v>
      </c>
      <c r="D2682" t="s">
        <v>10</v>
      </c>
      <c r="E2682" t="s">
        <v>15</v>
      </c>
      <c r="F2682" t="s">
        <v>26</v>
      </c>
      <c r="L2682" t="s">
        <v>12303</v>
      </c>
      <c r="Q2682" t="s">
        <v>12303</v>
      </c>
      <c r="T2682" t="s">
        <v>12304</v>
      </c>
      <c r="U2682" t="s">
        <v>12305</v>
      </c>
      <c r="V2682" t="s">
        <v>12303</v>
      </c>
      <c r="W2682" t="s">
        <v>49</v>
      </c>
      <c r="X2682" t="s">
        <v>12306</v>
      </c>
      <c r="Y2682">
        <v>2</v>
      </c>
      <c r="Z2682">
        <v>341</v>
      </c>
    </row>
    <row r="2683" spans="1:26">
      <c r="A2683" s="1">
        <v>2681</v>
      </c>
      <c r="B2683" t="str">
        <f>HYPERLINK("https://bugs.eclipse.org/bugs/show_bug.cgi?id=108221", "108221")</f>
        <v>108221</v>
      </c>
      <c r="C2683" t="s">
        <v>88</v>
      </c>
      <c r="D2683" t="s">
        <v>10</v>
      </c>
      <c r="E2683" t="s">
        <v>13</v>
      </c>
      <c r="F2683" t="s">
        <v>26</v>
      </c>
      <c r="L2683" t="s">
        <v>12307</v>
      </c>
      <c r="O2683" t="s">
        <v>12307</v>
      </c>
      <c r="T2683" t="s">
        <v>12308</v>
      </c>
      <c r="U2683" t="s">
        <v>12309</v>
      </c>
      <c r="V2683" t="s">
        <v>12307</v>
      </c>
      <c r="W2683" t="s">
        <v>2668</v>
      </c>
      <c r="X2683" t="s">
        <v>12310</v>
      </c>
      <c r="Y2683">
        <v>0</v>
      </c>
      <c r="Z2683">
        <v>1</v>
      </c>
    </row>
    <row r="2684" spans="1:26">
      <c r="A2684" s="1">
        <v>2682</v>
      </c>
      <c r="B2684" t="str">
        <f>HYPERLINK("https://bugs.eclipse.org/bugs/show_bug.cgi?id=108256", "108256")</f>
        <v>108256</v>
      </c>
      <c r="C2684" t="s">
        <v>149</v>
      </c>
      <c r="D2684" t="s">
        <v>10</v>
      </c>
      <c r="E2684" t="s">
        <v>12</v>
      </c>
      <c r="F2684" t="s">
        <v>26</v>
      </c>
      <c r="L2684" t="s">
        <v>12311</v>
      </c>
      <c r="N2684" t="s">
        <v>12311</v>
      </c>
      <c r="T2684" t="s">
        <v>12312</v>
      </c>
      <c r="U2684" t="s">
        <v>12313</v>
      </c>
      <c r="V2684" t="s">
        <v>12311</v>
      </c>
      <c r="W2684" t="s">
        <v>86</v>
      </c>
      <c r="X2684" t="s">
        <v>12314</v>
      </c>
      <c r="Y2684">
        <v>11</v>
      </c>
      <c r="Z2684">
        <v>226</v>
      </c>
    </row>
    <row r="2685" spans="1:26">
      <c r="A2685" s="1">
        <v>2683</v>
      </c>
      <c r="B2685" t="str">
        <f>HYPERLINK("https://bugs.eclipse.org/bugs/show_bug.cgi?id=108352", "108352")</f>
        <v>108352</v>
      </c>
      <c r="C2685" t="s">
        <v>88</v>
      </c>
      <c r="D2685" t="s">
        <v>10</v>
      </c>
      <c r="E2685" t="s">
        <v>13</v>
      </c>
      <c r="F2685" t="s">
        <v>26</v>
      </c>
      <c r="L2685" t="s">
        <v>12315</v>
      </c>
      <c r="O2685" t="s">
        <v>12315</v>
      </c>
      <c r="T2685" t="s">
        <v>12316</v>
      </c>
      <c r="U2685" t="s">
        <v>12317</v>
      </c>
      <c r="V2685" t="s">
        <v>12315</v>
      </c>
      <c r="W2685" t="s">
        <v>9550</v>
      </c>
      <c r="X2685" t="s">
        <v>12318</v>
      </c>
      <c r="Y2685">
        <v>0</v>
      </c>
      <c r="Z2685">
        <v>29</v>
      </c>
    </row>
    <row r="2686" spans="1:26">
      <c r="A2686" s="1">
        <v>2684</v>
      </c>
      <c r="B2686" t="str">
        <f>HYPERLINK("https://bugs.eclipse.org/bugs/show_bug.cgi?id=108354", "108354")</f>
        <v>108354</v>
      </c>
      <c r="C2686" t="s">
        <v>88</v>
      </c>
      <c r="D2686" t="s">
        <v>10</v>
      </c>
      <c r="E2686" t="s">
        <v>13</v>
      </c>
      <c r="F2686" t="s">
        <v>26</v>
      </c>
      <c r="L2686" t="s">
        <v>12319</v>
      </c>
      <c r="O2686" t="s">
        <v>12319</v>
      </c>
      <c r="T2686" t="s">
        <v>12320</v>
      </c>
      <c r="U2686" t="s">
        <v>12321</v>
      </c>
      <c r="V2686" t="s">
        <v>12319</v>
      </c>
      <c r="W2686" t="s">
        <v>851</v>
      </c>
      <c r="X2686" t="s">
        <v>12322</v>
      </c>
      <c r="Y2686">
        <v>0</v>
      </c>
      <c r="Z2686">
        <v>13</v>
      </c>
    </row>
    <row r="2687" spans="1:26">
      <c r="A2687" s="1">
        <v>2685</v>
      </c>
      <c r="B2687" t="str">
        <f>HYPERLINK("https://bugs.eclipse.org/bugs/show_bug.cgi?id=108542", "108542")</f>
        <v>108542</v>
      </c>
      <c r="C2687" t="s">
        <v>140</v>
      </c>
      <c r="D2687" t="s">
        <v>10</v>
      </c>
      <c r="E2687" t="s">
        <v>16</v>
      </c>
      <c r="F2687" t="s">
        <v>26</v>
      </c>
      <c r="L2687" t="s">
        <v>12323</v>
      </c>
      <c r="R2687" t="s">
        <v>12323</v>
      </c>
      <c r="T2687" t="s">
        <v>12324</v>
      </c>
      <c r="U2687" t="s">
        <v>12325</v>
      </c>
      <c r="V2687" t="s">
        <v>12323</v>
      </c>
      <c r="W2687" t="s">
        <v>49</v>
      </c>
      <c r="X2687" t="s">
        <v>12326</v>
      </c>
      <c r="Y2687">
        <v>1</v>
      </c>
      <c r="Z2687">
        <v>289</v>
      </c>
    </row>
    <row r="2688" spans="1:26">
      <c r="A2688" s="1">
        <v>2686</v>
      </c>
      <c r="B2688" t="str">
        <f>HYPERLINK("https://bugs.eclipse.org/bugs/show_bug.cgi?id=108558", "108558")</f>
        <v>108558</v>
      </c>
      <c r="C2688" t="s">
        <v>12327</v>
      </c>
      <c r="D2688" t="s">
        <v>10</v>
      </c>
      <c r="E2688" t="s">
        <v>15</v>
      </c>
      <c r="F2688" t="s">
        <v>26</v>
      </c>
      <c r="G2688" t="s">
        <v>12328</v>
      </c>
      <c r="L2688" t="s">
        <v>12329</v>
      </c>
      <c r="Q2688" t="s">
        <v>12329</v>
      </c>
      <c r="T2688" t="s">
        <v>12330</v>
      </c>
      <c r="U2688" t="s">
        <v>12331</v>
      </c>
      <c r="V2688" t="s">
        <v>12329</v>
      </c>
      <c r="W2688" t="s">
        <v>1954</v>
      </c>
      <c r="X2688" t="s">
        <v>12332</v>
      </c>
      <c r="Y2688">
        <v>0</v>
      </c>
      <c r="Z2688">
        <v>204.04166666666671</v>
      </c>
    </row>
    <row r="2689" spans="1:26">
      <c r="A2689" s="1">
        <v>2687</v>
      </c>
      <c r="B2689" t="str">
        <f>HYPERLINK("https://bugs.eclipse.org/bugs/show_bug.cgi?id=108666", "108666")</f>
        <v>108666</v>
      </c>
      <c r="C2689" t="s">
        <v>35</v>
      </c>
      <c r="D2689" t="s">
        <v>11</v>
      </c>
      <c r="E2689" t="s">
        <v>12</v>
      </c>
      <c r="F2689" t="s">
        <v>26</v>
      </c>
      <c r="L2689" t="s">
        <v>12333</v>
      </c>
      <c r="M2689" t="s">
        <v>12334</v>
      </c>
      <c r="N2689" t="s">
        <v>12333</v>
      </c>
      <c r="T2689" t="s">
        <v>12335</v>
      </c>
      <c r="U2689" t="s">
        <v>12336</v>
      </c>
      <c r="V2689" t="s">
        <v>12334</v>
      </c>
      <c r="W2689" t="s">
        <v>2668</v>
      </c>
      <c r="X2689" t="s">
        <v>12337</v>
      </c>
      <c r="Y2689">
        <v>0</v>
      </c>
      <c r="Z2689">
        <v>18</v>
      </c>
    </row>
    <row r="2690" spans="1:26">
      <c r="A2690" s="1">
        <v>2688</v>
      </c>
      <c r="B2690" t="str">
        <f>HYPERLINK("https://bugs.eclipse.org/bugs/show_bug.cgi?id=108672", "108672")</f>
        <v>108672</v>
      </c>
      <c r="C2690" t="s">
        <v>35</v>
      </c>
      <c r="D2690" t="s">
        <v>11</v>
      </c>
      <c r="E2690" t="s">
        <v>12</v>
      </c>
      <c r="F2690" t="s">
        <v>26</v>
      </c>
      <c r="G2690" t="s">
        <v>12338</v>
      </c>
      <c r="L2690" t="s">
        <v>12339</v>
      </c>
      <c r="M2690" t="s">
        <v>12340</v>
      </c>
      <c r="N2690" t="s">
        <v>12339</v>
      </c>
      <c r="T2690" t="s">
        <v>12341</v>
      </c>
      <c r="U2690" t="s">
        <v>12342</v>
      </c>
      <c r="V2690" t="s">
        <v>12340</v>
      </c>
      <c r="W2690" t="s">
        <v>49</v>
      </c>
      <c r="X2690" t="s">
        <v>12343</v>
      </c>
      <c r="Y2690">
        <v>0</v>
      </c>
      <c r="Z2690">
        <v>18</v>
      </c>
    </row>
    <row r="2691" spans="1:26">
      <c r="A2691" s="1">
        <v>2689</v>
      </c>
      <c r="B2691" t="str">
        <f>HYPERLINK("https://bugs.eclipse.org/bugs/show_bug.cgi?id=108755", "108755")</f>
        <v>108755</v>
      </c>
      <c r="C2691" t="s">
        <v>4646</v>
      </c>
      <c r="D2691" t="s">
        <v>10</v>
      </c>
      <c r="E2691" t="s">
        <v>15</v>
      </c>
      <c r="F2691" t="s">
        <v>26</v>
      </c>
      <c r="L2691" t="s">
        <v>12344</v>
      </c>
      <c r="Q2691" t="s">
        <v>12344</v>
      </c>
      <c r="T2691" t="s">
        <v>12345</v>
      </c>
      <c r="U2691" t="s">
        <v>12346</v>
      </c>
      <c r="V2691" t="s">
        <v>12344</v>
      </c>
      <c r="W2691" t="s">
        <v>86</v>
      </c>
      <c r="X2691" t="s">
        <v>12347</v>
      </c>
      <c r="Y2691">
        <v>0</v>
      </c>
      <c r="Z2691">
        <v>1</v>
      </c>
    </row>
    <row r="2692" spans="1:26">
      <c r="A2692" s="1">
        <v>2690</v>
      </c>
      <c r="B2692" t="str">
        <f>HYPERLINK("https://bugs.eclipse.org/bugs/show_bug.cgi?id=108758", "108758")</f>
        <v>108758</v>
      </c>
      <c r="C2692" t="s">
        <v>191</v>
      </c>
      <c r="D2692" t="s">
        <v>192</v>
      </c>
      <c r="E2692" t="s">
        <v>14</v>
      </c>
      <c r="F2692" t="s">
        <v>26</v>
      </c>
      <c r="G2692" t="s">
        <v>12348</v>
      </c>
      <c r="L2692" t="s">
        <v>12349</v>
      </c>
      <c r="P2692" t="s">
        <v>12350</v>
      </c>
      <c r="T2692" t="s">
        <v>12351</v>
      </c>
      <c r="U2692" t="s">
        <v>12352</v>
      </c>
      <c r="V2692" t="s">
        <v>12350</v>
      </c>
      <c r="W2692" t="s">
        <v>75</v>
      </c>
      <c r="X2692" t="s">
        <v>12353</v>
      </c>
      <c r="Y2692">
        <v>1</v>
      </c>
      <c r="Z2692">
        <v>1456</v>
      </c>
    </row>
    <row r="2693" spans="1:26">
      <c r="A2693" s="1">
        <v>2691</v>
      </c>
      <c r="B2693" t="str">
        <f>HYPERLINK("https://bugs.eclipse.org/bugs/show_bug.cgi?id=108761", "108761")</f>
        <v>108761</v>
      </c>
      <c r="C2693" t="s">
        <v>35</v>
      </c>
      <c r="D2693" t="s">
        <v>11</v>
      </c>
      <c r="E2693" t="s">
        <v>12</v>
      </c>
      <c r="F2693" t="s">
        <v>150</v>
      </c>
      <c r="L2693" t="s">
        <v>12354</v>
      </c>
      <c r="M2693" t="s">
        <v>12355</v>
      </c>
      <c r="N2693" t="s">
        <v>12354</v>
      </c>
      <c r="T2693" t="s">
        <v>12356</v>
      </c>
      <c r="U2693" t="s">
        <v>12357</v>
      </c>
      <c r="V2693" t="s">
        <v>12355</v>
      </c>
      <c r="W2693" t="s">
        <v>49</v>
      </c>
      <c r="X2693" t="s">
        <v>12358</v>
      </c>
      <c r="Y2693">
        <v>1</v>
      </c>
      <c r="Z2693">
        <v>16</v>
      </c>
    </row>
    <row r="2694" spans="1:26">
      <c r="A2694" s="1">
        <v>2692</v>
      </c>
      <c r="B2694" t="str">
        <f>HYPERLINK("https://bugs.eclipse.org/bugs/show_bug.cgi?id=108812", "108812")</f>
        <v>108812</v>
      </c>
      <c r="C2694" t="s">
        <v>12359</v>
      </c>
      <c r="D2694" t="s">
        <v>10</v>
      </c>
      <c r="E2694" t="s">
        <v>15</v>
      </c>
      <c r="F2694" t="s">
        <v>26</v>
      </c>
      <c r="L2694" t="s">
        <v>12360</v>
      </c>
      <c r="Q2694" t="s">
        <v>12360</v>
      </c>
      <c r="T2694" t="s">
        <v>12361</v>
      </c>
      <c r="U2694" t="s">
        <v>12360</v>
      </c>
      <c r="V2694" t="s">
        <v>12362</v>
      </c>
      <c r="W2694" t="s">
        <v>12363</v>
      </c>
      <c r="X2694" t="s">
        <v>12364</v>
      </c>
      <c r="Y2694">
        <v>0</v>
      </c>
      <c r="Z2694">
        <v>0</v>
      </c>
    </row>
    <row r="2695" spans="1:26">
      <c r="A2695" s="1">
        <v>2693</v>
      </c>
      <c r="B2695" t="str">
        <f>HYPERLINK("https://bugs.eclipse.org/bugs/show_bug.cgi?id=108814", "108814")</f>
        <v>108814</v>
      </c>
      <c r="C2695" t="s">
        <v>4646</v>
      </c>
      <c r="D2695" t="s">
        <v>10</v>
      </c>
      <c r="E2695" t="s">
        <v>15</v>
      </c>
      <c r="F2695" t="s">
        <v>26</v>
      </c>
      <c r="L2695" t="s">
        <v>12365</v>
      </c>
      <c r="Q2695" t="s">
        <v>12365</v>
      </c>
      <c r="T2695" t="s">
        <v>12366</v>
      </c>
      <c r="U2695" t="s">
        <v>12367</v>
      </c>
      <c r="V2695" t="s">
        <v>12365</v>
      </c>
      <c r="W2695" t="s">
        <v>11007</v>
      </c>
      <c r="X2695" t="s">
        <v>12368</v>
      </c>
      <c r="Y2695">
        <v>0</v>
      </c>
      <c r="Z2695">
        <v>0</v>
      </c>
    </row>
    <row r="2696" spans="1:26">
      <c r="A2696" s="1">
        <v>2694</v>
      </c>
      <c r="B2696" t="str">
        <f>HYPERLINK("https://bugs.eclipse.org/bugs/show_bug.cgi?id=108911", "108911")</f>
        <v>108911</v>
      </c>
      <c r="C2696" t="s">
        <v>56</v>
      </c>
      <c r="D2696" t="s">
        <v>10</v>
      </c>
      <c r="E2696" t="s">
        <v>14</v>
      </c>
      <c r="F2696" t="s">
        <v>51</v>
      </c>
      <c r="L2696" t="s">
        <v>12369</v>
      </c>
      <c r="P2696" t="s">
        <v>12370</v>
      </c>
      <c r="T2696" t="s">
        <v>12371</v>
      </c>
      <c r="U2696" t="s">
        <v>12372</v>
      </c>
      <c r="V2696" t="s">
        <v>12370</v>
      </c>
      <c r="W2696" t="s">
        <v>80</v>
      </c>
      <c r="X2696" t="s">
        <v>12373</v>
      </c>
      <c r="Y2696">
        <v>0</v>
      </c>
      <c r="Z2696">
        <v>1453</v>
      </c>
    </row>
    <row r="2697" spans="1:26">
      <c r="A2697" s="1">
        <v>2695</v>
      </c>
      <c r="B2697" t="str">
        <f>HYPERLINK("https://bugs.eclipse.org/bugs/show_bug.cgi?id=109053", "109053")</f>
        <v>109053</v>
      </c>
      <c r="C2697" t="s">
        <v>35</v>
      </c>
      <c r="D2697" t="s">
        <v>11</v>
      </c>
      <c r="E2697" t="s">
        <v>12</v>
      </c>
      <c r="F2697" t="s">
        <v>26</v>
      </c>
      <c r="L2697" t="s">
        <v>12374</v>
      </c>
      <c r="M2697" t="s">
        <v>12375</v>
      </c>
      <c r="N2697" t="s">
        <v>12374</v>
      </c>
      <c r="T2697" t="s">
        <v>12376</v>
      </c>
      <c r="U2697" t="s">
        <v>12374</v>
      </c>
      <c r="V2697" t="s">
        <v>12375</v>
      </c>
      <c r="W2697" t="s">
        <v>2668</v>
      </c>
      <c r="X2697" t="s">
        <v>12377</v>
      </c>
      <c r="Y2697">
        <v>0</v>
      </c>
      <c r="Z2697">
        <v>12</v>
      </c>
    </row>
    <row r="2698" spans="1:26">
      <c r="A2698" s="1">
        <v>2696</v>
      </c>
      <c r="B2698" t="str">
        <f>HYPERLINK("https://bugs.eclipse.org/bugs/show_bug.cgi?id=109071", "109071")</f>
        <v>109071</v>
      </c>
      <c r="C2698" t="s">
        <v>35</v>
      </c>
      <c r="D2698" t="s">
        <v>11</v>
      </c>
      <c r="E2698" t="s">
        <v>12</v>
      </c>
      <c r="F2698" t="s">
        <v>26</v>
      </c>
      <c r="L2698" t="s">
        <v>12378</v>
      </c>
      <c r="M2698" t="s">
        <v>12379</v>
      </c>
      <c r="N2698" t="s">
        <v>12378</v>
      </c>
      <c r="T2698" t="s">
        <v>12380</v>
      </c>
      <c r="U2698" t="s">
        <v>12381</v>
      </c>
      <c r="V2698" t="s">
        <v>12379</v>
      </c>
      <c r="W2698" t="s">
        <v>1161</v>
      </c>
      <c r="X2698" t="s">
        <v>12382</v>
      </c>
      <c r="Y2698">
        <v>3</v>
      </c>
      <c r="Z2698">
        <v>12</v>
      </c>
    </row>
    <row r="2699" spans="1:26">
      <c r="A2699" s="1">
        <v>2697</v>
      </c>
      <c r="B2699" t="str">
        <f>HYPERLINK("https://bugs.eclipse.org/bugs/show_bug.cgi?id=109145", "109145")</f>
        <v>109145</v>
      </c>
      <c r="C2699" t="s">
        <v>35</v>
      </c>
      <c r="D2699" t="s">
        <v>11</v>
      </c>
      <c r="E2699" t="s">
        <v>12</v>
      </c>
      <c r="F2699" t="s">
        <v>26</v>
      </c>
      <c r="L2699" t="s">
        <v>12383</v>
      </c>
      <c r="M2699" t="s">
        <v>12384</v>
      </c>
      <c r="N2699" t="s">
        <v>12383</v>
      </c>
      <c r="T2699" t="s">
        <v>12385</v>
      </c>
      <c r="U2699" t="s">
        <v>12386</v>
      </c>
      <c r="V2699" t="s">
        <v>12384</v>
      </c>
      <c r="W2699" t="s">
        <v>143</v>
      </c>
      <c r="X2699" t="s">
        <v>12387</v>
      </c>
      <c r="Y2699">
        <v>0</v>
      </c>
      <c r="Z2699">
        <v>983</v>
      </c>
    </row>
    <row r="2700" spans="1:26">
      <c r="A2700" s="1">
        <v>2698</v>
      </c>
      <c r="B2700" t="str">
        <f>HYPERLINK("https://bugs.eclipse.org/bugs/show_bug.cgi?id=109153", "109153")</f>
        <v>109153</v>
      </c>
      <c r="C2700" t="s">
        <v>2160</v>
      </c>
      <c r="D2700" t="s">
        <v>192</v>
      </c>
      <c r="E2700" t="s">
        <v>16</v>
      </c>
      <c r="F2700" t="s">
        <v>26</v>
      </c>
      <c r="L2700" t="s">
        <v>12388</v>
      </c>
      <c r="R2700" t="s">
        <v>12388</v>
      </c>
      <c r="T2700" t="s">
        <v>12389</v>
      </c>
      <c r="U2700" t="s">
        <v>12390</v>
      </c>
      <c r="V2700" t="s">
        <v>12391</v>
      </c>
      <c r="W2700" t="s">
        <v>12392</v>
      </c>
      <c r="X2700" t="s">
        <v>12393</v>
      </c>
      <c r="Y2700">
        <v>0</v>
      </c>
      <c r="Z2700">
        <v>98.041666666666671</v>
      </c>
    </row>
    <row r="2701" spans="1:26">
      <c r="A2701" s="1">
        <v>2699</v>
      </c>
      <c r="B2701" t="str">
        <f>HYPERLINK("https://bugs.eclipse.org/bugs/show_bug.cgi?id=109258", "109258")</f>
        <v>109258</v>
      </c>
      <c r="C2701" t="s">
        <v>56</v>
      </c>
      <c r="D2701" t="s">
        <v>10</v>
      </c>
      <c r="E2701" t="s">
        <v>14</v>
      </c>
      <c r="F2701" t="s">
        <v>51</v>
      </c>
      <c r="L2701" t="s">
        <v>12394</v>
      </c>
      <c r="P2701" t="s">
        <v>12394</v>
      </c>
      <c r="S2701" t="s">
        <v>12395</v>
      </c>
      <c r="T2701" t="s">
        <v>12396</v>
      </c>
      <c r="U2701" t="s">
        <v>12397</v>
      </c>
      <c r="V2701" t="s">
        <v>12394</v>
      </c>
      <c r="W2701" t="s">
        <v>49</v>
      </c>
      <c r="X2701" t="s">
        <v>12398</v>
      </c>
      <c r="Y2701">
        <v>0</v>
      </c>
      <c r="Z2701">
        <v>388</v>
      </c>
    </row>
    <row r="2702" spans="1:26">
      <c r="A2702" s="1">
        <v>2700</v>
      </c>
      <c r="B2702" t="str">
        <f>HYPERLINK("https://bugs.eclipse.org/bugs/show_bug.cgi?id=109267", "109267")</f>
        <v>109267</v>
      </c>
      <c r="C2702" t="s">
        <v>6106</v>
      </c>
      <c r="D2702" t="s">
        <v>10</v>
      </c>
      <c r="E2702" t="s">
        <v>15</v>
      </c>
      <c r="F2702" t="s">
        <v>26</v>
      </c>
      <c r="L2702" t="s">
        <v>12399</v>
      </c>
      <c r="Q2702" t="s">
        <v>12399</v>
      </c>
      <c r="T2702" t="s">
        <v>12400</v>
      </c>
      <c r="U2702" t="s">
        <v>12399</v>
      </c>
      <c r="V2702" t="s">
        <v>12399</v>
      </c>
      <c r="W2702" t="s">
        <v>86</v>
      </c>
      <c r="X2702" t="s">
        <v>12401</v>
      </c>
      <c r="Y2702">
        <v>1</v>
      </c>
      <c r="Z2702">
        <v>1</v>
      </c>
    </row>
    <row r="2703" spans="1:26">
      <c r="A2703" s="1">
        <v>2701</v>
      </c>
      <c r="B2703" t="str">
        <f>HYPERLINK("https://bugs.eclipse.org/bugs/show_bug.cgi?id=109280", "109280")</f>
        <v>109280</v>
      </c>
      <c r="C2703" t="s">
        <v>149</v>
      </c>
      <c r="D2703" t="s">
        <v>10</v>
      </c>
      <c r="E2703" t="s">
        <v>12</v>
      </c>
      <c r="F2703" t="s">
        <v>26</v>
      </c>
      <c r="G2703" t="s">
        <v>12402</v>
      </c>
      <c r="L2703" t="s">
        <v>12403</v>
      </c>
      <c r="N2703" t="s">
        <v>12403</v>
      </c>
      <c r="T2703" t="s">
        <v>12404</v>
      </c>
      <c r="U2703" t="s">
        <v>12405</v>
      </c>
      <c r="V2703" t="s">
        <v>12406</v>
      </c>
      <c r="W2703" t="s">
        <v>86</v>
      </c>
      <c r="X2703" t="s">
        <v>12407</v>
      </c>
      <c r="Y2703">
        <v>0</v>
      </c>
      <c r="Z2703">
        <v>203</v>
      </c>
    </row>
    <row r="2704" spans="1:26">
      <c r="A2704" s="1">
        <v>2702</v>
      </c>
      <c r="B2704" t="str">
        <f>HYPERLINK("https://bugs.eclipse.org/bugs/show_bug.cgi?id=109282", "109282")</f>
        <v>109282</v>
      </c>
      <c r="C2704" t="s">
        <v>191</v>
      </c>
      <c r="D2704" t="s">
        <v>192</v>
      </c>
      <c r="E2704" t="s">
        <v>14</v>
      </c>
      <c r="F2704" t="s">
        <v>26</v>
      </c>
      <c r="G2704" t="s">
        <v>12408</v>
      </c>
      <c r="P2704" t="s">
        <v>12409</v>
      </c>
      <c r="T2704" t="s">
        <v>12410</v>
      </c>
      <c r="U2704" t="s">
        <v>12411</v>
      </c>
      <c r="V2704" t="s">
        <v>12409</v>
      </c>
      <c r="W2704" t="s">
        <v>65</v>
      </c>
      <c r="X2704" t="s">
        <v>12412</v>
      </c>
      <c r="Y2704">
        <v>0</v>
      </c>
      <c r="Z2704">
        <v>5308</v>
      </c>
    </row>
    <row r="2705" spans="1:26">
      <c r="A2705" s="1">
        <v>2703</v>
      </c>
      <c r="B2705" t="str">
        <f>HYPERLINK("https://bugs.eclipse.org/bugs/show_bug.cgi?id=109285", "109285")</f>
        <v>109285</v>
      </c>
      <c r="C2705" t="s">
        <v>12413</v>
      </c>
      <c r="D2705" t="s">
        <v>10</v>
      </c>
      <c r="E2705" t="s">
        <v>15</v>
      </c>
      <c r="F2705" t="s">
        <v>26</v>
      </c>
      <c r="L2705" t="s">
        <v>12414</v>
      </c>
      <c r="Q2705" t="s">
        <v>12414</v>
      </c>
      <c r="T2705" t="s">
        <v>12415</v>
      </c>
      <c r="U2705" t="s">
        <v>12414</v>
      </c>
      <c r="V2705" t="s">
        <v>12414</v>
      </c>
      <c r="W2705" t="s">
        <v>86</v>
      </c>
      <c r="X2705" t="s">
        <v>12416</v>
      </c>
      <c r="Y2705">
        <v>0</v>
      </c>
      <c r="Z2705">
        <v>0</v>
      </c>
    </row>
    <row r="2706" spans="1:26">
      <c r="A2706" s="1">
        <v>2704</v>
      </c>
      <c r="B2706" t="str">
        <f>HYPERLINK("https://bugs.eclipse.org/bugs/show_bug.cgi?id=109362", "109362")</f>
        <v>109362</v>
      </c>
      <c r="C2706" t="s">
        <v>35</v>
      </c>
      <c r="D2706" t="s">
        <v>11</v>
      </c>
      <c r="E2706" t="s">
        <v>12</v>
      </c>
      <c r="F2706" t="s">
        <v>26</v>
      </c>
      <c r="L2706" t="s">
        <v>12417</v>
      </c>
      <c r="M2706" t="s">
        <v>12418</v>
      </c>
      <c r="N2706" t="s">
        <v>12417</v>
      </c>
      <c r="S2706" t="s">
        <v>12419</v>
      </c>
      <c r="T2706" t="s">
        <v>12420</v>
      </c>
      <c r="U2706" t="s">
        <v>12421</v>
      </c>
      <c r="V2706" t="s">
        <v>12418</v>
      </c>
      <c r="W2706" t="s">
        <v>851</v>
      </c>
      <c r="X2706" t="s">
        <v>12422</v>
      </c>
      <c r="Y2706">
        <v>0</v>
      </c>
      <c r="Z2706">
        <v>0</v>
      </c>
    </row>
    <row r="2707" spans="1:26">
      <c r="A2707" s="1">
        <v>2705</v>
      </c>
      <c r="B2707" t="str">
        <f>HYPERLINK("https://bugs.eclipse.org/bugs/show_bug.cgi?id=109582", "109582")</f>
        <v>109582</v>
      </c>
      <c r="C2707" t="s">
        <v>35</v>
      </c>
      <c r="D2707" t="s">
        <v>11</v>
      </c>
      <c r="E2707" t="s">
        <v>12</v>
      </c>
      <c r="F2707" t="s">
        <v>26</v>
      </c>
      <c r="L2707" t="s">
        <v>12423</v>
      </c>
      <c r="M2707" t="s">
        <v>12424</v>
      </c>
      <c r="N2707" t="s">
        <v>12423</v>
      </c>
      <c r="T2707" t="s">
        <v>12425</v>
      </c>
      <c r="U2707" t="s">
        <v>12423</v>
      </c>
      <c r="V2707" t="s">
        <v>12424</v>
      </c>
      <c r="W2707" t="s">
        <v>49</v>
      </c>
      <c r="X2707" t="s">
        <v>12426</v>
      </c>
      <c r="Y2707">
        <v>0</v>
      </c>
      <c r="Z2707">
        <v>5</v>
      </c>
    </row>
    <row r="2708" spans="1:26">
      <c r="A2708" s="1">
        <v>2706</v>
      </c>
      <c r="B2708" t="str">
        <f>HYPERLINK("https://bugs.eclipse.org/bugs/show_bug.cgi?id=109972", "109972")</f>
        <v>109972</v>
      </c>
      <c r="C2708" t="s">
        <v>12427</v>
      </c>
      <c r="D2708" t="s">
        <v>10</v>
      </c>
      <c r="E2708" t="s">
        <v>15</v>
      </c>
      <c r="F2708" t="s">
        <v>26</v>
      </c>
      <c r="G2708" t="s">
        <v>12428</v>
      </c>
      <c r="L2708" t="s">
        <v>12429</v>
      </c>
      <c r="Q2708" t="s">
        <v>12429</v>
      </c>
      <c r="T2708" t="s">
        <v>12430</v>
      </c>
      <c r="U2708" t="s">
        <v>12431</v>
      </c>
      <c r="V2708" t="s">
        <v>12429</v>
      </c>
      <c r="W2708" t="s">
        <v>851</v>
      </c>
      <c r="X2708" t="s">
        <v>12432</v>
      </c>
      <c r="Y2708">
        <v>1</v>
      </c>
      <c r="Z2708">
        <v>190.04166666666671</v>
      </c>
    </row>
    <row r="2709" spans="1:26">
      <c r="A2709" s="1">
        <v>2707</v>
      </c>
      <c r="B2709" t="str">
        <f>HYPERLINK("https://bugs.eclipse.org/bugs/show_bug.cgi?id=109984", "109984")</f>
        <v>109984</v>
      </c>
      <c r="C2709" t="s">
        <v>140</v>
      </c>
      <c r="D2709" t="s">
        <v>10</v>
      </c>
      <c r="E2709" t="s">
        <v>16</v>
      </c>
      <c r="F2709" t="s">
        <v>26</v>
      </c>
      <c r="L2709" t="s">
        <v>12433</v>
      </c>
      <c r="R2709" t="s">
        <v>12433</v>
      </c>
      <c r="T2709" t="s">
        <v>12434</v>
      </c>
      <c r="U2709" t="s">
        <v>12435</v>
      </c>
      <c r="V2709" t="s">
        <v>12433</v>
      </c>
      <c r="W2709" t="s">
        <v>86</v>
      </c>
      <c r="X2709" t="s">
        <v>12436</v>
      </c>
      <c r="Y2709">
        <v>0</v>
      </c>
      <c r="Z2709">
        <v>1</v>
      </c>
    </row>
    <row r="2710" spans="1:26">
      <c r="A2710" s="1">
        <v>2708</v>
      </c>
      <c r="B2710" t="str">
        <f>HYPERLINK("https://bugs.eclipse.org/bugs/show_bug.cgi?id=110015", "110015")</f>
        <v>110015</v>
      </c>
      <c r="C2710" t="s">
        <v>149</v>
      </c>
      <c r="D2710" t="s">
        <v>10</v>
      </c>
      <c r="E2710" t="s">
        <v>12</v>
      </c>
      <c r="F2710" t="s">
        <v>26</v>
      </c>
      <c r="L2710" t="s">
        <v>12437</v>
      </c>
      <c r="N2710" t="s">
        <v>12437</v>
      </c>
      <c r="T2710" t="s">
        <v>12438</v>
      </c>
      <c r="U2710" t="s">
        <v>12439</v>
      </c>
      <c r="V2710" t="s">
        <v>12437</v>
      </c>
      <c r="W2710" t="s">
        <v>86</v>
      </c>
      <c r="X2710" t="s">
        <v>12440</v>
      </c>
      <c r="Y2710">
        <v>1</v>
      </c>
      <c r="Z2710">
        <v>195</v>
      </c>
    </row>
    <row r="2711" spans="1:26">
      <c r="A2711" s="1">
        <v>2709</v>
      </c>
      <c r="B2711" t="str">
        <f>HYPERLINK("https://bugs.eclipse.org/bugs/show_bug.cgi?id=110027", "110027")</f>
        <v>110027</v>
      </c>
      <c r="C2711" t="s">
        <v>35</v>
      </c>
      <c r="D2711" t="s">
        <v>11</v>
      </c>
      <c r="E2711" t="s">
        <v>12</v>
      </c>
      <c r="F2711" t="s">
        <v>26</v>
      </c>
      <c r="L2711" t="s">
        <v>12441</v>
      </c>
      <c r="M2711" t="s">
        <v>12442</v>
      </c>
      <c r="N2711" t="s">
        <v>12441</v>
      </c>
      <c r="T2711" t="s">
        <v>12443</v>
      </c>
      <c r="U2711" t="s">
        <v>12444</v>
      </c>
      <c r="V2711" t="s">
        <v>12442</v>
      </c>
      <c r="W2711" t="s">
        <v>851</v>
      </c>
      <c r="X2711" t="s">
        <v>12445</v>
      </c>
      <c r="Y2711">
        <v>1</v>
      </c>
      <c r="Z2711">
        <v>84.041666666666671</v>
      </c>
    </row>
    <row r="2712" spans="1:26">
      <c r="A2712" s="1">
        <v>2710</v>
      </c>
      <c r="B2712" t="str">
        <f>HYPERLINK("https://bugs.eclipse.org/bugs/show_bug.cgi?id=110390", "110390")</f>
        <v>110390</v>
      </c>
      <c r="C2712" t="s">
        <v>12446</v>
      </c>
      <c r="D2712" t="s">
        <v>10</v>
      </c>
      <c r="E2712" t="s">
        <v>15</v>
      </c>
      <c r="F2712" t="s">
        <v>26</v>
      </c>
      <c r="L2712" t="s">
        <v>12447</v>
      </c>
      <c r="Q2712" t="s">
        <v>12447</v>
      </c>
      <c r="T2712" t="s">
        <v>12448</v>
      </c>
      <c r="U2712" t="s">
        <v>12447</v>
      </c>
      <c r="V2712" t="s">
        <v>12447</v>
      </c>
      <c r="W2712" t="s">
        <v>851</v>
      </c>
      <c r="X2712" t="s">
        <v>12449</v>
      </c>
      <c r="Y2712">
        <v>4</v>
      </c>
      <c r="Z2712">
        <v>4</v>
      </c>
    </row>
    <row r="2713" spans="1:26">
      <c r="A2713" s="1">
        <v>2711</v>
      </c>
      <c r="B2713" t="str">
        <f>HYPERLINK("https://bugs.eclipse.org/bugs/show_bug.cgi?id=110425", "110425")</f>
        <v>110425</v>
      </c>
      <c r="C2713" t="s">
        <v>191</v>
      </c>
      <c r="D2713" t="s">
        <v>192</v>
      </c>
      <c r="E2713" t="s">
        <v>14</v>
      </c>
      <c r="F2713" t="s">
        <v>26</v>
      </c>
      <c r="T2713" t="s">
        <v>12450</v>
      </c>
      <c r="U2713" t="s">
        <v>12451</v>
      </c>
      <c r="V2713" t="s">
        <v>12452</v>
      </c>
      <c r="W2713" t="s">
        <v>65</v>
      </c>
      <c r="X2713" t="s">
        <v>12453</v>
      </c>
      <c r="Y2713">
        <v>285</v>
      </c>
      <c r="Z2713">
        <v>4807.041666666667</v>
      </c>
    </row>
    <row r="2714" spans="1:26">
      <c r="A2714" s="1">
        <v>2712</v>
      </c>
      <c r="B2714" t="str">
        <f>HYPERLINK("https://bugs.eclipse.org/bugs/show_bug.cgi?id=110469", "110469")</f>
        <v>110469</v>
      </c>
      <c r="C2714" t="s">
        <v>140</v>
      </c>
      <c r="D2714" t="s">
        <v>10</v>
      </c>
      <c r="E2714" t="s">
        <v>16</v>
      </c>
      <c r="F2714" t="s">
        <v>26</v>
      </c>
      <c r="L2714" t="s">
        <v>12454</v>
      </c>
      <c r="R2714" t="s">
        <v>12454</v>
      </c>
      <c r="T2714" t="s">
        <v>12455</v>
      </c>
      <c r="U2714" t="s">
        <v>12454</v>
      </c>
      <c r="V2714" t="s">
        <v>12454</v>
      </c>
      <c r="W2714" t="s">
        <v>49</v>
      </c>
      <c r="X2714" t="s">
        <v>12456</v>
      </c>
      <c r="Y2714">
        <v>3</v>
      </c>
      <c r="Z2714">
        <v>3</v>
      </c>
    </row>
    <row r="2715" spans="1:26">
      <c r="A2715" s="1">
        <v>2713</v>
      </c>
      <c r="B2715" t="str">
        <f>HYPERLINK("https://bugs.eclipse.org/bugs/show_bug.cgi?id=110533", "110533")</f>
        <v>110533</v>
      </c>
      <c r="C2715" t="s">
        <v>12457</v>
      </c>
      <c r="D2715" t="s">
        <v>10</v>
      </c>
      <c r="E2715" t="s">
        <v>15</v>
      </c>
      <c r="F2715" t="s">
        <v>26</v>
      </c>
      <c r="L2715" t="s">
        <v>12458</v>
      </c>
      <c r="Q2715" t="s">
        <v>12458</v>
      </c>
      <c r="T2715" t="s">
        <v>12459</v>
      </c>
      <c r="U2715" t="s">
        <v>12460</v>
      </c>
      <c r="V2715" t="s">
        <v>12458</v>
      </c>
      <c r="W2715" t="s">
        <v>49</v>
      </c>
      <c r="X2715" t="s">
        <v>12461</v>
      </c>
      <c r="Y2715">
        <v>1</v>
      </c>
      <c r="Z2715">
        <v>957</v>
      </c>
    </row>
    <row r="2716" spans="1:26">
      <c r="A2716" s="1">
        <v>2714</v>
      </c>
      <c r="B2716" t="str">
        <f>HYPERLINK("https://bugs.eclipse.org/bugs/show_bug.cgi?id=110579", "110579")</f>
        <v>110579</v>
      </c>
      <c r="C2716" t="s">
        <v>88</v>
      </c>
      <c r="D2716" t="s">
        <v>10</v>
      </c>
      <c r="E2716" t="s">
        <v>13</v>
      </c>
      <c r="F2716" t="s">
        <v>26</v>
      </c>
      <c r="G2716" t="s">
        <v>12462</v>
      </c>
      <c r="L2716" t="s">
        <v>12463</v>
      </c>
      <c r="O2716" t="s">
        <v>12464</v>
      </c>
      <c r="T2716" t="s">
        <v>12465</v>
      </c>
      <c r="U2716" t="s">
        <v>12466</v>
      </c>
      <c r="V2716" t="s">
        <v>12464</v>
      </c>
      <c r="W2716" t="s">
        <v>75</v>
      </c>
      <c r="X2716" t="s">
        <v>12467</v>
      </c>
      <c r="Y2716">
        <v>1</v>
      </c>
      <c r="Z2716">
        <v>1434</v>
      </c>
    </row>
    <row r="2717" spans="1:26">
      <c r="A2717" s="1">
        <v>2715</v>
      </c>
      <c r="B2717" t="str">
        <f>HYPERLINK("https://bugs.eclipse.org/bugs/show_bug.cgi?id=110594", "110594")</f>
        <v>110594</v>
      </c>
      <c r="C2717" t="s">
        <v>149</v>
      </c>
      <c r="D2717" t="s">
        <v>10</v>
      </c>
      <c r="E2717" t="s">
        <v>12</v>
      </c>
      <c r="F2717" t="s">
        <v>26</v>
      </c>
      <c r="G2717" t="s">
        <v>12468</v>
      </c>
      <c r="H2717" t="s">
        <v>12469</v>
      </c>
      <c r="L2717" t="s">
        <v>12470</v>
      </c>
      <c r="N2717" t="s">
        <v>12470</v>
      </c>
      <c r="T2717" t="s">
        <v>12471</v>
      </c>
      <c r="U2717" t="s">
        <v>12472</v>
      </c>
      <c r="V2717" t="s">
        <v>12470</v>
      </c>
      <c r="W2717" t="s">
        <v>851</v>
      </c>
      <c r="X2717" t="s">
        <v>12473</v>
      </c>
      <c r="Y2717">
        <v>0</v>
      </c>
      <c r="Z2717">
        <v>281</v>
      </c>
    </row>
    <row r="2718" spans="1:26">
      <c r="A2718" s="1">
        <v>2716</v>
      </c>
      <c r="B2718" t="str">
        <f>HYPERLINK("https://bugs.eclipse.org/bugs/show_bug.cgi?id=110643", "110643")</f>
        <v>110643</v>
      </c>
      <c r="C2718" t="s">
        <v>995</v>
      </c>
      <c r="D2718" t="s">
        <v>192</v>
      </c>
      <c r="E2718" t="s">
        <v>12</v>
      </c>
      <c r="F2718" t="s">
        <v>26</v>
      </c>
      <c r="G2718" t="s">
        <v>12474</v>
      </c>
      <c r="L2718" t="s">
        <v>12475</v>
      </c>
      <c r="M2718" t="s">
        <v>12476</v>
      </c>
      <c r="N2718" t="s">
        <v>12475</v>
      </c>
      <c r="P2718" t="s">
        <v>12477</v>
      </c>
      <c r="S2718" t="s">
        <v>12478</v>
      </c>
      <c r="T2718" t="s">
        <v>12479</v>
      </c>
      <c r="U2718" t="s">
        <v>12477</v>
      </c>
      <c r="V2718" t="s">
        <v>12480</v>
      </c>
      <c r="W2718" t="s">
        <v>12481</v>
      </c>
      <c r="X2718" t="s">
        <v>12482</v>
      </c>
      <c r="Y2718">
        <v>1</v>
      </c>
      <c r="Z2718">
        <v>263</v>
      </c>
    </row>
    <row r="2719" spans="1:26">
      <c r="A2719" s="1">
        <v>2717</v>
      </c>
      <c r="B2719" t="str">
        <f>HYPERLINK("https://bugs.eclipse.org/bugs/show_bug.cgi?id=110766", "110766")</f>
        <v>110766</v>
      </c>
      <c r="C2719" t="s">
        <v>35</v>
      </c>
      <c r="D2719" t="s">
        <v>11</v>
      </c>
      <c r="E2719" t="s">
        <v>12</v>
      </c>
      <c r="F2719" t="s">
        <v>26</v>
      </c>
      <c r="L2719" t="s">
        <v>12483</v>
      </c>
      <c r="M2719" t="s">
        <v>12484</v>
      </c>
      <c r="N2719" t="s">
        <v>12483</v>
      </c>
      <c r="T2719" t="s">
        <v>12485</v>
      </c>
      <c r="U2719" t="s">
        <v>12486</v>
      </c>
      <c r="V2719" t="s">
        <v>12484</v>
      </c>
      <c r="W2719" t="s">
        <v>851</v>
      </c>
      <c r="X2719" t="s">
        <v>12487</v>
      </c>
      <c r="Y2719">
        <v>0</v>
      </c>
      <c r="Z2719">
        <v>35.041666666666657</v>
      </c>
    </row>
    <row r="2720" spans="1:26">
      <c r="A2720" s="1">
        <v>2718</v>
      </c>
      <c r="B2720" t="str">
        <f>HYPERLINK("https://bugs.eclipse.org/bugs/show_bug.cgi?id=111056", "111056")</f>
        <v>111056</v>
      </c>
      <c r="C2720" t="s">
        <v>149</v>
      </c>
      <c r="D2720" t="s">
        <v>10</v>
      </c>
      <c r="E2720" t="s">
        <v>12</v>
      </c>
      <c r="F2720" t="s">
        <v>26</v>
      </c>
      <c r="L2720" t="s">
        <v>12488</v>
      </c>
      <c r="N2720" t="s">
        <v>12488</v>
      </c>
      <c r="T2720" t="s">
        <v>12489</v>
      </c>
      <c r="U2720" t="s">
        <v>12490</v>
      </c>
      <c r="V2720" t="s">
        <v>12488</v>
      </c>
      <c r="W2720" t="s">
        <v>2668</v>
      </c>
      <c r="X2720" t="s">
        <v>12491</v>
      </c>
      <c r="Y2720">
        <v>1</v>
      </c>
      <c r="Z2720">
        <v>43.041666666666657</v>
      </c>
    </row>
    <row r="2721" spans="1:26">
      <c r="A2721" s="1">
        <v>2719</v>
      </c>
      <c r="B2721" t="str">
        <f>HYPERLINK("https://bugs.eclipse.org/bugs/show_bug.cgi?id=111326", "111326")</f>
        <v>111326</v>
      </c>
      <c r="C2721" t="s">
        <v>25</v>
      </c>
      <c r="D2721" t="s">
        <v>25</v>
      </c>
      <c r="F2721" t="s">
        <v>26</v>
      </c>
      <c r="T2721" t="s">
        <v>12492</v>
      </c>
      <c r="U2721" t="s">
        <v>12493</v>
      </c>
      <c r="V2721" t="s">
        <v>12494</v>
      </c>
      <c r="W2721" t="s">
        <v>143</v>
      </c>
      <c r="X2721" t="s">
        <v>12495</v>
      </c>
      <c r="Y2721">
        <v>1</v>
      </c>
    </row>
    <row r="2722" spans="1:26">
      <c r="A2722" s="1">
        <v>2720</v>
      </c>
      <c r="B2722" t="str">
        <f>HYPERLINK("https://bugs.eclipse.org/bugs/show_bug.cgi?id=111349", "111349")</f>
        <v>111349</v>
      </c>
      <c r="C2722" t="s">
        <v>12496</v>
      </c>
      <c r="D2722" t="s">
        <v>10</v>
      </c>
      <c r="E2722" t="s">
        <v>15</v>
      </c>
      <c r="F2722" t="s">
        <v>26</v>
      </c>
      <c r="L2722" t="s">
        <v>12497</v>
      </c>
      <c r="Q2722" t="s">
        <v>12497</v>
      </c>
      <c r="T2722" t="s">
        <v>12498</v>
      </c>
      <c r="U2722" t="s">
        <v>12499</v>
      </c>
      <c r="V2722" t="s">
        <v>12497</v>
      </c>
      <c r="W2722" t="s">
        <v>1954</v>
      </c>
      <c r="X2722" t="s">
        <v>12500</v>
      </c>
      <c r="Y2722">
        <v>0</v>
      </c>
      <c r="Z2722">
        <v>259</v>
      </c>
    </row>
    <row r="2723" spans="1:26">
      <c r="A2723" s="1">
        <v>2721</v>
      </c>
      <c r="B2723" t="str">
        <f>HYPERLINK("https://bugs.eclipse.org/bugs/show_bug.cgi?id=111419", "111419")</f>
        <v>111419</v>
      </c>
      <c r="C2723" t="s">
        <v>35</v>
      </c>
      <c r="D2723" t="s">
        <v>11</v>
      </c>
      <c r="E2723" t="s">
        <v>12</v>
      </c>
      <c r="F2723" t="s">
        <v>26</v>
      </c>
      <c r="L2723" t="s">
        <v>12501</v>
      </c>
      <c r="M2723" t="s">
        <v>12502</v>
      </c>
      <c r="N2723" t="s">
        <v>12501</v>
      </c>
      <c r="T2723" t="s">
        <v>12503</v>
      </c>
      <c r="U2723" t="s">
        <v>12504</v>
      </c>
      <c r="V2723" t="s">
        <v>12502</v>
      </c>
      <c r="W2723" t="s">
        <v>49</v>
      </c>
      <c r="X2723" t="s">
        <v>12505</v>
      </c>
      <c r="Y2723">
        <v>1</v>
      </c>
      <c r="Z2723">
        <v>958</v>
      </c>
    </row>
    <row r="2724" spans="1:26">
      <c r="A2724" s="1">
        <v>2722</v>
      </c>
      <c r="B2724" t="str">
        <f>HYPERLINK("https://bugs.eclipse.org/bugs/show_bug.cgi?id=111422", "111422")</f>
        <v>111422</v>
      </c>
      <c r="C2724" t="s">
        <v>35</v>
      </c>
      <c r="D2724" t="s">
        <v>11</v>
      </c>
      <c r="E2724" t="s">
        <v>12</v>
      </c>
      <c r="F2724" t="s">
        <v>26</v>
      </c>
      <c r="L2724" t="s">
        <v>12506</v>
      </c>
      <c r="M2724" t="s">
        <v>12507</v>
      </c>
      <c r="N2724" t="s">
        <v>12506</v>
      </c>
      <c r="T2724" t="s">
        <v>12508</v>
      </c>
      <c r="U2724" t="s">
        <v>12509</v>
      </c>
      <c r="V2724" t="s">
        <v>12507</v>
      </c>
      <c r="W2724" t="s">
        <v>2668</v>
      </c>
      <c r="X2724" t="s">
        <v>12510</v>
      </c>
      <c r="Y2724">
        <v>1</v>
      </c>
      <c r="Z2724">
        <v>30.041666666666671</v>
      </c>
    </row>
    <row r="2725" spans="1:26">
      <c r="A2725" s="1">
        <v>2723</v>
      </c>
      <c r="B2725" t="str">
        <f>HYPERLINK("https://bugs.eclipse.org/bugs/show_bug.cgi?id=111440", "111440")</f>
        <v>111440</v>
      </c>
      <c r="C2725" t="s">
        <v>25</v>
      </c>
      <c r="D2725" t="s">
        <v>25</v>
      </c>
      <c r="F2725" t="s">
        <v>26</v>
      </c>
      <c r="T2725" t="s">
        <v>12511</v>
      </c>
      <c r="U2725" t="s">
        <v>12512</v>
      </c>
      <c r="V2725" t="s">
        <v>12513</v>
      </c>
      <c r="W2725" t="s">
        <v>143</v>
      </c>
      <c r="X2725" t="s">
        <v>12514</v>
      </c>
      <c r="Y2725">
        <v>1</v>
      </c>
    </row>
    <row r="2726" spans="1:26">
      <c r="A2726" s="1">
        <v>2724</v>
      </c>
      <c r="B2726" t="str">
        <f>HYPERLINK("https://bugs.eclipse.org/bugs/show_bug.cgi?id=111441", "111441")</f>
        <v>111441</v>
      </c>
      <c r="C2726" t="s">
        <v>149</v>
      </c>
      <c r="D2726" t="s">
        <v>10</v>
      </c>
      <c r="E2726" t="s">
        <v>12</v>
      </c>
      <c r="F2726" t="s">
        <v>51</v>
      </c>
      <c r="L2726" t="s">
        <v>12515</v>
      </c>
      <c r="N2726" t="s">
        <v>12515</v>
      </c>
      <c r="T2726" t="s">
        <v>12516</v>
      </c>
      <c r="U2726" t="s">
        <v>12517</v>
      </c>
      <c r="V2726" t="s">
        <v>12515</v>
      </c>
      <c r="W2726" t="s">
        <v>851</v>
      </c>
      <c r="X2726" t="s">
        <v>12518</v>
      </c>
      <c r="Y2726">
        <v>6</v>
      </c>
      <c r="Z2726">
        <v>181</v>
      </c>
    </row>
    <row r="2727" spans="1:26">
      <c r="A2727" s="1">
        <v>2725</v>
      </c>
      <c r="B2727" t="str">
        <f>HYPERLINK("https://bugs.eclipse.org/bugs/show_bug.cgi?id=111447", "111447")</f>
        <v>111447</v>
      </c>
      <c r="C2727" t="s">
        <v>12519</v>
      </c>
      <c r="D2727" t="s">
        <v>10</v>
      </c>
      <c r="E2727" t="s">
        <v>15</v>
      </c>
      <c r="F2727" t="s">
        <v>26</v>
      </c>
      <c r="L2727" t="s">
        <v>12520</v>
      </c>
      <c r="Q2727" t="s">
        <v>12520</v>
      </c>
      <c r="T2727" t="s">
        <v>12521</v>
      </c>
      <c r="U2727" t="s">
        <v>12522</v>
      </c>
      <c r="V2727" t="s">
        <v>12520</v>
      </c>
      <c r="W2727" t="s">
        <v>49</v>
      </c>
      <c r="X2727" t="s">
        <v>12523</v>
      </c>
      <c r="Y2727">
        <v>6</v>
      </c>
      <c r="Z2727">
        <v>322</v>
      </c>
    </row>
    <row r="2728" spans="1:26">
      <c r="A2728" s="1">
        <v>2726</v>
      </c>
      <c r="B2728" t="str">
        <f>HYPERLINK("https://bugs.eclipse.org/bugs/show_bug.cgi?id=111448", "111448")</f>
        <v>111448</v>
      </c>
      <c r="C2728" t="s">
        <v>56</v>
      </c>
      <c r="D2728" t="s">
        <v>10</v>
      </c>
      <c r="E2728" t="s">
        <v>14</v>
      </c>
      <c r="F2728" t="s">
        <v>26</v>
      </c>
      <c r="L2728" t="s">
        <v>12524</v>
      </c>
      <c r="P2728" t="s">
        <v>12524</v>
      </c>
      <c r="T2728" t="s">
        <v>12525</v>
      </c>
      <c r="U2728" t="s">
        <v>12524</v>
      </c>
      <c r="V2728" t="s">
        <v>12524</v>
      </c>
      <c r="W2728" t="s">
        <v>49</v>
      </c>
      <c r="X2728" t="s">
        <v>12526</v>
      </c>
      <c r="Y2728">
        <v>1</v>
      </c>
      <c r="Z2728">
        <v>1</v>
      </c>
    </row>
    <row r="2729" spans="1:26">
      <c r="A2729" s="1">
        <v>2727</v>
      </c>
      <c r="B2729" t="str">
        <f>HYPERLINK("https://bugs.eclipse.org/bugs/show_bug.cgi?id=111462", "111462")</f>
        <v>111462</v>
      </c>
      <c r="C2729" t="s">
        <v>88</v>
      </c>
      <c r="D2729" t="s">
        <v>10</v>
      </c>
      <c r="E2729" t="s">
        <v>13</v>
      </c>
      <c r="F2729" t="s">
        <v>26</v>
      </c>
      <c r="L2729" t="s">
        <v>12527</v>
      </c>
      <c r="O2729" t="s">
        <v>12528</v>
      </c>
      <c r="T2729" t="s">
        <v>12529</v>
      </c>
      <c r="U2729" t="s">
        <v>12530</v>
      </c>
      <c r="V2729" t="s">
        <v>12528</v>
      </c>
      <c r="W2729" t="s">
        <v>75</v>
      </c>
      <c r="X2729" t="s">
        <v>12531</v>
      </c>
      <c r="Y2729">
        <v>1</v>
      </c>
      <c r="Z2729">
        <v>1426</v>
      </c>
    </row>
    <row r="2730" spans="1:26">
      <c r="A2730" s="1">
        <v>2728</v>
      </c>
      <c r="B2730" t="str">
        <f>HYPERLINK("https://bugs.eclipse.org/bugs/show_bug.cgi?id=111496", "111496")</f>
        <v>111496</v>
      </c>
      <c r="C2730" t="s">
        <v>35</v>
      </c>
      <c r="D2730" t="s">
        <v>11</v>
      </c>
      <c r="E2730" t="s">
        <v>12</v>
      </c>
      <c r="F2730" t="s">
        <v>26</v>
      </c>
      <c r="L2730" t="s">
        <v>12532</v>
      </c>
      <c r="M2730" t="s">
        <v>12533</v>
      </c>
      <c r="N2730" t="s">
        <v>12532</v>
      </c>
      <c r="S2730" t="s">
        <v>12534</v>
      </c>
      <c r="T2730" t="s">
        <v>12535</v>
      </c>
      <c r="U2730" t="s">
        <v>12536</v>
      </c>
      <c r="V2730" t="s">
        <v>12537</v>
      </c>
      <c r="W2730" t="s">
        <v>5892</v>
      </c>
      <c r="X2730" t="s">
        <v>12538</v>
      </c>
      <c r="Y2730">
        <v>2</v>
      </c>
      <c r="Z2730">
        <v>646</v>
      </c>
    </row>
    <row r="2731" spans="1:26">
      <c r="A2731" s="1">
        <v>2729</v>
      </c>
      <c r="B2731" t="str">
        <f>HYPERLINK("https://bugs.eclipse.org/bugs/show_bug.cgi?id=111574", "111574")</f>
        <v>111574</v>
      </c>
      <c r="C2731" t="s">
        <v>149</v>
      </c>
      <c r="D2731" t="s">
        <v>10</v>
      </c>
      <c r="E2731" t="s">
        <v>12</v>
      </c>
      <c r="F2731" t="s">
        <v>26</v>
      </c>
      <c r="G2731" t="s">
        <v>12539</v>
      </c>
      <c r="L2731" t="s">
        <v>12540</v>
      </c>
      <c r="N2731" t="s">
        <v>12540</v>
      </c>
      <c r="T2731" t="s">
        <v>12541</v>
      </c>
      <c r="U2731" t="s">
        <v>12542</v>
      </c>
      <c r="V2731" t="s">
        <v>12543</v>
      </c>
      <c r="W2731" t="s">
        <v>11007</v>
      </c>
      <c r="X2731" t="s">
        <v>12544</v>
      </c>
      <c r="Y2731">
        <v>0</v>
      </c>
      <c r="Z2731">
        <v>56.041666666666657</v>
      </c>
    </row>
    <row r="2732" spans="1:26">
      <c r="A2732" s="1">
        <v>2730</v>
      </c>
      <c r="B2732" t="str">
        <f>HYPERLINK("https://bugs.eclipse.org/bugs/show_bug.cgi?id=111576", "111576")</f>
        <v>111576</v>
      </c>
      <c r="C2732" t="s">
        <v>35</v>
      </c>
      <c r="D2732" t="s">
        <v>11</v>
      </c>
      <c r="E2732" t="s">
        <v>12</v>
      </c>
      <c r="F2732" t="s">
        <v>26</v>
      </c>
      <c r="L2732" t="s">
        <v>12545</v>
      </c>
      <c r="M2732" t="s">
        <v>12546</v>
      </c>
      <c r="N2732" t="s">
        <v>12545</v>
      </c>
      <c r="S2732" t="s">
        <v>12547</v>
      </c>
      <c r="T2732" t="s">
        <v>12548</v>
      </c>
      <c r="U2732" t="s">
        <v>12549</v>
      </c>
      <c r="V2732" t="s">
        <v>12546</v>
      </c>
      <c r="W2732" t="s">
        <v>1954</v>
      </c>
      <c r="X2732" t="s">
        <v>12550</v>
      </c>
      <c r="Y2732">
        <v>14</v>
      </c>
      <c r="Z2732">
        <v>69.041666666666671</v>
      </c>
    </row>
    <row r="2733" spans="1:26">
      <c r="A2733" s="1">
        <v>2731</v>
      </c>
      <c r="B2733" t="str">
        <f>HYPERLINK("https://bugs.eclipse.org/bugs/show_bug.cgi?id=111578", "111578")</f>
        <v>111578</v>
      </c>
      <c r="C2733" t="s">
        <v>149</v>
      </c>
      <c r="D2733" t="s">
        <v>10</v>
      </c>
      <c r="E2733" t="s">
        <v>12</v>
      </c>
      <c r="F2733" t="s">
        <v>150</v>
      </c>
      <c r="L2733" t="s">
        <v>12551</v>
      </c>
      <c r="N2733" t="s">
        <v>12551</v>
      </c>
      <c r="T2733" t="s">
        <v>12552</v>
      </c>
      <c r="U2733" t="s">
        <v>12553</v>
      </c>
      <c r="V2733" t="s">
        <v>12551</v>
      </c>
      <c r="W2733" t="s">
        <v>2668</v>
      </c>
      <c r="X2733" t="s">
        <v>12554</v>
      </c>
      <c r="Y2733">
        <v>0</v>
      </c>
      <c r="Z2733">
        <v>186</v>
      </c>
    </row>
    <row r="2734" spans="1:26">
      <c r="A2734" s="1">
        <v>2732</v>
      </c>
      <c r="B2734" t="str">
        <f>HYPERLINK("https://bugs.eclipse.org/bugs/show_bug.cgi?id=111580", "111580")</f>
        <v>111580</v>
      </c>
      <c r="C2734" t="s">
        <v>88</v>
      </c>
      <c r="D2734" t="s">
        <v>10</v>
      </c>
      <c r="E2734" t="s">
        <v>13</v>
      </c>
      <c r="F2734" t="s">
        <v>26</v>
      </c>
      <c r="L2734" t="s">
        <v>12555</v>
      </c>
      <c r="O2734" t="s">
        <v>12555</v>
      </c>
      <c r="T2734" t="s">
        <v>12556</v>
      </c>
      <c r="U2734" t="s">
        <v>12557</v>
      </c>
      <c r="V2734" t="s">
        <v>12555</v>
      </c>
      <c r="W2734" t="s">
        <v>12558</v>
      </c>
      <c r="X2734" t="s">
        <v>12559</v>
      </c>
      <c r="Y2734">
        <v>44.041666666666657</v>
      </c>
      <c r="Z2734">
        <v>49.041666666666657</v>
      </c>
    </row>
    <row r="2735" spans="1:26">
      <c r="A2735" s="1">
        <v>2733</v>
      </c>
      <c r="B2735" t="str">
        <f>HYPERLINK("https://bugs.eclipse.org/bugs/show_bug.cgi?id=111650", "111650")</f>
        <v>111650</v>
      </c>
      <c r="C2735" t="s">
        <v>12560</v>
      </c>
      <c r="D2735" t="s">
        <v>10</v>
      </c>
      <c r="E2735" t="s">
        <v>15</v>
      </c>
      <c r="F2735" t="s">
        <v>26</v>
      </c>
      <c r="L2735" t="s">
        <v>12561</v>
      </c>
      <c r="Q2735" t="s">
        <v>12561</v>
      </c>
      <c r="T2735" t="s">
        <v>12562</v>
      </c>
      <c r="U2735" t="s">
        <v>12563</v>
      </c>
      <c r="V2735" t="s">
        <v>12561</v>
      </c>
      <c r="W2735" t="s">
        <v>49</v>
      </c>
      <c r="X2735" t="s">
        <v>12564</v>
      </c>
      <c r="Y2735">
        <v>0</v>
      </c>
      <c r="Z2735">
        <v>0</v>
      </c>
    </row>
    <row r="2736" spans="1:26">
      <c r="A2736" s="1">
        <v>2734</v>
      </c>
      <c r="B2736" t="str">
        <f>HYPERLINK("https://bugs.eclipse.org/bugs/show_bug.cgi?id=111709", "111709")</f>
        <v>111709</v>
      </c>
      <c r="C2736" t="s">
        <v>140</v>
      </c>
      <c r="D2736" t="s">
        <v>10</v>
      </c>
      <c r="E2736" t="s">
        <v>16</v>
      </c>
      <c r="F2736" t="s">
        <v>26</v>
      </c>
      <c r="L2736" t="s">
        <v>12565</v>
      </c>
      <c r="R2736" t="s">
        <v>12565</v>
      </c>
      <c r="T2736" t="s">
        <v>12566</v>
      </c>
      <c r="U2736" t="s">
        <v>12565</v>
      </c>
      <c r="V2736" t="s">
        <v>12565</v>
      </c>
      <c r="W2736" t="s">
        <v>49</v>
      </c>
      <c r="X2736" t="s">
        <v>12567</v>
      </c>
      <c r="Y2736">
        <v>1</v>
      </c>
      <c r="Z2736">
        <v>1</v>
      </c>
    </row>
    <row r="2737" spans="1:26">
      <c r="A2737" s="1">
        <v>2735</v>
      </c>
      <c r="B2737" t="str">
        <f>HYPERLINK("https://bugs.eclipse.org/bugs/show_bug.cgi?id=111801", "111801")</f>
        <v>111801</v>
      </c>
      <c r="C2737" t="s">
        <v>140</v>
      </c>
      <c r="D2737" t="s">
        <v>10</v>
      </c>
      <c r="E2737" t="s">
        <v>16</v>
      </c>
      <c r="F2737" t="s">
        <v>26</v>
      </c>
      <c r="L2737" t="s">
        <v>12568</v>
      </c>
      <c r="R2737" t="s">
        <v>12568</v>
      </c>
      <c r="T2737" t="s">
        <v>12569</v>
      </c>
      <c r="U2737" t="s">
        <v>12570</v>
      </c>
      <c r="V2737" t="s">
        <v>12568</v>
      </c>
      <c r="W2737" t="s">
        <v>2668</v>
      </c>
      <c r="X2737" t="s">
        <v>12571</v>
      </c>
      <c r="Y2737">
        <v>2</v>
      </c>
      <c r="Z2737">
        <v>13</v>
      </c>
    </row>
    <row r="2738" spans="1:26">
      <c r="A2738" s="1">
        <v>2736</v>
      </c>
      <c r="B2738" t="str">
        <f>HYPERLINK("https://bugs.eclipse.org/bugs/show_bug.cgi?id=111808", "111808")</f>
        <v>111808</v>
      </c>
      <c r="C2738" t="s">
        <v>149</v>
      </c>
      <c r="D2738" t="s">
        <v>10</v>
      </c>
      <c r="E2738" t="s">
        <v>12</v>
      </c>
      <c r="F2738" t="s">
        <v>26</v>
      </c>
      <c r="L2738" t="s">
        <v>12572</v>
      </c>
      <c r="N2738" t="s">
        <v>12572</v>
      </c>
      <c r="T2738" t="s">
        <v>12573</v>
      </c>
      <c r="U2738" t="s">
        <v>12574</v>
      </c>
      <c r="V2738" t="s">
        <v>12572</v>
      </c>
      <c r="W2738" t="s">
        <v>86</v>
      </c>
      <c r="X2738" t="s">
        <v>12575</v>
      </c>
      <c r="Y2738">
        <v>1</v>
      </c>
      <c r="Z2738">
        <v>21</v>
      </c>
    </row>
    <row r="2739" spans="1:26">
      <c r="A2739" s="1">
        <v>2737</v>
      </c>
      <c r="B2739" t="str">
        <f>HYPERLINK("https://bugs.eclipse.org/bugs/show_bug.cgi?id=111809", "111809")</f>
        <v>111809</v>
      </c>
      <c r="C2739" t="s">
        <v>149</v>
      </c>
      <c r="D2739" t="s">
        <v>10</v>
      </c>
      <c r="E2739" t="s">
        <v>12</v>
      </c>
      <c r="F2739" t="s">
        <v>26</v>
      </c>
      <c r="G2739" t="s">
        <v>12576</v>
      </c>
      <c r="L2739" t="s">
        <v>12577</v>
      </c>
      <c r="N2739" t="s">
        <v>12577</v>
      </c>
      <c r="T2739" t="s">
        <v>12578</v>
      </c>
      <c r="U2739" t="s">
        <v>12579</v>
      </c>
      <c r="V2739" t="s">
        <v>12577</v>
      </c>
      <c r="W2739" t="s">
        <v>2668</v>
      </c>
      <c r="X2739" t="s">
        <v>12580</v>
      </c>
      <c r="Y2739">
        <v>1</v>
      </c>
      <c r="Z2739">
        <v>172.04166666666671</v>
      </c>
    </row>
    <row r="2740" spans="1:26">
      <c r="A2740" s="1">
        <v>2738</v>
      </c>
      <c r="B2740" t="str">
        <f>HYPERLINK("https://bugs.eclipse.org/bugs/show_bug.cgi?id=111810", "111810")</f>
        <v>111810</v>
      </c>
      <c r="C2740" t="s">
        <v>12581</v>
      </c>
      <c r="D2740" t="s">
        <v>192</v>
      </c>
      <c r="E2740" t="s">
        <v>15</v>
      </c>
      <c r="F2740" t="s">
        <v>26</v>
      </c>
      <c r="L2740" t="s">
        <v>12582</v>
      </c>
      <c r="P2740" t="s">
        <v>12583</v>
      </c>
      <c r="Q2740" t="s">
        <v>12584</v>
      </c>
      <c r="T2740" t="s">
        <v>12585</v>
      </c>
      <c r="U2740" t="s">
        <v>12586</v>
      </c>
      <c r="V2740" t="s">
        <v>12584</v>
      </c>
      <c r="W2740" t="s">
        <v>143</v>
      </c>
      <c r="X2740" t="s">
        <v>12587</v>
      </c>
      <c r="Y2740">
        <v>1</v>
      </c>
      <c r="Z2740">
        <v>2112</v>
      </c>
    </row>
    <row r="2741" spans="1:26">
      <c r="A2741" s="1">
        <v>2739</v>
      </c>
      <c r="B2741" t="str">
        <f>HYPERLINK("https://bugs.eclipse.org/bugs/show_bug.cgi?id=111811", "111811")</f>
        <v>111811</v>
      </c>
      <c r="C2741" t="s">
        <v>4692</v>
      </c>
      <c r="D2741" t="s">
        <v>4692</v>
      </c>
      <c r="F2741" t="s">
        <v>26</v>
      </c>
      <c r="G2741" t="s">
        <v>12588</v>
      </c>
      <c r="T2741" t="s">
        <v>12589</v>
      </c>
      <c r="U2741" t="s">
        <v>12590</v>
      </c>
      <c r="V2741" t="s">
        <v>12591</v>
      </c>
      <c r="W2741" t="s">
        <v>49</v>
      </c>
      <c r="X2741" t="s">
        <v>12592</v>
      </c>
      <c r="Y2741">
        <v>1</v>
      </c>
    </row>
    <row r="2742" spans="1:26">
      <c r="A2742" s="1">
        <v>2740</v>
      </c>
      <c r="B2742" t="str">
        <f>HYPERLINK("https://bugs.eclipse.org/bugs/show_bug.cgi?id=111940", "111940")</f>
        <v>111940</v>
      </c>
      <c r="C2742" t="s">
        <v>191</v>
      </c>
      <c r="D2742" t="s">
        <v>192</v>
      </c>
      <c r="E2742" t="s">
        <v>14</v>
      </c>
      <c r="F2742" t="s">
        <v>26</v>
      </c>
      <c r="P2742" t="s">
        <v>12593</v>
      </c>
      <c r="T2742" t="s">
        <v>12594</v>
      </c>
      <c r="U2742" t="s">
        <v>12595</v>
      </c>
      <c r="V2742" t="s">
        <v>12593</v>
      </c>
      <c r="W2742" t="s">
        <v>65</v>
      </c>
      <c r="X2742" t="s">
        <v>12596</v>
      </c>
      <c r="Y2742">
        <v>1</v>
      </c>
      <c r="Z2742">
        <v>5251.041666666667</v>
      </c>
    </row>
    <row r="2743" spans="1:26">
      <c r="A2743" s="1">
        <v>2741</v>
      </c>
      <c r="B2743" t="str">
        <f>HYPERLINK("https://bugs.eclipse.org/bugs/show_bug.cgi?id=112072", "112072")</f>
        <v>112072</v>
      </c>
      <c r="C2743" t="s">
        <v>25</v>
      </c>
      <c r="D2743" t="s">
        <v>25</v>
      </c>
      <c r="F2743" t="s">
        <v>51</v>
      </c>
      <c r="L2743" t="s">
        <v>12597</v>
      </c>
      <c r="S2743" t="s">
        <v>12598</v>
      </c>
      <c r="T2743" t="s">
        <v>12599</v>
      </c>
      <c r="U2743" t="s">
        <v>12600</v>
      </c>
      <c r="V2743" t="s">
        <v>12601</v>
      </c>
      <c r="W2743" t="s">
        <v>12602</v>
      </c>
      <c r="X2743" t="s">
        <v>12603</v>
      </c>
      <c r="Y2743">
        <v>1</v>
      </c>
    </row>
    <row r="2744" spans="1:26">
      <c r="A2744" s="1">
        <v>2742</v>
      </c>
      <c r="B2744" t="str">
        <f>HYPERLINK("https://bugs.eclipse.org/bugs/show_bug.cgi?id=112076", "112076")</f>
        <v>112076</v>
      </c>
      <c r="C2744" t="s">
        <v>35</v>
      </c>
      <c r="D2744" t="s">
        <v>11</v>
      </c>
      <c r="E2744" t="s">
        <v>12</v>
      </c>
      <c r="F2744" t="s">
        <v>150</v>
      </c>
      <c r="L2744" t="s">
        <v>12604</v>
      </c>
      <c r="M2744" t="s">
        <v>12605</v>
      </c>
      <c r="N2744" t="s">
        <v>12604</v>
      </c>
      <c r="T2744" t="s">
        <v>12606</v>
      </c>
      <c r="U2744" t="s">
        <v>12607</v>
      </c>
      <c r="V2744" t="s">
        <v>12605</v>
      </c>
      <c r="W2744" t="s">
        <v>851</v>
      </c>
      <c r="X2744" t="s">
        <v>12608</v>
      </c>
      <c r="Y2744">
        <v>1</v>
      </c>
      <c r="Z2744">
        <v>23.041666666666671</v>
      </c>
    </row>
    <row r="2745" spans="1:26">
      <c r="A2745" s="1">
        <v>2743</v>
      </c>
      <c r="B2745" t="str">
        <f>HYPERLINK("https://bugs.eclipse.org/bugs/show_bug.cgi?id=112100", "112100")</f>
        <v>112100</v>
      </c>
      <c r="C2745" t="s">
        <v>191</v>
      </c>
      <c r="D2745" t="s">
        <v>192</v>
      </c>
      <c r="E2745" t="s">
        <v>14</v>
      </c>
      <c r="F2745" t="s">
        <v>26</v>
      </c>
      <c r="G2745" t="s">
        <v>12609</v>
      </c>
      <c r="P2745" t="s">
        <v>12610</v>
      </c>
      <c r="T2745" t="s">
        <v>12611</v>
      </c>
      <c r="U2745" t="s">
        <v>12612</v>
      </c>
      <c r="V2745" t="s">
        <v>12610</v>
      </c>
      <c r="W2745" t="s">
        <v>65</v>
      </c>
      <c r="X2745" t="s">
        <v>12613</v>
      </c>
      <c r="Y2745">
        <v>0</v>
      </c>
      <c r="Z2745">
        <v>5313</v>
      </c>
    </row>
    <row r="2746" spans="1:26">
      <c r="A2746" s="1">
        <v>2744</v>
      </c>
      <c r="B2746" t="str">
        <f>HYPERLINK("https://bugs.eclipse.org/bugs/show_bug.cgi?id=112220", "112220")</f>
        <v>112220</v>
      </c>
      <c r="C2746" t="s">
        <v>56</v>
      </c>
      <c r="D2746" t="s">
        <v>10</v>
      </c>
      <c r="E2746" t="s">
        <v>14</v>
      </c>
      <c r="F2746" t="s">
        <v>26</v>
      </c>
      <c r="L2746" t="s">
        <v>12614</v>
      </c>
      <c r="P2746" t="s">
        <v>12614</v>
      </c>
      <c r="T2746" t="s">
        <v>12615</v>
      </c>
      <c r="U2746" t="s">
        <v>12616</v>
      </c>
      <c r="V2746" t="s">
        <v>12614</v>
      </c>
      <c r="W2746" t="s">
        <v>49</v>
      </c>
      <c r="X2746" t="s">
        <v>12617</v>
      </c>
      <c r="Y2746">
        <v>0</v>
      </c>
      <c r="Z2746">
        <v>3</v>
      </c>
    </row>
    <row r="2747" spans="1:26">
      <c r="A2747" s="1">
        <v>2745</v>
      </c>
      <c r="B2747" t="str">
        <f>HYPERLINK("https://bugs.eclipse.org/bugs/show_bug.cgi?id=112349", "112349")</f>
        <v>112349</v>
      </c>
      <c r="C2747" t="s">
        <v>25</v>
      </c>
      <c r="D2747" t="s">
        <v>25</v>
      </c>
      <c r="F2747" t="s">
        <v>26</v>
      </c>
      <c r="G2747" t="s">
        <v>12618</v>
      </c>
      <c r="T2747" t="s">
        <v>12619</v>
      </c>
      <c r="U2747" t="s">
        <v>12620</v>
      </c>
      <c r="V2747" t="s">
        <v>12621</v>
      </c>
      <c r="W2747" t="s">
        <v>3016</v>
      </c>
      <c r="X2747" t="s">
        <v>12622</v>
      </c>
      <c r="Y2747">
        <v>2</v>
      </c>
    </row>
    <row r="2748" spans="1:26">
      <c r="A2748" s="1">
        <v>2746</v>
      </c>
      <c r="B2748" t="str">
        <f>HYPERLINK("https://bugs.eclipse.org/bugs/show_bug.cgi?id=112372", "112372")</f>
        <v>112372</v>
      </c>
      <c r="C2748" t="s">
        <v>35</v>
      </c>
      <c r="D2748" t="s">
        <v>11</v>
      </c>
      <c r="E2748" t="s">
        <v>12</v>
      </c>
      <c r="F2748" t="s">
        <v>26</v>
      </c>
      <c r="L2748" t="s">
        <v>12623</v>
      </c>
      <c r="M2748" t="s">
        <v>12624</v>
      </c>
      <c r="N2748" t="s">
        <v>12623</v>
      </c>
      <c r="T2748" t="s">
        <v>12625</v>
      </c>
      <c r="U2748" t="s">
        <v>12626</v>
      </c>
      <c r="V2748" t="s">
        <v>12624</v>
      </c>
      <c r="W2748" t="s">
        <v>851</v>
      </c>
      <c r="X2748" t="s">
        <v>12627</v>
      </c>
      <c r="Y2748">
        <v>2</v>
      </c>
      <c r="Z2748">
        <v>22.041666666666671</v>
      </c>
    </row>
    <row r="2749" spans="1:26">
      <c r="A2749" s="1">
        <v>2747</v>
      </c>
      <c r="B2749" t="str">
        <f>HYPERLINK("https://bugs.eclipse.org/bugs/show_bug.cgi?id=112440", "112440")</f>
        <v>112440</v>
      </c>
      <c r="C2749" t="s">
        <v>35</v>
      </c>
      <c r="D2749" t="s">
        <v>11</v>
      </c>
      <c r="E2749" t="s">
        <v>12</v>
      </c>
      <c r="F2749" t="s">
        <v>26</v>
      </c>
      <c r="L2749" t="s">
        <v>12628</v>
      </c>
      <c r="M2749" t="s">
        <v>12629</v>
      </c>
      <c r="N2749" t="s">
        <v>12628</v>
      </c>
      <c r="T2749" t="s">
        <v>12630</v>
      </c>
      <c r="U2749" t="s">
        <v>12631</v>
      </c>
      <c r="V2749" t="s">
        <v>12629</v>
      </c>
      <c r="W2749" t="s">
        <v>851</v>
      </c>
      <c r="X2749" t="s">
        <v>12632</v>
      </c>
      <c r="Y2749">
        <v>0</v>
      </c>
      <c r="Z2749">
        <v>19.041666666666671</v>
      </c>
    </row>
    <row r="2750" spans="1:26">
      <c r="A2750" s="1">
        <v>2748</v>
      </c>
      <c r="B2750" t="str">
        <f>HYPERLINK("https://bugs.eclipse.org/bugs/show_bug.cgi?id=112462", "112462")</f>
        <v>112462</v>
      </c>
      <c r="C2750" t="s">
        <v>35</v>
      </c>
      <c r="D2750" t="s">
        <v>11</v>
      </c>
      <c r="E2750" t="s">
        <v>12</v>
      </c>
      <c r="F2750" t="s">
        <v>26</v>
      </c>
      <c r="L2750" t="s">
        <v>12633</v>
      </c>
      <c r="M2750" t="s">
        <v>12634</v>
      </c>
      <c r="N2750" t="s">
        <v>12633</v>
      </c>
      <c r="T2750" t="s">
        <v>12635</v>
      </c>
      <c r="U2750" t="s">
        <v>12636</v>
      </c>
      <c r="V2750" t="s">
        <v>12634</v>
      </c>
      <c r="W2750" t="s">
        <v>851</v>
      </c>
      <c r="X2750" t="s">
        <v>12637</v>
      </c>
      <c r="Y2750">
        <v>0</v>
      </c>
      <c r="Z2750">
        <v>19.041666666666671</v>
      </c>
    </row>
    <row r="2751" spans="1:26">
      <c r="A2751" s="1">
        <v>2749</v>
      </c>
      <c r="B2751" t="str">
        <f>HYPERLINK("https://bugs.eclipse.org/bugs/show_bug.cgi?id=112637", "112637")</f>
        <v>112637</v>
      </c>
      <c r="C2751" t="s">
        <v>140</v>
      </c>
      <c r="D2751" t="s">
        <v>10</v>
      </c>
      <c r="E2751" t="s">
        <v>16</v>
      </c>
      <c r="F2751" t="s">
        <v>26</v>
      </c>
      <c r="L2751" t="s">
        <v>12638</v>
      </c>
      <c r="R2751" t="s">
        <v>12638</v>
      </c>
      <c r="T2751" t="s">
        <v>12639</v>
      </c>
      <c r="U2751" t="s">
        <v>12640</v>
      </c>
      <c r="V2751" t="s">
        <v>12638</v>
      </c>
      <c r="W2751" t="s">
        <v>2668</v>
      </c>
      <c r="X2751" t="s">
        <v>12641</v>
      </c>
      <c r="Y2751">
        <v>3</v>
      </c>
      <c r="Z2751">
        <v>5</v>
      </c>
    </row>
    <row r="2752" spans="1:26">
      <c r="A2752" s="1">
        <v>2750</v>
      </c>
      <c r="B2752" t="str">
        <f>HYPERLINK("https://bugs.eclipse.org/bugs/show_bug.cgi?id=112969", "112969")</f>
        <v>112969</v>
      </c>
      <c r="C2752" t="s">
        <v>4692</v>
      </c>
      <c r="D2752" t="s">
        <v>4692</v>
      </c>
      <c r="F2752" t="s">
        <v>26</v>
      </c>
      <c r="T2752" t="s">
        <v>12642</v>
      </c>
      <c r="U2752" t="s">
        <v>12643</v>
      </c>
      <c r="V2752" t="s">
        <v>12644</v>
      </c>
      <c r="W2752" t="s">
        <v>65</v>
      </c>
      <c r="X2752" t="s">
        <v>12645</v>
      </c>
      <c r="Y2752">
        <v>1</v>
      </c>
    </row>
    <row r="2753" spans="1:26">
      <c r="A2753" s="1">
        <v>2751</v>
      </c>
      <c r="B2753" t="str">
        <f>HYPERLINK("https://bugs.eclipse.org/bugs/show_bug.cgi?id=112999", "112999")</f>
        <v>112999</v>
      </c>
      <c r="C2753" t="s">
        <v>25</v>
      </c>
      <c r="D2753" t="s">
        <v>25</v>
      </c>
      <c r="F2753" t="s">
        <v>26</v>
      </c>
      <c r="G2753" t="s">
        <v>12646</v>
      </c>
      <c r="T2753" t="s">
        <v>12647</v>
      </c>
      <c r="U2753" t="s">
        <v>12648</v>
      </c>
      <c r="V2753" t="s">
        <v>12649</v>
      </c>
      <c r="W2753" t="s">
        <v>143</v>
      </c>
      <c r="X2753" t="s">
        <v>12650</v>
      </c>
      <c r="Y2753">
        <v>1</v>
      </c>
    </row>
    <row r="2754" spans="1:26">
      <c r="A2754" s="1">
        <v>2752</v>
      </c>
      <c r="B2754" t="str">
        <f>HYPERLINK("https://bugs.eclipse.org/bugs/show_bug.cgi?id=113059", "113059")</f>
        <v>113059</v>
      </c>
      <c r="C2754" t="s">
        <v>56</v>
      </c>
      <c r="D2754" t="s">
        <v>10</v>
      </c>
      <c r="E2754" t="s">
        <v>14</v>
      </c>
      <c r="F2754" t="s">
        <v>26</v>
      </c>
      <c r="L2754" t="s">
        <v>12651</v>
      </c>
      <c r="P2754" t="s">
        <v>5004</v>
      </c>
      <c r="T2754" t="s">
        <v>12652</v>
      </c>
      <c r="U2754" t="s">
        <v>12653</v>
      </c>
      <c r="V2754" t="s">
        <v>5004</v>
      </c>
      <c r="W2754" t="s">
        <v>80</v>
      </c>
      <c r="X2754" t="s">
        <v>12654</v>
      </c>
      <c r="Y2754">
        <v>0</v>
      </c>
      <c r="Z2754">
        <v>1411</v>
      </c>
    </row>
    <row r="2755" spans="1:26">
      <c r="A2755" s="1">
        <v>2753</v>
      </c>
      <c r="B2755" t="str">
        <f>HYPERLINK("https://bugs.eclipse.org/bugs/show_bug.cgi?id=113091", "113091")</f>
        <v>113091</v>
      </c>
      <c r="C2755" t="s">
        <v>35</v>
      </c>
      <c r="D2755" t="s">
        <v>11</v>
      </c>
      <c r="E2755" t="s">
        <v>12</v>
      </c>
      <c r="F2755" t="s">
        <v>26</v>
      </c>
      <c r="L2755" t="s">
        <v>12655</v>
      </c>
      <c r="M2755" t="s">
        <v>12656</v>
      </c>
      <c r="N2755" t="s">
        <v>12655</v>
      </c>
      <c r="T2755" t="s">
        <v>12657</v>
      </c>
      <c r="U2755" t="s">
        <v>12655</v>
      </c>
      <c r="V2755" t="s">
        <v>12656</v>
      </c>
      <c r="W2755" t="s">
        <v>851</v>
      </c>
      <c r="X2755" t="s">
        <v>12658</v>
      </c>
      <c r="Y2755">
        <v>0</v>
      </c>
      <c r="Z2755">
        <v>15.04166666666667</v>
      </c>
    </row>
    <row r="2756" spans="1:26">
      <c r="A2756" s="1">
        <v>2754</v>
      </c>
      <c r="B2756" t="str">
        <f>HYPERLINK("https://bugs.eclipse.org/bugs/show_bug.cgi?id=113385", "113385")</f>
        <v>113385</v>
      </c>
      <c r="C2756" t="s">
        <v>35</v>
      </c>
      <c r="D2756" t="s">
        <v>11</v>
      </c>
      <c r="E2756" t="s">
        <v>12</v>
      </c>
      <c r="F2756" t="s">
        <v>26</v>
      </c>
      <c r="L2756" t="s">
        <v>12659</v>
      </c>
      <c r="M2756" t="s">
        <v>12660</v>
      </c>
      <c r="N2756" t="s">
        <v>12659</v>
      </c>
      <c r="T2756" t="s">
        <v>12661</v>
      </c>
      <c r="U2756" t="s">
        <v>12662</v>
      </c>
      <c r="V2756" t="s">
        <v>12660</v>
      </c>
      <c r="W2756" t="s">
        <v>1954</v>
      </c>
      <c r="X2756" t="s">
        <v>12663</v>
      </c>
      <c r="Y2756">
        <v>1</v>
      </c>
      <c r="Z2756">
        <v>116.0416666666667</v>
      </c>
    </row>
    <row r="2757" spans="1:26">
      <c r="A2757" s="1">
        <v>2755</v>
      </c>
      <c r="B2757" t="str">
        <f>HYPERLINK("https://bugs.eclipse.org/bugs/show_bug.cgi?id=113507", "113507")</f>
        <v>113507</v>
      </c>
      <c r="C2757" t="s">
        <v>140</v>
      </c>
      <c r="D2757" t="s">
        <v>10</v>
      </c>
      <c r="E2757" t="s">
        <v>16</v>
      </c>
      <c r="F2757" t="s">
        <v>26</v>
      </c>
      <c r="L2757" t="s">
        <v>12664</v>
      </c>
      <c r="R2757" t="s">
        <v>12664</v>
      </c>
      <c r="T2757" t="s">
        <v>12665</v>
      </c>
      <c r="U2757" t="s">
        <v>12666</v>
      </c>
      <c r="V2757" t="s">
        <v>12664</v>
      </c>
      <c r="W2757" t="s">
        <v>2668</v>
      </c>
      <c r="X2757" t="s">
        <v>12667</v>
      </c>
      <c r="Y2757">
        <v>7.041666666666667</v>
      </c>
      <c r="Z2757">
        <v>169</v>
      </c>
    </row>
    <row r="2758" spans="1:26">
      <c r="A2758" s="1">
        <v>2756</v>
      </c>
      <c r="B2758" t="str">
        <f>HYPERLINK("https://bugs.eclipse.org/bugs/show_bug.cgi?id=113592", "113592")</f>
        <v>113592</v>
      </c>
      <c r="C2758" t="s">
        <v>149</v>
      </c>
      <c r="D2758" t="s">
        <v>10</v>
      </c>
      <c r="E2758" t="s">
        <v>12</v>
      </c>
      <c r="F2758" t="s">
        <v>26</v>
      </c>
      <c r="L2758" t="s">
        <v>12668</v>
      </c>
      <c r="N2758" t="s">
        <v>12668</v>
      </c>
      <c r="T2758" t="s">
        <v>12669</v>
      </c>
      <c r="U2758" t="s">
        <v>12670</v>
      </c>
      <c r="V2758" t="s">
        <v>12671</v>
      </c>
      <c r="W2758" t="s">
        <v>851</v>
      </c>
      <c r="X2758" t="s">
        <v>12672</v>
      </c>
      <c r="Y2758">
        <v>1</v>
      </c>
      <c r="Z2758">
        <v>389.04166666666669</v>
      </c>
    </row>
    <row r="2759" spans="1:26">
      <c r="A2759" s="1">
        <v>2757</v>
      </c>
      <c r="B2759" t="str">
        <f>HYPERLINK("https://bugs.eclipse.org/bugs/show_bug.cgi?id=113731", "113731")</f>
        <v>113731</v>
      </c>
      <c r="C2759" t="s">
        <v>149</v>
      </c>
      <c r="D2759" t="s">
        <v>10</v>
      </c>
      <c r="E2759" t="s">
        <v>12</v>
      </c>
      <c r="F2759" t="s">
        <v>26</v>
      </c>
      <c r="L2759" t="s">
        <v>12673</v>
      </c>
      <c r="N2759" t="s">
        <v>12673</v>
      </c>
      <c r="T2759" t="s">
        <v>12674</v>
      </c>
      <c r="U2759" t="s">
        <v>12675</v>
      </c>
      <c r="V2759" t="s">
        <v>12673</v>
      </c>
      <c r="W2759" t="s">
        <v>851</v>
      </c>
      <c r="X2759" t="s">
        <v>12676</v>
      </c>
      <c r="Y2759">
        <v>0</v>
      </c>
      <c r="Z2759">
        <v>1449</v>
      </c>
    </row>
    <row r="2760" spans="1:26">
      <c r="A2760" s="1">
        <v>2758</v>
      </c>
      <c r="B2760" t="str">
        <f>HYPERLINK("https://bugs.eclipse.org/bugs/show_bug.cgi?id=113920", "113920")</f>
        <v>113920</v>
      </c>
      <c r="C2760" t="s">
        <v>12677</v>
      </c>
      <c r="D2760" t="s">
        <v>10</v>
      </c>
      <c r="E2760" t="s">
        <v>15</v>
      </c>
      <c r="F2760" t="s">
        <v>26</v>
      </c>
      <c r="L2760" t="s">
        <v>12678</v>
      </c>
      <c r="Q2760" t="s">
        <v>12678</v>
      </c>
      <c r="T2760" t="s">
        <v>12679</v>
      </c>
      <c r="U2760" t="s">
        <v>12680</v>
      </c>
      <c r="V2760" t="s">
        <v>12678</v>
      </c>
      <c r="W2760" t="s">
        <v>12681</v>
      </c>
      <c r="X2760" t="s">
        <v>12682</v>
      </c>
      <c r="Y2760">
        <v>0</v>
      </c>
      <c r="Z2760">
        <v>0</v>
      </c>
    </row>
    <row r="2761" spans="1:26">
      <c r="A2761" s="1">
        <v>2759</v>
      </c>
      <c r="B2761" t="str">
        <f>HYPERLINK("https://bugs.eclipse.org/bugs/show_bug.cgi?id=114025", "114025")</f>
        <v>114025</v>
      </c>
      <c r="C2761" t="s">
        <v>35</v>
      </c>
      <c r="D2761" t="s">
        <v>11</v>
      </c>
      <c r="E2761" t="s">
        <v>12</v>
      </c>
      <c r="F2761" t="s">
        <v>26</v>
      </c>
      <c r="G2761" t="s">
        <v>12683</v>
      </c>
      <c r="L2761" t="s">
        <v>12684</v>
      </c>
      <c r="M2761" t="s">
        <v>12685</v>
      </c>
      <c r="N2761" t="s">
        <v>12684</v>
      </c>
      <c r="T2761" t="s">
        <v>12686</v>
      </c>
      <c r="U2761" t="s">
        <v>12687</v>
      </c>
      <c r="V2761" t="s">
        <v>12685</v>
      </c>
      <c r="W2761" t="s">
        <v>1954</v>
      </c>
      <c r="X2761" t="s">
        <v>12688</v>
      </c>
      <c r="Y2761">
        <v>0</v>
      </c>
      <c r="Z2761">
        <v>47.041666666666657</v>
      </c>
    </row>
    <row r="2762" spans="1:26">
      <c r="A2762" s="1">
        <v>2760</v>
      </c>
      <c r="B2762" t="str">
        <f>HYPERLINK("https://bugs.eclipse.org/bugs/show_bug.cgi?id=114075", "114075")</f>
        <v>114075</v>
      </c>
      <c r="C2762" t="s">
        <v>25</v>
      </c>
      <c r="D2762" t="s">
        <v>25</v>
      </c>
      <c r="F2762" t="s">
        <v>26</v>
      </c>
      <c r="T2762" t="s">
        <v>12689</v>
      </c>
      <c r="U2762" t="s">
        <v>12690</v>
      </c>
      <c r="V2762" t="s">
        <v>12691</v>
      </c>
      <c r="W2762" t="s">
        <v>143</v>
      </c>
      <c r="X2762" t="s">
        <v>12692</v>
      </c>
      <c r="Y2762">
        <v>0</v>
      </c>
    </row>
    <row r="2763" spans="1:26">
      <c r="A2763" s="1">
        <v>2761</v>
      </c>
      <c r="B2763" t="str">
        <f>HYPERLINK("https://bugs.eclipse.org/bugs/show_bug.cgi?id=114076", "114076")</f>
        <v>114076</v>
      </c>
      <c r="C2763" t="s">
        <v>56</v>
      </c>
      <c r="D2763" t="s">
        <v>10</v>
      </c>
      <c r="E2763" t="s">
        <v>14</v>
      </c>
      <c r="F2763" t="s">
        <v>26</v>
      </c>
      <c r="L2763" t="s">
        <v>12693</v>
      </c>
      <c r="P2763" t="s">
        <v>12694</v>
      </c>
      <c r="T2763" t="s">
        <v>12695</v>
      </c>
      <c r="U2763" t="s">
        <v>12693</v>
      </c>
      <c r="V2763" t="s">
        <v>12694</v>
      </c>
      <c r="W2763" t="s">
        <v>80</v>
      </c>
      <c r="X2763" t="s">
        <v>12696</v>
      </c>
      <c r="Y2763">
        <v>0</v>
      </c>
      <c r="Z2763">
        <v>1402</v>
      </c>
    </row>
    <row r="2764" spans="1:26">
      <c r="A2764" s="1">
        <v>2762</v>
      </c>
      <c r="B2764" t="str">
        <f>HYPERLINK("https://bugs.eclipse.org/bugs/show_bug.cgi?id=114153", "114153")</f>
        <v>114153</v>
      </c>
      <c r="C2764" t="s">
        <v>35</v>
      </c>
      <c r="D2764" t="s">
        <v>11</v>
      </c>
      <c r="E2764" t="s">
        <v>12</v>
      </c>
      <c r="F2764" t="s">
        <v>26</v>
      </c>
      <c r="L2764" t="s">
        <v>12697</v>
      </c>
      <c r="M2764" t="s">
        <v>12698</v>
      </c>
      <c r="N2764" t="s">
        <v>12697</v>
      </c>
      <c r="T2764" t="s">
        <v>12699</v>
      </c>
      <c r="U2764" t="s">
        <v>12700</v>
      </c>
      <c r="V2764" t="s">
        <v>12698</v>
      </c>
      <c r="W2764" t="s">
        <v>1954</v>
      </c>
      <c r="X2764" t="s">
        <v>12701</v>
      </c>
      <c r="Y2764">
        <v>3.041666666666667</v>
      </c>
      <c r="Z2764">
        <v>46.041666666666657</v>
      </c>
    </row>
    <row r="2765" spans="1:26">
      <c r="A2765" s="1">
        <v>2763</v>
      </c>
      <c r="B2765" t="str">
        <f>HYPERLINK("https://bugs.eclipse.org/bugs/show_bug.cgi?id=114491", "114491")</f>
        <v>114491</v>
      </c>
      <c r="C2765" t="s">
        <v>35</v>
      </c>
      <c r="D2765" t="s">
        <v>11</v>
      </c>
      <c r="E2765" t="s">
        <v>12</v>
      </c>
      <c r="F2765" t="s">
        <v>26</v>
      </c>
      <c r="L2765" t="s">
        <v>12702</v>
      </c>
      <c r="M2765" t="s">
        <v>12703</v>
      </c>
      <c r="N2765" t="s">
        <v>12702</v>
      </c>
      <c r="T2765" t="s">
        <v>12704</v>
      </c>
      <c r="U2765" t="s">
        <v>12705</v>
      </c>
      <c r="V2765" t="s">
        <v>12703</v>
      </c>
      <c r="W2765" t="s">
        <v>851</v>
      </c>
      <c r="X2765" t="s">
        <v>12706</v>
      </c>
      <c r="Y2765">
        <v>0</v>
      </c>
      <c r="Z2765">
        <v>2</v>
      </c>
    </row>
    <row r="2766" spans="1:26">
      <c r="A2766" s="1">
        <v>2764</v>
      </c>
      <c r="B2766" t="str">
        <f>HYPERLINK("https://bugs.eclipse.org/bugs/show_bug.cgi?id=114509", "114509")</f>
        <v>114509</v>
      </c>
      <c r="C2766" t="s">
        <v>149</v>
      </c>
      <c r="D2766" t="s">
        <v>10</v>
      </c>
      <c r="E2766" t="s">
        <v>12</v>
      </c>
      <c r="F2766" t="s">
        <v>26</v>
      </c>
      <c r="L2766" t="s">
        <v>12707</v>
      </c>
      <c r="N2766" t="s">
        <v>12707</v>
      </c>
      <c r="T2766" t="s">
        <v>12708</v>
      </c>
      <c r="U2766" t="s">
        <v>12709</v>
      </c>
      <c r="V2766" t="s">
        <v>12707</v>
      </c>
      <c r="W2766" t="s">
        <v>2668</v>
      </c>
      <c r="X2766" t="s">
        <v>12710</v>
      </c>
      <c r="Y2766">
        <v>0</v>
      </c>
      <c r="Z2766">
        <v>71</v>
      </c>
    </row>
    <row r="2767" spans="1:26">
      <c r="A2767" s="1">
        <v>2765</v>
      </c>
      <c r="B2767" t="str">
        <f>HYPERLINK("https://bugs.eclipse.org/bugs/show_bug.cgi?id=114511", "114511")</f>
        <v>114511</v>
      </c>
      <c r="C2767" t="s">
        <v>191</v>
      </c>
      <c r="D2767" t="s">
        <v>192</v>
      </c>
      <c r="E2767" t="s">
        <v>14</v>
      </c>
      <c r="F2767" t="s">
        <v>26</v>
      </c>
      <c r="T2767" t="s">
        <v>12711</v>
      </c>
      <c r="U2767" t="s">
        <v>12712</v>
      </c>
      <c r="V2767" t="s">
        <v>12713</v>
      </c>
      <c r="W2767" t="s">
        <v>65</v>
      </c>
      <c r="X2767" t="s">
        <v>12714</v>
      </c>
      <c r="Y2767">
        <v>0</v>
      </c>
      <c r="Z2767">
        <v>4801</v>
      </c>
    </row>
    <row r="2768" spans="1:26">
      <c r="A2768" s="1">
        <v>2766</v>
      </c>
      <c r="B2768" t="str">
        <f>HYPERLINK("https://bugs.eclipse.org/bugs/show_bug.cgi?id=114536", "114536")</f>
        <v>114536</v>
      </c>
      <c r="C2768" t="s">
        <v>88</v>
      </c>
      <c r="D2768" t="s">
        <v>10</v>
      </c>
      <c r="E2768" t="s">
        <v>13</v>
      </c>
      <c r="F2768" t="s">
        <v>26</v>
      </c>
      <c r="L2768" t="s">
        <v>12715</v>
      </c>
      <c r="O2768" t="s">
        <v>12716</v>
      </c>
      <c r="T2768" t="s">
        <v>12717</v>
      </c>
      <c r="U2768" t="s">
        <v>12718</v>
      </c>
      <c r="V2768" t="s">
        <v>12716</v>
      </c>
      <c r="W2768" t="s">
        <v>75</v>
      </c>
      <c r="X2768" t="s">
        <v>12719</v>
      </c>
      <c r="Y2768">
        <v>0</v>
      </c>
      <c r="Z2768">
        <v>1397.958333333333</v>
      </c>
    </row>
    <row r="2769" spans="1:26">
      <c r="A2769" s="1">
        <v>2767</v>
      </c>
      <c r="B2769" t="str">
        <f>HYPERLINK("https://bugs.eclipse.org/bugs/show_bug.cgi?id=114544", "114544")</f>
        <v>114544</v>
      </c>
      <c r="C2769" t="s">
        <v>35</v>
      </c>
      <c r="D2769" t="s">
        <v>11</v>
      </c>
      <c r="E2769" t="s">
        <v>12</v>
      </c>
      <c r="F2769" t="s">
        <v>26</v>
      </c>
      <c r="L2769" t="s">
        <v>12720</v>
      </c>
      <c r="M2769" t="s">
        <v>12721</v>
      </c>
      <c r="N2769" t="s">
        <v>12720</v>
      </c>
      <c r="T2769" t="s">
        <v>12722</v>
      </c>
      <c r="U2769" t="s">
        <v>12723</v>
      </c>
      <c r="V2769" t="s">
        <v>12721</v>
      </c>
      <c r="W2769" t="s">
        <v>1954</v>
      </c>
      <c r="X2769" t="s">
        <v>12724</v>
      </c>
      <c r="Y2769">
        <v>0</v>
      </c>
      <c r="Z2769">
        <v>2</v>
      </c>
    </row>
    <row r="2770" spans="1:26">
      <c r="A2770" s="1">
        <v>2768</v>
      </c>
      <c r="B2770" t="str">
        <f>HYPERLINK("https://bugs.eclipse.org/bugs/show_bug.cgi?id=114734", "114734")</f>
        <v>114734</v>
      </c>
      <c r="C2770" t="s">
        <v>35</v>
      </c>
      <c r="D2770" t="s">
        <v>11</v>
      </c>
      <c r="E2770" t="s">
        <v>12</v>
      </c>
      <c r="F2770" t="s">
        <v>26</v>
      </c>
      <c r="L2770" t="s">
        <v>12725</v>
      </c>
      <c r="M2770" t="s">
        <v>12726</v>
      </c>
      <c r="N2770" t="s">
        <v>12725</v>
      </c>
      <c r="T2770" t="s">
        <v>12727</v>
      </c>
      <c r="U2770" t="s">
        <v>12728</v>
      </c>
      <c r="V2770" t="s">
        <v>12726</v>
      </c>
      <c r="W2770" t="s">
        <v>851</v>
      </c>
      <c r="X2770" t="s">
        <v>12729</v>
      </c>
      <c r="Y2770">
        <v>8</v>
      </c>
      <c r="Z2770">
        <v>41</v>
      </c>
    </row>
    <row r="2771" spans="1:26">
      <c r="A2771" s="1">
        <v>2769</v>
      </c>
      <c r="B2771" t="str">
        <f>HYPERLINK("https://bugs.eclipse.org/bugs/show_bug.cgi?id=114800", "114800")</f>
        <v>114800</v>
      </c>
      <c r="C2771" t="s">
        <v>25</v>
      </c>
      <c r="D2771" t="s">
        <v>25</v>
      </c>
      <c r="F2771" t="s">
        <v>26</v>
      </c>
      <c r="T2771" t="s">
        <v>12730</v>
      </c>
      <c r="U2771" t="s">
        <v>12731</v>
      </c>
      <c r="V2771" t="s">
        <v>12732</v>
      </c>
      <c r="W2771" t="s">
        <v>49</v>
      </c>
      <c r="X2771" t="s">
        <v>12733</v>
      </c>
      <c r="Y2771">
        <v>1</v>
      </c>
    </row>
    <row r="2772" spans="1:26">
      <c r="A2772" s="1">
        <v>2770</v>
      </c>
      <c r="B2772" t="str">
        <f>HYPERLINK("https://bugs.eclipse.org/bugs/show_bug.cgi?id=114950", "114950")</f>
        <v>114950</v>
      </c>
      <c r="C2772" t="s">
        <v>140</v>
      </c>
      <c r="D2772" t="s">
        <v>10</v>
      </c>
      <c r="E2772" t="s">
        <v>16</v>
      </c>
      <c r="F2772" t="s">
        <v>26</v>
      </c>
      <c r="G2772" t="s">
        <v>12734</v>
      </c>
      <c r="L2772" t="s">
        <v>12735</v>
      </c>
      <c r="R2772" t="s">
        <v>12735</v>
      </c>
      <c r="T2772" t="s">
        <v>12736</v>
      </c>
      <c r="U2772" t="s">
        <v>12737</v>
      </c>
      <c r="V2772" t="s">
        <v>12738</v>
      </c>
      <c r="W2772" t="s">
        <v>1954</v>
      </c>
      <c r="X2772" t="s">
        <v>12739</v>
      </c>
      <c r="Y2772">
        <v>0</v>
      </c>
      <c r="Z2772">
        <v>706.95833333333337</v>
      </c>
    </row>
    <row r="2773" spans="1:26">
      <c r="A2773" s="1">
        <v>2771</v>
      </c>
      <c r="B2773" t="str">
        <f>HYPERLINK("https://bugs.eclipse.org/bugs/show_bug.cgi?id=115463", "115463")</f>
        <v>115463</v>
      </c>
      <c r="C2773" t="s">
        <v>149</v>
      </c>
      <c r="D2773" t="s">
        <v>10</v>
      </c>
      <c r="E2773" t="s">
        <v>12</v>
      </c>
      <c r="F2773" t="s">
        <v>26</v>
      </c>
      <c r="G2773" t="s">
        <v>12740</v>
      </c>
      <c r="L2773" t="s">
        <v>12741</v>
      </c>
      <c r="N2773" t="s">
        <v>12741</v>
      </c>
      <c r="T2773" t="s">
        <v>12742</v>
      </c>
      <c r="U2773" t="s">
        <v>12743</v>
      </c>
      <c r="V2773" t="s">
        <v>12146</v>
      </c>
      <c r="W2773" t="s">
        <v>86</v>
      </c>
      <c r="X2773" t="s">
        <v>12744</v>
      </c>
      <c r="Y2773">
        <v>0</v>
      </c>
      <c r="Z2773">
        <v>145.95833333333329</v>
      </c>
    </row>
    <row r="2774" spans="1:26">
      <c r="A2774" s="1">
        <v>2772</v>
      </c>
      <c r="B2774" t="str">
        <f>HYPERLINK("https://bugs.eclipse.org/bugs/show_bug.cgi?id=115860", "115860")</f>
        <v>115860</v>
      </c>
      <c r="C2774" t="s">
        <v>35</v>
      </c>
      <c r="D2774" t="s">
        <v>11</v>
      </c>
      <c r="E2774" t="s">
        <v>12</v>
      </c>
      <c r="F2774" t="s">
        <v>26</v>
      </c>
      <c r="H2774" t="s">
        <v>12745</v>
      </c>
      <c r="L2774" t="s">
        <v>12746</v>
      </c>
      <c r="M2774" t="s">
        <v>12747</v>
      </c>
      <c r="N2774" t="s">
        <v>12746</v>
      </c>
      <c r="T2774" t="s">
        <v>12748</v>
      </c>
      <c r="U2774" t="s">
        <v>12749</v>
      </c>
      <c r="V2774" t="s">
        <v>12747</v>
      </c>
      <c r="W2774" t="s">
        <v>1954</v>
      </c>
      <c r="X2774" t="s">
        <v>12750</v>
      </c>
      <c r="Y2774">
        <v>0</v>
      </c>
      <c r="Z2774">
        <v>33</v>
      </c>
    </row>
    <row r="2775" spans="1:26">
      <c r="A2775" s="1">
        <v>2773</v>
      </c>
      <c r="B2775" t="str">
        <f>HYPERLINK("https://bugs.eclipse.org/bugs/show_bug.cgi?id=116033", "116033")</f>
        <v>116033</v>
      </c>
      <c r="C2775" t="s">
        <v>12751</v>
      </c>
      <c r="D2775" t="s">
        <v>10</v>
      </c>
      <c r="E2775" t="s">
        <v>15</v>
      </c>
      <c r="F2775" t="s">
        <v>26</v>
      </c>
      <c r="L2775" t="s">
        <v>12406</v>
      </c>
      <c r="Q2775" t="s">
        <v>12406</v>
      </c>
      <c r="T2775" t="s">
        <v>12752</v>
      </c>
      <c r="U2775" t="s">
        <v>12753</v>
      </c>
      <c r="V2775" t="s">
        <v>12754</v>
      </c>
      <c r="W2775" t="s">
        <v>12755</v>
      </c>
      <c r="X2775" t="s">
        <v>12756</v>
      </c>
      <c r="Y2775">
        <v>3</v>
      </c>
      <c r="Z2775">
        <v>395</v>
      </c>
    </row>
    <row r="2776" spans="1:26">
      <c r="A2776" s="1">
        <v>2774</v>
      </c>
      <c r="B2776" t="str">
        <f>HYPERLINK("https://bugs.eclipse.org/bugs/show_bug.cgi?id=116048", "116048")</f>
        <v>116048</v>
      </c>
      <c r="C2776" t="s">
        <v>56</v>
      </c>
      <c r="D2776" t="s">
        <v>10</v>
      </c>
      <c r="E2776" t="s">
        <v>14</v>
      </c>
      <c r="F2776" t="s">
        <v>26</v>
      </c>
      <c r="L2776" t="s">
        <v>12757</v>
      </c>
      <c r="P2776" t="s">
        <v>12758</v>
      </c>
      <c r="T2776" t="s">
        <v>12759</v>
      </c>
      <c r="U2776" t="s">
        <v>12760</v>
      </c>
      <c r="V2776" t="s">
        <v>12758</v>
      </c>
      <c r="W2776" t="s">
        <v>75</v>
      </c>
      <c r="X2776" t="s">
        <v>12761</v>
      </c>
      <c r="Y2776">
        <v>3</v>
      </c>
      <c r="Z2776">
        <v>1387.958333333333</v>
      </c>
    </row>
    <row r="2777" spans="1:26">
      <c r="A2777" s="1">
        <v>2775</v>
      </c>
      <c r="B2777" t="str">
        <f>HYPERLINK("https://bugs.eclipse.org/bugs/show_bug.cgi?id=116223", "116223")</f>
        <v>116223</v>
      </c>
      <c r="C2777" t="s">
        <v>149</v>
      </c>
      <c r="D2777" t="s">
        <v>10</v>
      </c>
      <c r="E2777" t="s">
        <v>12</v>
      </c>
      <c r="F2777" t="s">
        <v>26</v>
      </c>
      <c r="L2777" t="s">
        <v>12762</v>
      </c>
      <c r="N2777" t="s">
        <v>12762</v>
      </c>
      <c r="T2777" t="s">
        <v>12763</v>
      </c>
      <c r="U2777" t="s">
        <v>12764</v>
      </c>
      <c r="V2777" t="s">
        <v>12762</v>
      </c>
      <c r="W2777" t="s">
        <v>86</v>
      </c>
      <c r="X2777" t="s">
        <v>12765</v>
      </c>
      <c r="Y2777">
        <v>0</v>
      </c>
      <c r="Z2777">
        <v>50</v>
      </c>
    </row>
    <row r="2778" spans="1:26">
      <c r="A2778" s="1">
        <v>2776</v>
      </c>
      <c r="B2778" t="str">
        <f>HYPERLINK("https://bugs.eclipse.org/bugs/show_bug.cgi?id=116225", "116225")</f>
        <v>116225</v>
      </c>
      <c r="C2778" t="s">
        <v>149</v>
      </c>
      <c r="D2778" t="s">
        <v>10</v>
      </c>
      <c r="E2778" t="s">
        <v>12</v>
      </c>
      <c r="F2778" t="s">
        <v>26</v>
      </c>
      <c r="L2778" t="s">
        <v>12766</v>
      </c>
      <c r="N2778" t="s">
        <v>12766</v>
      </c>
      <c r="T2778" t="s">
        <v>12767</v>
      </c>
      <c r="U2778" t="s">
        <v>12768</v>
      </c>
      <c r="V2778" t="s">
        <v>12766</v>
      </c>
      <c r="W2778" t="s">
        <v>2668</v>
      </c>
      <c r="X2778" t="s">
        <v>12769</v>
      </c>
      <c r="Y2778">
        <v>0</v>
      </c>
      <c r="Z2778">
        <v>116</v>
      </c>
    </row>
    <row r="2779" spans="1:26">
      <c r="A2779" s="1">
        <v>2777</v>
      </c>
      <c r="B2779" t="str">
        <f>HYPERLINK("https://bugs.eclipse.org/bugs/show_bug.cgi?id=116298", "116298")</f>
        <v>116298</v>
      </c>
      <c r="C2779" t="s">
        <v>35</v>
      </c>
      <c r="D2779" t="s">
        <v>11</v>
      </c>
      <c r="E2779" t="s">
        <v>12</v>
      </c>
      <c r="F2779" t="s">
        <v>26</v>
      </c>
      <c r="L2779" t="s">
        <v>12770</v>
      </c>
      <c r="M2779" t="s">
        <v>12771</v>
      </c>
      <c r="N2779" t="s">
        <v>12770</v>
      </c>
      <c r="T2779" t="s">
        <v>12772</v>
      </c>
      <c r="U2779" t="s">
        <v>12773</v>
      </c>
      <c r="V2779" t="s">
        <v>12771</v>
      </c>
      <c r="W2779" t="s">
        <v>1954</v>
      </c>
      <c r="X2779" t="s">
        <v>12774</v>
      </c>
      <c r="Y2779">
        <v>0</v>
      </c>
      <c r="Z2779">
        <v>29</v>
      </c>
    </row>
    <row r="2780" spans="1:26">
      <c r="A2780" s="1">
        <v>2778</v>
      </c>
      <c r="B2780" t="str">
        <f>HYPERLINK("https://bugs.eclipse.org/bugs/show_bug.cgi?id=116342", "116342")</f>
        <v>116342</v>
      </c>
      <c r="C2780" t="s">
        <v>35</v>
      </c>
      <c r="D2780" t="s">
        <v>11</v>
      </c>
      <c r="E2780" t="s">
        <v>12</v>
      </c>
      <c r="F2780" t="s">
        <v>150</v>
      </c>
      <c r="L2780" t="s">
        <v>12775</v>
      </c>
      <c r="M2780" t="s">
        <v>12776</v>
      </c>
      <c r="N2780" t="s">
        <v>12775</v>
      </c>
      <c r="T2780" t="s">
        <v>12777</v>
      </c>
      <c r="U2780" t="s">
        <v>12778</v>
      </c>
      <c r="V2780" t="s">
        <v>12776</v>
      </c>
      <c r="W2780" t="s">
        <v>1954</v>
      </c>
      <c r="X2780" t="s">
        <v>12779</v>
      </c>
      <c r="Y2780">
        <v>2</v>
      </c>
      <c r="Z2780">
        <v>29</v>
      </c>
    </row>
    <row r="2781" spans="1:26">
      <c r="A2781" s="1">
        <v>2779</v>
      </c>
      <c r="B2781" t="str">
        <f>HYPERLINK("https://bugs.eclipse.org/bugs/show_bug.cgi?id=116477", "116477")</f>
        <v>116477</v>
      </c>
      <c r="C2781" t="s">
        <v>56</v>
      </c>
      <c r="D2781" t="s">
        <v>10</v>
      </c>
      <c r="E2781" t="s">
        <v>14</v>
      </c>
      <c r="F2781" t="s">
        <v>26</v>
      </c>
      <c r="L2781" t="s">
        <v>12780</v>
      </c>
      <c r="P2781" t="s">
        <v>12781</v>
      </c>
      <c r="T2781" t="s">
        <v>12782</v>
      </c>
      <c r="U2781" t="s">
        <v>12780</v>
      </c>
      <c r="V2781" t="s">
        <v>12781</v>
      </c>
      <c r="W2781" t="s">
        <v>75</v>
      </c>
      <c r="X2781" t="s">
        <v>12783</v>
      </c>
      <c r="Y2781">
        <v>1</v>
      </c>
      <c r="Z2781">
        <v>1383.958333333333</v>
      </c>
    </row>
    <row r="2782" spans="1:26">
      <c r="A2782" s="1">
        <v>2780</v>
      </c>
      <c r="B2782" t="str">
        <f>HYPERLINK("https://bugs.eclipse.org/bugs/show_bug.cgi?id=116985", "116985")</f>
        <v>116985</v>
      </c>
      <c r="C2782" t="s">
        <v>88</v>
      </c>
      <c r="D2782" t="s">
        <v>10</v>
      </c>
      <c r="E2782" t="s">
        <v>13</v>
      </c>
      <c r="F2782" t="s">
        <v>26</v>
      </c>
      <c r="L2782" t="s">
        <v>12784</v>
      </c>
      <c r="O2782" t="s">
        <v>12784</v>
      </c>
      <c r="T2782" t="s">
        <v>12785</v>
      </c>
      <c r="U2782" t="s">
        <v>12786</v>
      </c>
      <c r="V2782" t="s">
        <v>12784</v>
      </c>
      <c r="W2782" t="s">
        <v>2668</v>
      </c>
      <c r="X2782" t="s">
        <v>12787</v>
      </c>
      <c r="Y2782">
        <v>0</v>
      </c>
      <c r="Z2782">
        <v>105</v>
      </c>
    </row>
    <row r="2783" spans="1:26">
      <c r="A2783" s="1">
        <v>2781</v>
      </c>
      <c r="B2783" t="str">
        <f>HYPERLINK("https://bugs.eclipse.org/bugs/show_bug.cgi?id=117015", "117015")</f>
        <v>117015</v>
      </c>
      <c r="C2783" t="s">
        <v>35</v>
      </c>
      <c r="D2783" t="s">
        <v>11</v>
      </c>
      <c r="E2783" t="s">
        <v>12</v>
      </c>
      <c r="F2783" t="s">
        <v>26</v>
      </c>
      <c r="L2783" t="s">
        <v>12788</v>
      </c>
      <c r="M2783" t="s">
        <v>12789</v>
      </c>
      <c r="N2783" t="s">
        <v>12788</v>
      </c>
      <c r="T2783" t="s">
        <v>12790</v>
      </c>
      <c r="U2783" t="s">
        <v>12791</v>
      </c>
      <c r="V2783" t="s">
        <v>12789</v>
      </c>
      <c r="W2783" t="s">
        <v>851</v>
      </c>
      <c r="X2783" t="s">
        <v>12792</v>
      </c>
      <c r="Y2783">
        <v>0</v>
      </c>
      <c r="Z2783">
        <v>25</v>
      </c>
    </row>
    <row r="2784" spans="1:26">
      <c r="A2784" s="1">
        <v>2782</v>
      </c>
      <c r="B2784" t="str">
        <f>HYPERLINK("https://bugs.eclipse.org/bugs/show_bug.cgi?id=117016", "117016")</f>
        <v>117016</v>
      </c>
      <c r="C2784" t="s">
        <v>35</v>
      </c>
      <c r="D2784" t="s">
        <v>11</v>
      </c>
      <c r="E2784" t="s">
        <v>12</v>
      </c>
      <c r="F2784" t="s">
        <v>26</v>
      </c>
      <c r="L2784" t="s">
        <v>12793</v>
      </c>
      <c r="M2784" t="s">
        <v>12794</v>
      </c>
      <c r="N2784" t="s">
        <v>12793</v>
      </c>
      <c r="T2784" t="s">
        <v>12795</v>
      </c>
      <c r="U2784" t="s">
        <v>12796</v>
      </c>
      <c r="V2784" t="s">
        <v>12794</v>
      </c>
      <c r="W2784" t="s">
        <v>851</v>
      </c>
      <c r="X2784" t="s">
        <v>12797</v>
      </c>
      <c r="Y2784">
        <v>0</v>
      </c>
      <c r="Z2784">
        <v>25</v>
      </c>
    </row>
    <row r="2785" spans="1:26">
      <c r="A2785" s="1">
        <v>2783</v>
      </c>
      <c r="B2785" t="str">
        <f>HYPERLINK("https://bugs.eclipse.org/bugs/show_bug.cgi?id=117025", "117025")</f>
        <v>117025</v>
      </c>
      <c r="C2785" t="s">
        <v>35</v>
      </c>
      <c r="D2785" t="s">
        <v>11</v>
      </c>
      <c r="E2785" t="s">
        <v>12</v>
      </c>
      <c r="F2785" t="s">
        <v>26</v>
      </c>
      <c r="L2785" t="s">
        <v>12798</v>
      </c>
      <c r="M2785" t="s">
        <v>12799</v>
      </c>
      <c r="N2785" t="s">
        <v>12798</v>
      </c>
      <c r="T2785" t="s">
        <v>12800</v>
      </c>
      <c r="U2785" t="s">
        <v>12801</v>
      </c>
      <c r="V2785" t="s">
        <v>12799</v>
      </c>
      <c r="W2785" t="s">
        <v>1954</v>
      </c>
      <c r="X2785" t="s">
        <v>12802</v>
      </c>
      <c r="Y2785">
        <v>0</v>
      </c>
      <c r="Z2785">
        <v>25</v>
      </c>
    </row>
    <row r="2786" spans="1:26">
      <c r="A2786" s="1">
        <v>2784</v>
      </c>
      <c r="B2786" t="str">
        <f>HYPERLINK("https://bugs.eclipse.org/bugs/show_bug.cgi?id=117053", "117053")</f>
        <v>117053</v>
      </c>
      <c r="C2786" t="s">
        <v>149</v>
      </c>
      <c r="D2786" t="s">
        <v>10</v>
      </c>
      <c r="E2786" t="s">
        <v>12</v>
      </c>
      <c r="F2786" t="s">
        <v>26</v>
      </c>
      <c r="L2786" t="s">
        <v>12803</v>
      </c>
      <c r="N2786" t="s">
        <v>12803</v>
      </c>
      <c r="T2786" t="s">
        <v>12804</v>
      </c>
      <c r="U2786" t="s">
        <v>12805</v>
      </c>
      <c r="V2786" t="s">
        <v>12803</v>
      </c>
      <c r="W2786" t="s">
        <v>86</v>
      </c>
      <c r="X2786" t="s">
        <v>12806</v>
      </c>
      <c r="Y2786">
        <v>1</v>
      </c>
      <c r="Z2786">
        <v>136.95833333333329</v>
      </c>
    </row>
    <row r="2787" spans="1:26">
      <c r="A2787" s="1">
        <v>2785</v>
      </c>
      <c r="B2787" t="str">
        <f>HYPERLINK("https://bugs.eclipse.org/bugs/show_bug.cgi?id=117216", "117216")</f>
        <v>117216</v>
      </c>
      <c r="C2787" t="s">
        <v>35</v>
      </c>
      <c r="D2787" t="s">
        <v>11</v>
      </c>
      <c r="E2787" t="s">
        <v>12</v>
      </c>
      <c r="F2787" t="s">
        <v>26</v>
      </c>
      <c r="L2787" t="s">
        <v>12807</v>
      </c>
      <c r="M2787" t="s">
        <v>12808</v>
      </c>
      <c r="N2787" t="s">
        <v>12807</v>
      </c>
      <c r="T2787" t="s">
        <v>12809</v>
      </c>
      <c r="U2787" t="s">
        <v>12810</v>
      </c>
      <c r="V2787" t="s">
        <v>12808</v>
      </c>
      <c r="W2787" t="s">
        <v>1954</v>
      </c>
      <c r="X2787" t="s">
        <v>12811</v>
      </c>
      <c r="Y2787">
        <v>2</v>
      </c>
      <c r="Z2787">
        <v>23</v>
      </c>
    </row>
    <row r="2788" spans="1:26">
      <c r="A2788" s="1">
        <v>2786</v>
      </c>
      <c r="B2788" t="str">
        <f>HYPERLINK("https://bugs.eclipse.org/bugs/show_bug.cgi?id=117295", "117295")</f>
        <v>117295</v>
      </c>
      <c r="C2788" t="s">
        <v>149</v>
      </c>
      <c r="D2788" t="s">
        <v>10</v>
      </c>
      <c r="E2788" t="s">
        <v>12</v>
      </c>
      <c r="F2788" t="s">
        <v>26</v>
      </c>
      <c r="L2788" t="s">
        <v>12812</v>
      </c>
      <c r="N2788" t="s">
        <v>12812</v>
      </c>
      <c r="T2788" t="s">
        <v>12813</v>
      </c>
      <c r="U2788" t="s">
        <v>12814</v>
      </c>
      <c r="V2788" t="s">
        <v>12815</v>
      </c>
      <c r="W2788" t="s">
        <v>1954</v>
      </c>
      <c r="X2788" t="s">
        <v>12816</v>
      </c>
      <c r="Y2788">
        <v>0</v>
      </c>
      <c r="Z2788">
        <v>1</v>
      </c>
    </row>
    <row r="2789" spans="1:26">
      <c r="A2789" s="1">
        <v>2787</v>
      </c>
      <c r="B2789" t="str">
        <f>HYPERLINK("https://bugs.eclipse.org/bugs/show_bug.cgi?id=117317", "117317")</f>
        <v>117317</v>
      </c>
      <c r="C2789" t="s">
        <v>35</v>
      </c>
      <c r="D2789" t="s">
        <v>11</v>
      </c>
      <c r="E2789" t="s">
        <v>12</v>
      </c>
      <c r="F2789" t="s">
        <v>26</v>
      </c>
      <c r="L2789" t="s">
        <v>12817</v>
      </c>
      <c r="M2789" t="s">
        <v>12818</v>
      </c>
      <c r="N2789" t="s">
        <v>12817</v>
      </c>
      <c r="S2789" t="s">
        <v>12819</v>
      </c>
      <c r="T2789" t="s">
        <v>12820</v>
      </c>
      <c r="U2789" t="s">
        <v>12821</v>
      </c>
      <c r="V2789" t="s">
        <v>12818</v>
      </c>
      <c r="W2789" t="s">
        <v>1954</v>
      </c>
      <c r="X2789" t="s">
        <v>12822</v>
      </c>
      <c r="Y2789">
        <v>1</v>
      </c>
      <c r="Z2789">
        <v>24</v>
      </c>
    </row>
    <row r="2790" spans="1:26">
      <c r="A2790" s="1">
        <v>2788</v>
      </c>
      <c r="B2790" t="str">
        <f>HYPERLINK("https://bugs.eclipse.org/bugs/show_bug.cgi?id=117328", "117328")</f>
        <v>117328</v>
      </c>
      <c r="C2790" t="s">
        <v>35</v>
      </c>
      <c r="D2790" t="s">
        <v>11</v>
      </c>
      <c r="E2790" t="s">
        <v>12</v>
      </c>
      <c r="F2790" t="s">
        <v>26</v>
      </c>
      <c r="G2790" t="s">
        <v>12823</v>
      </c>
      <c r="L2790" t="s">
        <v>12824</v>
      </c>
      <c r="M2790" t="s">
        <v>12825</v>
      </c>
      <c r="N2790" t="s">
        <v>12824</v>
      </c>
      <c r="T2790" t="s">
        <v>12826</v>
      </c>
      <c r="U2790" t="s">
        <v>12827</v>
      </c>
      <c r="V2790" t="s">
        <v>12825</v>
      </c>
      <c r="W2790" t="s">
        <v>1954</v>
      </c>
      <c r="X2790" t="s">
        <v>12828</v>
      </c>
      <c r="Y2790">
        <v>0</v>
      </c>
      <c r="Z2790">
        <v>22</v>
      </c>
    </row>
    <row r="2791" spans="1:26">
      <c r="A2791" s="1">
        <v>2789</v>
      </c>
      <c r="B2791" t="str">
        <f>HYPERLINK("https://bugs.eclipse.org/bugs/show_bug.cgi?id=117461", "117461")</f>
        <v>117461</v>
      </c>
      <c r="C2791" t="s">
        <v>56</v>
      </c>
      <c r="D2791" t="s">
        <v>10</v>
      </c>
      <c r="E2791" t="s">
        <v>14</v>
      </c>
      <c r="F2791" t="s">
        <v>26</v>
      </c>
      <c r="L2791" t="s">
        <v>12829</v>
      </c>
      <c r="P2791" t="s">
        <v>991</v>
      </c>
      <c r="T2791" t="s">
        <v>12830</v>
      </c>
      <c r="U2791" t="s">
        <v>12829</v>
      </c>
      <c r="V2791" t="s">
        <v>991</v>
      </c>
      <c r="W2791" t="s">
        <v>75</v>
      </c>
      <c r="X2791" t="s">
        <v>12831</v>
      </c>
      <c r="Y2791">
        <v>0</v>
      </c>
      <c r="Z2791">
        <v>1376.958333333333</v>
      </c>
    </row>
    <row r="2792" spans="1:26">
      <c r="A2792" s="1">
        <v>2790</v>
      </c>
      <c r="B2792" t="str">
        <f>HYPERLINK("https://bugs.eclipse.org/bugs/show_bug.cgi?id=117462", "117462")</f>
        <v>117462</v>
      </c>
      <c r="C2792" t="s">
        <v>4692</v>
      </c>
      <c r="D2792" t="s">
        <v>4692</v>
      </c>
      <c r="F2792" t="s">
        <v>26</v>
      </c>
      <c r="T2792" t="s">
        <v>12832</v>
      </c>
      <c r="U2792" t="s">
        <v>12833</v>
      </c>
      <c r="V2792" t="s">
        <v>12834</v>
      </c>
      <c r="W2792" t="s">
        <v>49</v>
      </c>
      <c r="X2792" t="s">
        <v>12835</v>
      </c>
      <c r="Y2792">
        <v>0</v>
      </c>
    </row>
    <row r="2793" spans="1:26">
      <c r="A2793" s="1">
        <v>2791</v>
      </c>
      <c r="B2793" t="str">
        <f>HYPERLINK("https://bugs.eclipse.org/bugs/show_bug.cgi?id=117465", "117465")</f>
        <v>117465</v>
      </c>
      <c r="C2793" t="s">
        <v>149</v>
      </c>
      <c r="D2793" t="s">
        <v>10</v>
      </c>
      <c r="E2793" t="s">
        <v>12</v>
      </c>
      <c r="F2793" t="s">
        <v>26</v>
      </c>
      <c r="L2793" t="s">
        <v>12836</v>
      </c>
      <c r="N2793" t="s">
        <v>12836</v>
      </c>
      <c r="T2793" t="s">
        <v>12837</v>
      </c>
      <c r="U2793" t="s">
        <v>12838</v>
      </c>
      <c r="V2793" t="s">
        <v>12836</v>
      </c>
      <c r="W2793" t="s">
        <v>2668</v>
      </c>
      <c r="X2793" t="s">
        <v>12839</v>
      </c>
      <c r="Y2793">
        <v>0</v>
      </c>
      <c r="Z2793">
        <v>49</v>
      </c>
    </row>
    <row r="2794" spans="1:26">
      <c r="A2794" s="1">
        <v>2792</v>
      </c>
      <c r="B2794" t="str">
        <f>HYPERLINK("https://bugs.eclipse.org/bugs/show_bug.cgi?id=117469", "117469")</f>
        <v>117469</v>
      </c>
      <c r="C2794" t="s">
        <v>149</v>
      </c>
      <c r="D2794" t="s">
        <v>10</v>
      </c>
      <c r="E2794" t="s">
        <v>12</v>
      </c>
      <c r="F2794" t="s">
        <v>26</v>
      </c>
      <c r="L2794" t="s">
        <v>12840</v>
      </c>
      <c r="N2794" t="s">
        <v>12840</v>
      </c>
      <c r="T2794" t="s">
        <v>12841</v>
      </c>
      <c r="U2794" t="s">
        <v>12842</v>
      </c>
      <c r="V2794" t="s">
        <v>12840</v>
      </c>
      <c r="W2794" t="s">
        <v>1954</v>
      </c>
      <c r="X2794" t="s">
        <v>12843</v>
      </c>
      <c r="Y2794">
        <v>0</v>
      </c>
      <c r="Z2794">
        <v>1</v>
      </c>
    </row>
    <row r="2795" spans="1:26">
      <c r="A2795" s="1">
        <v>2793</v>
      </c>
      <c r="B2795" t="str">
        <f>HYPERLINK("https://bugs.eclipse.org/bugs/show_bug.cgi?id=117698", "117698")</f>
        <v>117698</v>
      </c>
      <c r="C2795" t="s">
        <v>35</v>
      </c>
      <c r="D2795" t="s">
        <v>11</v>
      </c>
      <c r="E2795" t="s">
        <v>12</v>
      </c>
      <c r="F2795" t="s">
        <v>150</v>
      </c>
      <c r="G2795" t="s">
        <v>12844</v>
      </c>
      <c r="L2795" t="s">
        <v>12845</v>
      </c>
      <c r="M2795" t="s">
        <v>12846</v>
      </c>
      <c r="N2795" t="s">
        <v>12845</v>
      </c>
      <c r="T2795" t="s">
        <v>12847</v>
      </c>
      <c r="U2795" t="s">
        <v>12848</v>
      </c>
      <c r="V2795" t="s">
        <v>12846</v>
      </c>
      <c r="W2795" t="s">
        <v>49</v>
      </c>
      <c r="X2795" t="s">
        <v>12849</v>
      </c>
      <c r="Y2795">
        <v>0</v>
      </c>
      <c r="Z2795">
        <v>524.95833333333337</v>
      </c>
    </row>
    <row r="2796" spans="1:26">
      <c r="A2796" s="1">
        <v>2794</v>
      </c>
      <c r="B2796" t="str">
        <f>HYPERLINK("https://bugs.eclipse.org/bugs/show_bug.cgi?id=117706", "117706")</f>
        <v>117706</v>
      </c>
      <c r="C2796" t="s">
        <v>35</v>
      </c>
      <c r="D2796" t="s">
        <v>11</v>
      </c>
      <c r="E2796" t="s">
        <v>12</v>
      </c>
      <c r="F2796" t="s">
        <v>26</v>
      </c>
      <c r="G2796" t="s">
        <v>12850</v>
      </c>
      <c r="L2796" t="s">
        <v>12851</v>
      </c>
      <c r="M2796" t="s">
        <v>12852</v>
      </c>
      <c r="N2796" t="s">
        <v>12851</v>
      </c>
      <c r="T2796" t="s">
        <v>12853</v>
      </c>
      <c r="U2796" t="s">
        <v>12854</v>
      </c>
      <c r="V2796" t="s">
        <v>12852</v>
      </c>
      <c r="W2796" t="s">
        <v>851</v>
      </c>
      <c r="X2796" t="s">
        <v>12855</v>
      </c>
      <c r="Y2796">
        <v>0</v>
      </c>
      <c r="Z2796">
        <v>20</v>
      </c>
    </row>
    <row r="2797" spans="1:26">
      <c r="A2797" s="1">
        <v>2795</v>
      </c>
      <c r="B2797" t="str">
        <f>HYPERLINK("https://bugs.eclipse.org/bugs/show_bug.cgi?id=117894", "117894")</f>
        <v>117894</v>
      </c>
      <c r="C2797" t="s">
        <v>35</v>
      </c>
      <c r="D2797" t="s">
        <v>11</v>
      </c>
      <c r="E2797" t="s">
        <v>12</v>
      </c>
      <c r="F2797" t="s">
        <v>26</v>
      </c>
      <c r="L2797" t="s">
        <v>12856</v>
      </c>
      <c r="M2797" t="s">
        <v>12857</v>
      </c>
      <c r="N2797" t="s">
        <v>12856</v>
      </c>
      <c r="T2797" t="s">
        <v>12858</v>
      </c>
      <c r="U2797" t="s">
        <v>12859</v>
      </c>
      <c r="V2797" t="s">
        <v>12857</v>
      </c>
      <c r="W2797" t="s">
        <v>1954</v>
      </c>
      <c r="X2797" t="s">
        <v>12860</v>
      </c>
      <c r="Y2797">
        <v>0</v>
      </c>
      <c r="Z2797">
        <v>19</v>
      </c>
    </row>
    <row r="2798" spans="1:26">
      <c r="A2798" s="1">
        <v>2796</v>
      </c>
      <c r="B2798" t="str">
        <f>HYPERLINK("https://bugs.eclipse.org/bugs/show_bug.cgi?id=118032", "118032")</f>
        <v>118032</v>
      </c>
      <c r="C2798" t="s">
        <v>25</v>
      </c>
      <c r="D2798" t="s">
        <v>25</v>
      </c>
      <c r="F2798" t="s">
        <v>26</v>
      </c>
      <c r="G2798" t="s">
        <v>12861</v>
      </c>
      <c r="L2798" t="s">
        <v>12862</v>
      </c>
      <c r="Q2798" t="s">
        <v>12862</v>
      </c>
      <c r="S2798" t="s">
        <v>12863</v>
      </c>
      <c r="T2798" t="s">
        <v>12864</v>
      </c>
      <c r="U2798" t="s">
        <v>12865</v>
      </c>
      <c r="V2798" t="s">
        <v>12866</v>
      </c>
      <c r="W2798" t="s">
        <v>12867</v>
      </c>
      <c r="X2798" t="s">
        <v>12868</v>
      </c>
      <c r="Y2798">
        <v>3</v>
      </c>
    </row>
    <row r="2799" spans="1:26">
      <c r="A2799" s="1">
        <v>2797</v>
      </c>
      <c r="B2799" t="str">
        <f>HYPERLINK("https://bugs.eclipse.org/bugs/show_bug.cgi?id=118044", "118044")</f>
        <v>118044</v>
      </c>
      <c r="C2799" t="s">
        <v>191</v>
      </c>
      <c r="D2799" t="s">
        <v>192</v>
      </c>
      <c r="E2799" t="s">
        <v>14</v>
      </c>
      <c r="F2799" t="s">
        <v>26</v>
      </c>
      <c r="P2799" t="s">
        <v>12869</v>
      </c>
      <c r="T2799" t="s">
        <v>12870</v>
      </c>
      <c r="U2799" t="s">
        <v>12871</v>
      </c>
      <c r="V2799" t="s">
        <v>12869</v>
      </c>
      <c r="W2799" t="s">
        <v>65</v>
      </c>
      <c r="X2799" t="s">
        <v>12872</v>
      </c>
      <c r="Y2799">
        <v>3</v>
      </c>
      <c r="Z2799">
        <v>5230.958333333333</v>
      </c>
    </row>
    <row r="2800" spans="1:26">
      <c r="A2800" s="1">
        <v>2798</v>
      </c>
      <c r="B2800" t="str">
        <f>HYPERLINK("https://bugs.eclipse.org/bugs/show_bug.cgi?id=118045", "118045")</f>
        <v>118045</v>
      </c>
      <c r="C2800" t="s">
        <v>35</v>
      </c>
      <c r="D2800" t="s">
        <v>11</v>
      </c>
      <c r="E2800" t="s">
        <v>12</v>
      </c>
      <c r="F2800" t="s">
        <v>26</v>
      </c>
      <c r="L2800" t="s">
        <v>12873</v>
      </c>
      <c r="M2800" t="s">
        <v>12874</v>
      </c>
      <c r="N2800" t="s">
        <v>12873</v>
      </c>
      <c r="R2800" t="s">
        <v>12875</v>
      </c>
      <c r="S2800" t="s">
        <v>12876</v>
      </c>
      <c r="T2800" t="s">
        <v>12877</v>
      </c>
      <c r="U2800" t="s">
        <v>12878</v>
      </c>
      <c r="V2800" t="s">
        <v>12874</v>
      </c>
      <c r="W2800" t="s">
        <v>1954</v>
      </c>
      <c r="X2800" t="s">
        <v>12879</v>
      </c>
      <c r="Y2800">
        <v>0</v>
      </c>
      <c r="Z2800">
        <v>18</v>
      </c>
    </row>
    <row r="2801" spans="1:26">
      <c r="A2801" s="1">
        <v>2799</v>
      </c>
      <c r="B2801" t="str">
        <f>HYPERLINK("https://bugs.eclipse.org/bugs/show_bug.cgi?id=118063", "118063")</f>
        <v>118063</v>
      </c>
      <c r="C2801" t="s">
        <v>149</v>
      </c>
      <c r="D2801" t="s">
        <v>10</v>
      </c>
      <c r="E2801" t="s">
        <v>12</v>
      </c>
      <c r="F2801" t="s">
        <v>26</v>
      </c>
      <c r="L2801" t="s">
        <v>12880</v>
      </c>
      <c r="N2801" t="s">
        <v>12880</v>
      </c>
      <c r="T2801" t="s">
        <v>12881</v>
      </c>
      <c r="U2801" t="s">
        <v>12882</v>
      </c>
      <c r="V2801" t="s">
        <v>12880</v>
      </c>
      <c r="W2801" t="s">
        <v>2668</v>
      </c>
      <c r="X2801" t="s">
        <v>12883</v>
      </c>
      <c r="Y2801">
        <v>3</v>
      </c>
      <c r="Z2801">
        <v>111</v>
      </c>
    </row>
    <row r="2802" spans="1:26">
      <c r="A2802" s="1">
        <v>2800</v>
      </c>
      <c r="B2802" t="str">
        <f>HYPERLINK("https://bugs.eclipse.org/bugs/show_bug.cgi?id=118133", "118133")</f>
        <v>118133</v>
      </c>
      <c r="C2802" t="s">
        <v>35</v>
      </c>
      <c r="D2802" t="s">
        <v>11</v>
      </c>
      <c r="E2802" t="s">
        <v>12</v>
      </c>
      <c r="F2802" t="s">
        <v>26</v>
      </c>
      <c r="L2802" t="s">
        <v>12884</v>
      </c>
      <c r="M2802" t="s">
        <v>12885</v>
      </c>
      <c r="N2802" t="s">
        <v>12884</v>
      </c>
      <c r="T2802" t="s">
        <v>12886</v>
      </c>
      <c r="U2802" t="s">
        <v>12887</v>
      </c>
      <c r="V2802" t="s">
        <v>12885</v>
      </c>
      <c r="W2802" t="s">
        <v>1954</v>
      </c>
      <c r="X2802" t="s">
        <v>12888</v>
      </c>
      <c r="Y2802">
        <v>2</v>
      </c>
      <c r="Z2802">
        <v>17</v>
      </c>
    </row>
    <row r="2803" spans="1:26">
      <c r="A2803" s="1">
        <v>2801</v>
      </c>
      <c r="B2803" t="str">
        <f>HYPERLINK("https://bugs.eclipse.org/bugs/show_bug.cgi?id=118134", "118134")</f>
        <v>118134</v>
      </c>
      <c r="C2803" t="s">
        <v>8894</v>
      </c>
      <c r="D2803" t="s">
        <v>10</v>
      </c>
      <c r="E2803" t="s">
        <v>15</v>
      </c>
      <c r="F2803" t="s">
        <v>26</v>
      </c>
      <c r="L2803" t="s">
        <v>12889</v>
      </c>
      <c r="Q2803" t="s">
        <v>12889</v>
      </c>
      <c r="T2803" t="s">
        <v>12890</v>
      </c>
      <c r="U2803" t="s">
        <v>12891</v>
      </c>
      <c r="V2803" t="s">
        <v>12889</v>
      </c>
      <c r="W2803" t="s">
        <v>851</v>
      </c>
      <c r="X2803" t="s">
        <v>12892</v>
      </c>
      <c r="Y2803">
        <v>0</v>
      </c>
      <c r="Z2803">
        <v>2</v>
      </c>
    </row>
    <row r="2804" spans="1:26">
      <c r="A2804" s="1">
        <v>2802</v>
      </c>
      <c r="B2804" t="str">
        <f>HYPERLINK("https://bugs.eclipse.org/bugs/show_bug.cgi?id=118136", "118136")</f>
        <v>118136</v>
      </c>
      <c r="C2804" t="s">
        <v>1168</v>
      </c>
      <c r="D2804" t="s">
        <v>10</v>
      </c>
      <c r="E2804" t="s">
        <v>15</v>
      </c>
      <c r="F2804" t="s">
        <v>26</v>
      </c>
      <c r="L2804" t="s">
        <v>12893</v>
      </c>
      <c r="Q2804" t="s">
        <v>12893</v>
      </c>
      <c r="R2804" t="s">
        <v>12894</v>
      </c>
      <c r="S2804" t="s">
        <v>12895</v>
      </c>
      <c r="T2804" t="s">
        <v>12896</v>
      </c>
      <c r="U2804" t="s">
        <v>12897</v>
      </c>
      <c r="V2804" t="s">
        <v>12893</v>
      </c>
      <c r="W2804" t="s">
        <v>49</v>
      </c>
      <c r="X2804" t="s">
        <v>12898</v>
      </c>
      <c r="Y2804">
        <v>0</v>
      </c>
      <c r="Z2804">
        <v>2</v>
      </c>
    </row>
    <row r="2805" spans="1:26">
      <c r="A2805" s="1">
        <v>2803</v>
      </c>
      <c r="B2805" t="str">
        <f>HYPERLINK("https://bugs.eclipse.org/bugs/show_bug.cgi?id=118209", "118209")</f>
        <v>118209</v>
      </c>
      <c r="C2805" t="s">
        <v>35</v>
      </c>
      <c r="D2805" t="s">
        <v>11</v>
      </c>
      <c r="E2805" t="s">
        <v>12</v>
      </c>
      <c r="F2805" t="s">
        <v>26</v>
      </c>
      <c r="L2805" t="s">
        <v>12899</v>
      </c>
      <c r="M2805" t="s">
        <v>12900</v>
      </c>
      <c r="N2805" t="s">
        <v>12899</v>
      </c>
      <c r="T2805" t="s">
        <v>12901</v>
      </c>
      <c r="U2805" t="s">
        <v>12902</v>
      </c>
      <c r="V2805" t="s">
        <v>12900</v>
      </c>
      <c r="W2805" t="s">
        <v>1954</v>
      </c>
      <c r="X2805" t="s">
        <v>12903</v>
      </c>
      <c r="Y2805">
        <v>0</v>
      </c>
      <c r="Z2805">
        <v>15</v>
      </c>
    </row>
    <row r="2806" spans="1:26">
      <c r="A2806" s="1">
        <v>2804</v>
      </c>
      <c r="B2806" t="str">
        <f>HYPERLINK("https://bugs.eclipse.org/bugs/show_bug.cgi?id=118399", "118399")</f>
        <v>118399</v>
      </c>
      <c r="C2806" t="s">
        <v>35</v>
      </c>
      <c r="D2806" t="s">
        <v>11</v>
      </c>
      <c r="E2806" t="s">
        <v>12</v>
      </c>
      <c r="F2806" t="s">
        <v>26</v>
      </c>
      <c r="L2806" t="s">
        <v>12904</v>
      </c>
      <c r="M2806" t="s">
        <v>12905</v>
      </c>
      <c r="N2806" t="s">
        <v>12904</v>
      </c>
      <c r="T2806" t="s">
        <v>12906</v>
      </c>
      <c r="U2806" t="s">
        <v>12907</v>
      </c>
      <c r="V2806" t="s">
        <v>12905</v>
      </c>
      <c r="W2806" t="s">
        <v>1954</v>
      </c>
      <c r="X2806" t="s">
        <v>12908</v>
      </c>
      <c r="Y2806">
        <v>1</v>
      </c>
      <c r="Z2806">
        <v>14</v>
      </c>
    </row>
    <row r="2807" spans="1:26">
      <c r="A2807" s="1">
        <v>2805</v>
      </c>
      <c r="B2807" t="str">
        <f>HYPERLINK("https://bugs.eclipse.org/bugs/show_bug.cgi?id=118403", "118403")</f>
        <v>118403</v>
      </c>
      <c r="C2807" t="s">
        <v>35</v>
      </c>
      <c r="D2807" t="s">
        <v>11</v>
      </c>
      <c r="E2807" t="s">
        <v>12</v>
      </c>
      <c r="F2807" t="s">
        <v>26</v>
      </c>
      <c r="L2807" t="s">
        <v>12909</v>
      </c>
      <c r="M2807" t="s">
        <v>12910</v>
      </c>
      <c r="N2807" t="s">
        <v>12909</v>
      </c>
      <c r="T2807" t="s">
        <v>12911</v>
      </c>
      <c r="U2807" t="s">
        <v>12912</v>
      </c>
      <c r="V2807" t="s">
        <v>12910</v>
      </c>
      <c r="W2807" t="s">
        <v>1954</v>
      </c>
      <c r="X2807" t="s">
        <v>12913</v>
      </c>
      <c r="Y2807">
        <v>0</v>
      </c>
      <c r="Z2807">
        <v>14</v>
      </c>
    </row>
    <row r="2808" spans="1:26">
      <c r="A2808" s="1">
        <v>2806</v>
      </c>
      <c r="B2808" t="str">
        <f>HYPERLINK("https://bugs.eclipse.org/bugs/show_bug.cgi?id=118782", "118782")</f>
        <v>118782</v>
      </c>
      <c r="C2808" t="s">
        <v>12914</v>
      </c>
      <c r="D2808" t="s">
        <v>10</v>
      </c>
      <c r="E2808" t="s">
        <v>15</v>
      </c>
      <c r="F2808" t="s">
        <v>26</v>
      </c>
      <c r="L2808" t="s">
        <v>12915</v>
      </c>
      <c r="Q2808" t="s">
        <v>12915</v>
      </c>
      <c r="T2808" t="s">
        <v>12916</v>
      </c>
      <c r="U2808" t="s">
        <v>12917</v>
      </c>
      <c r="V2808" t="s">
        <v>12915</v>
      </c>
      <c r="W2808" t="s">
        <v>851</v>
      </c>
      <c r="X2808" t="s">
        <v>12918</v>
      </c>
      <c r="Y2808">
        <v>0</v>
      </c>
      <c r="Z2808">
        <v>1</v>
      </c>
    </row>
    <row r="2809" spans="1:26">
      <c r="A2809" s="1">
        <v>2807</v>
      </c>
      <c r="B2809" t="str">
        <f>HYPERLINK("https://bugs.eclipse.org/bugs/show_bug.cgi?id=118871", "118871")</f>
        <v>118871</v>
      </c>
      <c r="C2809" t="s">
        <v>149</v>
      </c>
      <c r="D2809" t="s">
        <v>10</v>
      </c>
      <c r="E2809" t="s">
        <v>12</v>
      </c>
      <c r="F2809" t="s">
        <v>26</v>
      </c>
      <c r="L2809" t="s">
        <v>12919</v>
      </c>
      <c r="N2809" t="s">
        <v>12919</v>
      </c>
      <c r="T2809" t="s">
        <v>12920</v>
      </c>
      <c r="U2809" t="s">
        <v>12921</v>
      </c>
      <c r="V2809" t="s">
        <v>12919</v>
      </c>
      <c r="W2809" t="s">
        <v>851</v>
      </c>
      <c r="X2809" t="s">
        <v>12922</v>
      </c>
      <c r="Y2809">
        <v>0</v>
      </c>
      <c r="Z2809">
        <v>15</v>
      </c>
    </row>
    <row r="2810" spans="1:26">
      <c r="A2810" s="1">
        <v>2808</v>
      </c>
      <c r="B2810" t="str">
        <f>HYPERLINK("https://bugs.eclipse.org/bugs/show_bug.cgi?id=118882", "118882")</f>
        <v>118882</v>
      </c>
      <c r="C2810" t="s">
        <v>35</v>
      </c>
      <c r="D2810" t="s">
        <v>11</v>
      </c>
      <c r="E2810" t="s">
        <v>12</v>
      </c>
      <c r="F2810" t="s">
        <v>26</v>
      </c>
      <c r="L2810" t="s">
        <v>12923</v>
      </c>
      <c r="M2810" t="s">
        <v>12924</v>
      </c>
      <c r="N2810" t="s">
        <v>12923</v>
      </c>
      <c r="T2810" t="s">
        <v>12925</v>
      </c>
      <c r="U2810" t="s">
        <v>12926</v>
      </c>
      <c r="V2810" t="s">
        <v>12924</v>
      </c>
      <c r="W2810" t="s">
        <v>1954</v>
      </c>
      <c r="X2810" t="s">
        <v>12927</v>
      </c>
      <c r="Y2810">
        <v>0</v>
      </c>
      <c r="Z2810">
        <v>12</v>
      </c>
    </row>
    <row r="2811" spans="1:26">
      <c r="A2811" s="1">
        <v>2809</v>
      </c>
      <c r="B2811" t="str">
        <f>HYPERLINK("https://bugs.eclipse.org/bugs/show_bug.cgi?id=119141", "119141")</f>
        <v>119141</v>
      </c>
      <c r="C2811" t="s">
        <v>56</v>
      </c>
      <c r="D2811" t="s">
        <v>10</v>
      </c>
      <c r="E2811" t="s">
        <v>14</v>
      </c>
      <c r="F2811" t="s">
        <v>26</v>
      </c>
      <c r="L2811" t="s">
        <v>12928</v>
      </c>
      <c r="P2811" t="s">
        <v>12929</v>
      </c>
      <c r="T2811" t="s">
        <v>12930</v>
      </c>
      <c r="U2811" t="s">
        <v>12931</v>
      </c>
      <c r="V2811" t="s">
        <v>12929</v>
      </c>
      <c r="W2811" t="s">
        <v>75</v>
      </c>
      <c r="X2811" t="s">
        <v>12932</v>
      </c>
      <c r="Y2811">
        <v>0</v>
      </c>
      <c r="Z2811">
        <v>1366.958333333333</v>
      </c>
    </row>
    <row r="2812" spans="1:26">
      <c r="A2812" s="1">
        <v>2810</v>
      </c>
      <c r="B2812" t="str">
        <f>HYPERLINK("https://bugs.eclipse.org/bugs/show_bug.cgi?id=119142", "119142")</f>
        <v>119142</v>
      </c>
      <c r="C2812" t="s">
        <v>4640</v>
      </c>
      <c r="D2812" t="s">
        <v>10</v>
      </c>
      <c r="E2812" t="s">
        <v>15</v>
      </c>
      <c r="F2812" t="s">
        <v>26</v>
      </c>
      <c r="L2812" t="s">
        <v>12933</v>
      </c>
      <c r="Q2812" t="s">
        <v>12933</v>
      </c>
      <c r="T2812" t="s">
        <v>12934</v>
      </c>
      <c r="U2812" t="s">
        <v>12935</v>
      </c>
      <c r="V2812" t="s">
        <v>12933</v>
      </c>
      <c r="W2812" t="s">
        <v>851</v>
      </c>
      <c r="X2812" t="s">
        <v>12936</v>
      </c>
      <c r="Y2812">
        <v>0</v>
      </c>
      <c r="Z2812">
        <v>110</v>
      </c>
    </row>
    <row r="2813" spans="1:26">
      <c r="A2813" s="1">
        <v>2811</v>
      </c>
      <c r="B2813" t="str">
        <f>HYPERLINK("https://bugs.eclipse.org/bugs/show_bug.cgi?id=119181", "119181")</f>
        <v>119181</v>
      </c>
      <c r="C2813" t="s">
        <v>35</v>
      </c>
      <c r="D2813" t="s">
        <v>11</v>
      </c>
      <c r="E2813" t="s">
        <v>12</v>
      </c>
      <c r="F2813" t="s">
        <v>26</v>
      </c>
      <c r="L2813" t="s">
        <v>12937</v>
      </c>
      <c r="M2813" t="s">
        <v>12938</v>
      </c>
      <c r="N2813" t="s">
        <v>12937</v>
      </c>
      <c r="T2813" t="s">
        <v>12939</v>
      </c>
      <c r="U2813" t="s">
        <v>12940</v>
      </c>
      <c r="V2813" t="s">
        <v>12938</v>
      </c>
      <c r="W2813" t="s">
        <v>143</v>
      </c>
      <c r="X2813" t="s">
        <v>12941</v>
      </c>
      <c r="Y2813">
        <v>1</v>
      </c>
      <c r="Z2813">
        <v>2657.958333333333</v>
      </c>
    </row>
    <row r="2814" spans="1:26">
      <c r="A2814" s="1">
        <v>2812</v>
      </c>
      <c r="B2814" t="str">
        <f>HYPERLINK("https://bugs.eclipse.org/bugs/show_bug.cgi?id=119259", "119259")</f>
        <v>119259</v>
      </c>
      <c r="C2814" t="s">
        <v>149</v>
      </c>
      <c r="D2814" t="s">
        <v>10</v>
      </c>
      <c r="E2814" t="s">
        <v>12</v>
      </c>
      <c r="F2814" t="s">
        <v>26</v>
      </c>
      <c r="G2814" t="s">
        <v>12942</v>
      </c>
      <c r="H2814" t="s">
        <v>12943</v>
      </c>
      <c r="L2814" t="s">
        <v>12944</v>
      </c>
      <c r="N2814" t="s">
        <v>12944</v>
      </c>
      <c r="T2814" t="s">
        <v>12945</v>
      </c>
      <c r="U2814" t="s">
        <v>12946</v>
      </c>
      <c r="V2814" t="s">
        <v>12944</v>
      </c>
      <c r="W2814" t="s">
        <v>1954</v>
      </c>
      <c r="X2814" t="s">
        <v>12947</v>
      </c>
      <c r="Y2814">
        <v>66</v>
      </c>
      <c r="Z2814">
        <v>140.95833333333329</v>
      </c>
    </row>
    <row r="2815" spans="1:26">
      <c r="A2815" s="1">
        <v>2813</v>
      </c>
      <c r="B2815" t="str">
        <f>HYPERLINK("https://bugs.eclipse.org/bugs/show_bug.cgi?id=119316", "119316")</f>
        <v>119316</v>
      </c>
      <c r="C2815" t="s">
        <v>149</v>
      </c>
      <c r="D2815" t="s">
        <v>10</v>
      </c>
      <c r="E2815" t="s">
        <v>12</v>
      </c>
      <c r="F2815" t="s">
        <v>26</v>
      </c>
      <c r="L2815" t="s">
        <v>12948</v>
      </c>
      <c r="N2815" t="s">
        <v>12948</v>
      </c>
      <c r="T2815" t="s">
        <v>12949</v>
      </c>
      <c r="U2815" t="s">
        <v>12950</v>
      </c>
      <c r="V2815" t="s">
        <v>12948</v>
      </c>
      <c r="W2815" t="s">
        <v>2668</v>
      </c>
      <c r="X2815" t="s">
        <v>12951</v>
      </c>
      <c r="Y2815">
        <v>1</v>
      </c>
      <c r="Z2815">
        <v>2</v>
      </c>
    </row>
    <row r="2816" spans="1:26">
      <c r="A2816" s="1">
        <v>2814</v>
      </c>
      <c r="B2816" t="str">
        <f>HYPERLINK("https://bugs.eclipse.org/bugs/show_bug.cgi?id=119392", "119392")</f>
        <v>119392</v>
      </c>
      <c r="C2816" t="s">
        <v>35</v>
      </c>
      <c r="D2816" t="s">
        <v>11</v>
      </c>
      <c r="E2816" t="s">
        <v>12</v>
      </c>
      <c r="F2816" t="s">
        <v>26</v>
      </c>
      <c r="L2816" t="s">
        <v>12952</v>
      </c>
      <c r="M2816" t="s">
        <v>12953</v>
      </c>
      <c r="N2816" t="s">
        <v>12952</v>
      </c>
      <c r="T2816" t="s">
        <v>12954</v>
      </c>
      <c r="U2816" t="s">
        <v>12955</v>
      </c>
      <c r="V2816" t="s">
        <v>12953</v>
      </c>
      <c r="W2816" t="s">
        <v>1954</v>
      </c>
      <c r="X2816" t="s">
        <v>12956</v>
      </c>
      <c r="Y2816">
        <v>1</v>
      </c>
      <c r="Z2816">
        <v>7</v>
      </c>
    </row>
    <row r="2817" spans="1:26">
      <c r="A2817" s="1">
        <v>2815</v>
      </c>
      <c r="B2817" t="str">
        <f>HYPERLINK("https://bugs.eclipse.org/bugs/show_bug.cgi?id=119393", "119393")</f>
        <v>119393</v>
      </c>
      <c r="C2817" t="s">
        <v>56</v>
      </c>
      <c r="D2817" t="s">
        <v>10</v>
      </c>
      <c r="E2817" t="s">
        <v>14</v>
      </c>
      <c r="F2817" t="s">
        <v>26</v>
      </c>
      <c r="L2817" t="s">
        <v>12957</v>
      </c>
      <c r="P2817" t="s">
        <v>12957</v>
      </c>
      <c r="T2817" t="s">
        <v>12958</v>
      </c>
      <c r="U2817" t="s">
        <v>12957</v>
      </c>
      <c r="V2817" t="s">
        <v>12957</v>
      </c>
      <c r="W2817" t="s">
        <v>49</v>
      </c>
      <c r="X2817" t="s">
        <v>12959</v>
      </c>
      <c r="Y2817">
        <v>1</v>
      </c>
      <c r="Z2817">
        <v>1</v>
      </c>
    </row>
    <row r="2818" spans="1:26">
      <c r="A2818" s="1">
        <v>2816</v>
      </c>
      <c r="B2818" t="str">
        <f>HYPERLINK("https://bugs.eclipse.org/bugs/show_bug.cgi?id=119394", "119394")</f>
        <v>119394</v>
      </c>
      <c r="C2818" t="s">
        <v>35</v>
      </c>
      <c r="D2818" t="s">
        <v>11</v>
      </c>
      <c r="E2818" t="s">
        <v>12</v>
      </c>
      <c r="F2818" t="s">
        <v>26</v>
      </c>
      <c r="L2818" t="s">
        <v>12960</v>
      </c>
      <c r="M2818" t="s">
        <v>12961</v>
      </c>
      <c r="N2818" t="s">
        <v>12960</v>
      </c>
      <c r="T2818" t="s">
        <v>12962</v>
      </c>
      <c r="U2818" t="s">
        <v>12963</v>
      </c>
      <c r="V2818" t="s">
        <v>12961</v>
      </c>
      <c r="W2818" t="s">
        <v>12558</v>
      </c>
      <c r="X2818" t="s">
        <v>12964</v>
      </c>
      <c r="Y2818">
        <v>1</v>
      </c>
      <c r="Z2818">
        <v>7</v>
      </c>
    </row>
    <row r="2819" spans="1:26">
      <c r="A2819" s="1">
        <v>2817</v>
      </c>
      <c r="B2819" t="str">
        <f>HYPERLINK("https://bugs.eclipse.org/bugs/show_bug.cgi?id=119697", "119697")</f>
        <v>119697</v>
      </c>
      <c r="C2819" t="s">
        <v>35</v>
      </c>
      <c r="D2819" t="s">
        <v>11</v>
      </c>
      <c r="E2819" t="s">
        <v>12</v>
      </c>
      <c r="F2819" t="s">
        <v>26</v>
      </c>
      <c r="L2819" t="s">
        <v>12965</v>
      </c>
      <c r="M2819" t="s">
        <v>12966</v>
      </c>
      <c r="N2819" t="s">
        <v>12965</v>
      </c>
      <c r="T2819" t="s">
        <v>12967</v>
      </c>
      <c r="U2819" t="s">
        <v>12968</v>
      </c>
      <c r="V2819" t="s">
        <v>12966</v>
      </c>
      <c r="W2819" t="s">
        <v>851</v>
      </c>
      <c r="X2819" t="s">
        <v>12969</v>
      </c>
      <c r="Y2819">
        <v>2</v>
      </c>
      <c r="Z2819">
        <v>6</v>
      </c>
    </row>
    <row r="2820" spans="1:26">
      <c r="A2820" s="1">
        <v>2818</v>
      </c>
      <c r="B2820" t="str">
        <f>HYPERLINK("https://bugs.eclipse.org/bugs/show_bug.cgi?id=119717", "119717")</f>
        <v>119717</v>
      </c>
      <c r="C2820" t="s">
        <v>12970</v>
      </c>
      <c r="D2820" t="s">
        <v>10</v>
      </c>
      <c r="E2820" t="s">
        <v>15</v>
      </c>
      <c r="F2820" t="s">
        <v>26</v>
      </c>
      <c r="L2820" t="s">
        <v>12971</v>
      </c>
      <c r="Q2820" t="s">
        <v>12971</v>
      </c>
      <c r="T2820" t="s">
        <v>12972</v>
      </c>
      <c r="U2820" t="s">
        <v>12971</v>
      </c>
      <c r="V2820" t="s">
        <v>12971</v>
      </c>
      <c r="W2820" t="s">
        <v>851</v>
      </c>
      <c r="X2820" t="s">
        <v>12973</v>
      </c>
      <c r="Y2820">
        <v>1</v>
      </c>
      <c r="Z2820">
        <v>1</v>
      </c>
    </row>
    <row r="2821" spans="1:26">
      <c r="A2821" s="1">
        <v>2819</v>
      </c>
      <c r="B2821" t="str">
        <f>HYPERLINK("https://bugs.eclipse.org/bugs/show_bug.cgi?id=119759", "119759")</f>
        <v>119759</v>
      </c>
      <c r="C2821" t="s">
        <v>56</v>
      </c>
      <c r="D2821" t="s">
        <v>10</v>
      </c>
      <c r="E2821" t="s">
        <v>14</v>
      </c>
      <c r="F2821" t="s">
        <v>26</v>
      </c>
      <c r="L2821" t="s">
        <v>12974</v>
      </c>
      <c r="P2821" t="s">
        <v>12974</v>
      </c>
      <c r="T2821" t="s">
        <v>12975</v>
      </c>
      <c r="U2821" t="s">
        <v>12974</v>
      </c>
      <c r="V2821" t="s">
        <v>12974</v>
      </c>
      <c r="W2821" t="s">
        <v>49</v>
      </c>
      <c r="X2821" t="s">
        <v>12976</v>
      </c>
      <c r="Y2821">
        <v>4</v>
      </c>
      <c r="Z2821">
        <v>4</v>
      </c>
    </row>
    <row r="2822" spans="1:26">
      <c r="A2822" s="1">
        <v>2820</v>
      </c>
      <c r="B2822" t="str">
        <f>HYPERLINK("https://bugs.eclipse.org/bugs/show_bug.cgi?id=119822", "119822")</f>
        <v>119822</v>
      </c>
      <c r="C2822" t="s">
        <v>35</v>
      </c>
      <c r="D2822" t="s">
        <v>11</v>
      </c>
      <c r="E2822" t="s">
        <v>12</v>
      </c>
      <c r="F2822" t="s">
        <v>150</v>
      </c>
      <c r="G2822" t="s">
        <v>12977</v>
      </c>
      <c r="L2822" t="s">
        <v>12978</v>
      </c>
      <c r="M2822" t="s">
        <v>12979</v>
      </c>
      <c r="N2822" t="s">
        <v>12978</v>
      </c>
      <c r="T2822" t="s">
        <v>12980</v>
      </c>
      <c r="U2822" t="s">
        <v>12981</v>
      </c>
      <c r="V2822" t="s">
        <v>12979</v>
      </c>
      <c r="W2822" t="s">
        <v>851</v>
      </c>
      <c r="X2822" t="s">
        <v>12982</v>
      </c>
      <c r="Y2822">
        <v>0</v>
      </c>
      <c r="Z2822">
        <v>5</v>
      </c>
    </row>
    <row r="2823" spans="1:26">
      <c r="A2823" s="1">
        <v>2821</v>
      </c>
      <c r="B2823" t="str">
        <f>HYPERLINK("https://bugs.eclipse.org/bugs/show_bug.cgi?id=119949", "119949")</f>
        <v>119949</v>
      </c>
      <c r="C2823" t="s">
        <v>149</v>
      </c>
      <c r="D2823" t="s">
        <v>10</v>
      </c>
      <c r="E2823" t="s">
        <v>12</v>
      </c>
      <c r="F2823" t="s">
        <v>26</v>
      </c>
      <c r="L2823" t="s">
        <v>12983</v>
      </c>
      <c r="N2823" t="s">
        <v>12983</v>
      </c>
      <c r="T2823" t="s">
        <v>12984</v>
      </c>
      <c r="U2823" t="s">
        <v>12985</v>
      </c>
      <c r="V2823" t="s">
        <v>12983</v>
      </c>
      <c r="W2823" t="s">
        <v>2668</v>
      </c>
      <c r="X2823" t="s">
        <v>12986</v>
      </c>
      <c r="Y2823">
        <v>1</v>
      </c>
      <c r="Z2823">
        <v>60</v>
      </c>
    </row>
    <row r="2824" spans="1:26">
      <c r="A2824" s="1">
        <v>2822</v>
      </c>
      <c r="B2824" t="str">
        <f>HYPERLINK("https://bugs.eclipse.org/bugs/show_bug.cgi?id=120086", "120086")</f>
        <v>120086</v>
      </c>
      <c r="C2824" t="s">
        <v>56</v>
      </c>
      <c r="D2824" t="s">
        <v>10</v>
      </c>
      <c r="E2824" t="s">
        <v>14</v>
      </c>
      <c r="F2824" t="s">
        <v>26</v>
      </c>
      <c r="G2824" t="s">
        <v>12987</v>
      </c>
      <c r="L2824" t="s">
        <v>12988</v>
      </c>
      <c r="P2824" t="s">
        <v>12988</v>
      </c>
      <c r="T2824" t="s">
        <v>12989</v>
      </c>
      <c r="U2824" t="s">
        <v>12990</v>
      </c>
      <c r="V2824" t="s">
        <v>12991</v>
      </c>
      <c r="W2824" t="s">
        <v>851</v>
      </c>
      <c r="X2824" t="s">
        <v>12992</v>
      </c>
      <c r="Y2824">
        <v>0</v>
      </c>
      <c r="Z2824">
        <v>1395.958333333333</v>
      </c>
    </row>
    <row r="2825" spans="1:26">
      <c r="A2825" s="1">
        <v>2823</v>
      </c>
      <c r="B2825" t="str">
        <f>HYPERLINK("https://bugs.eclipse.org/bugs/show_bug.cgi?id=120195", "120195")</f>
        <v>120195</v>
      </c>
      <c r="C2825" t="s">
        <v>35</v>
      </c>
      <c r="D2825" t="s">
        <v>11</v>
      </c>
      <c r="E2825" t="s">
        <v>12</v>
      </c>
      <c r="F2825" t="s">
        <v>26</v>
      </c>
      <c r="L2825" t="s">
        <v>12993</v>
      </c>
      <c r="M2825" t="s">
        <v>12994</v>
      </c>
      <c r="N2825" t="s">
        <v>12993</v>
      </c>
      <c r="T2825" t="s">
        <v>12995</v>
      </c>
      <c r="U2825" t="s">
        <v>12996</v>
      </c>
      <c r="V2825" t="s">
        <v>12994</v>
      </c>
      <c r="W2825" t="s">
        <v>143</v>
      </c>
      <c r="X2825" t="s">
        <v>12997</v>
      </c>
      <c r="Y2825">
        <v>2</v>
      </c>
      <c r="Z2825">
        <v>67</v>
      </c>
    </row>
    <row r="2826" spans="1:26">
      <c r="A2826" s="1">
        <v>2824</v>
      </c>
      <c r="B2826" t="str">
        <f>HYPERLINK("https://bugs.eclipse.org/bugs/show_bug.cgi?id=120268", "120268")</f>
        <v>120268</v>
      </c>
      <c r="C2826" t="s">
        <v>191</v>
      </c>
      <c r="D2826" t="s">
        <v>192</v>
      </c>
      <c r="E2826" t="s">
        <v>14</v>
      </c>
      <c r="F2826" t="s">
        <v>26</v>
      </c>
      <c r="P2826" t="s">
        <v>12998</v>
      </c>
      <c r="T2826" t="s">
        <v>12999</v>
      </c>
      <c r="U2826" t="s">
        <v>13000</v>
      </c>
      <c r="V2826" t="s">
        <v>12998</v>
      </c>
      <c r="W2826" t="s">
        <v>65</v>
      </c>
      <c r="X2826" t="s">
        <v>13001</v>
      </c>
      <c r="Y2826">
        <v>193.95833333333329</v>
      </c>
      <c r="Z2826">
        <v>5187</v>
      </c>
    </row>
    <row r="2827" spans="1:26">
      <c r="A2827" s="1">
        <v>2825</v>
      </c>
      <c r="B2827" t="str">
        <f>HYPERLINK("https://bugs.eclipse.org/bugs/show_bug.cgi?id=120269", "120269")</f>
        <v>120269</v>
      </c>
      <c r="C2827" t="s">
        <v>35</v>
      </c>
      <c r="D2827" t="s">
        <v>11</v>
      </c>
      <c r="E2827" t="s">
        <v>12</v>
      </c>
      <c r="F2827" t="s">
        <v>150</v>
      </c>
      <c r="L2827" t="s">
        <v>13002</v>
      </c>
      <c r="M2827" t="s">
        <v>13003</v>
      </c>
      <c r="N2827" t="s">
        <v>13002</v>
      </c>
      <c r="T2827" t="s">
        <v>12999</v>
      </c>
      <c r="U2827" t="s">
        <v>13004</v>
      </c>
      <c r="V2827" t="s">
        <v>13003</v>
      </c>
      <c r="W2827" t="s">
        <v>1954</v>
      </c>
      <c r="X2827" t="s">
        <v>13005</v>
      </c>
      <c r="Y2827">
        <v>193.95833333333329</v>
      </c>
      <c r="Z2827">
        <v>506.95833333333331</v>
      </c>
    </row>
    <row r="2828" spans="1:26">
      <c r="A2828" s="1">
        <v>2826</v>
      </c>
      <c r="B2828" t="str">
        <f>HYPERLINK("https://bugs.eclipse.org/bugs/show_bug.cgi?id=120432", "120432")</f>
        <v>120432</v>
      </c>
      <c r="C2828" t="s">
        <v>149</v>
      </c>
      <c r="D2828" t="s">
        <v>10</v>
      </c>
      <c r="E2828" t="s">
        <v>12</v>
      </c>
      <c r="F2828" t="s">
        <v>26</v>
      </c>
      <c r="L2828" t="s">
        <v>13006</v>
      </c>
      <c r="N2828" t="s">
        <v>13006</v>
      </c>
      <c r="Q2828" t="s">
        <v>11870</v>
      </c>
      <c r="S2828" t="s">
        <v>13007</v>
      </c>
      <c r="T2828" t="s">
        <v>13008</v>
      </c>
      <c r="U2828" t="s">
        <v>13009</v>
      </c>
      <c r="V2828" t="s">
        <v>13006</v>
      </c>
      <c r="W2828" t="s">
        <v>2668</v>
      </c>
      <c r="X2828" t="s">
        <v>13010</v>
      </c>
      <c r="Y2828">
        <v>0</v>
      </c>
      <c r="Z2828">
        <v>120.9583333333333</v>
      </c>
    </row>
    <row r="2829" spans="1:26">
      <c r="A2829" s="1">
        <v>2827</v>
      </c>
      <c r="B2829" t="str">
        <f>HYPERLINK("https://bugs.eclipse.org/bugs/show_bug.cgi?id=120528", "120528")</f>
        <v>120528</v>
      </c>
      <c r="C2829" t="s">
        <v>149</v>
      </c>
      <c r="D2829" t="s">
        <v>10</v>
      </c>
      <c r="E2829" t="s">
        <v>12</v>
      </c>
      <c r="F2829" t="s">
        <v>26</v>
      </c>
      <c r="L2829" t="s">
        <v>13011</v>
      </c>
      <c r="N2829" t="s">
        <v>13011</v>
      </c>
      <c r="T2829" t="s">
        <v>13012</v>
      </c>
      <c r="U2829" t="s">
        <v>13013</v>
      </c>
      <c r="V2829" t="s">
        <v>13014</v>
      </c>
      <c r="W2829" t="s">
        <v>13015</v>
      </c>
      <c r="X2829" t="s">
        <v>13016</v>
      </c>
      <c r="Y2829">
        <v>0</v>
      </c>
      <c r="Z2829">
        <v>64</v>
      </c>
    </row>
    <row r="2830" spans="1:26">
      <c r="A2830" s="1">
        <v>2828</v>
      </c>
      <c r="B2830" t="str">
        <f>HYPERLINK("https://bugs.eclipse.org/bugs/show_bug.cgi?id=120544", "120544")</f>
        <v>120544</v>
      </c>
      <c r="C2830" t="s">
        <v>149</v>
      </c>
      <c r="D2830" t="s">
        <v>10</v>
      </c>
      <c r="E2830" t="s">
        <v>12</v>
      </c>
      <c r="F2830" t="s">
        <v>26</v>
      </c>
      <c r="L2830" t="s">
        <v>13017</v>
      </c>
      <c r="N2830" t="s">
        <v>13017</v>
      </c>
      <c r="T2830" t="s">
        <v>13018</v>
      </c>
      <c r="U2830" t="s">
        <v>13019</v>
      </c>
      <c r="V2830" t="s">
        <v>13017</v>
      </c>
      <c r="W2830" t="s">
        <v>1954</v>
      </c>
      <c r="X2830" t="s">
        <v>13020</v>
      </c>
      <c r="Y2830">
        <v>0</v>
      </c>
      <c r="Z2830">
        <v>22</v>
      </c>
    </row>
    <row r="2831" spans="1:26">
      <c r="A2831" s="1">
        <v>2829</v>
      </c>
      <c r="B2831" t="str">
        <f>HYPERLINK("https://bugs.eclipse.org/bugs/show_bug.cgi?id=120583", "120583")</f>
        <v>120583</v>
      </c>
      <c r="C2831" t="s">
        <v>13021</v>
      </c>
      <c r="D2831" t="s">
        <v>192</v>
      </c>
      <c r="E2831" t="s">
        <v>15</v>
      </c>
      <c r="F2831" t="s">
        <v>26</v>
      </c>
      <c r="Q2831" t="s">
        <v>13022</v>
      </c>
      <c r="T2831" t="s">
        <v>13023</v>
      </c>
      <c r="U2831" t="s">
        <v>13024</v>
      </c>
      <c r="V2831" t="s">
        <v>13022</v>
      </c>
      <c r="W2831" t="s">
        <v>851</v>
      </c>
      <c r="X2831" t="s">
        <v>13025</v>
      </c>
      <c r="Y2831">
        <v>0</v>
      </c>
      <c r="Z2831">
        <v>1504</v>
      </c>
    </row>
    <row r="2832" spans="1:26">
      <c r="A2832" s="1">
        <v>2830</v>
      </c>
      <c r="B2832" t="str">
        <f>HYPERLINK("https://bugs.eclipse.org/bugs/show_bug.cgi?id=120598", "120598")</f>
        <v>120598</v>
      </c>
      <c r="C2832" t="s">
        <v>149</v>
      </c>
      <c r="D2832" t="s">
        <v>10</v>
      </c>
      <c r="E2832" t="s">
        <v>12</v>
      </c>
      <c r="F2832" t="s">
        <v>26</v>
      </c>
      <c r="L2832" t="s">
        <v>13026</v>
      </c>
      <c r="N2832" t="s">
        <v>13026</v>
      </c>
      <c r="T2832" t="s">
        <v>13027</v>
      </c>
      <c r="U2832" t="s">
        <v>13028</v>
      </c>
      <c r="V2832" t="s">
        <v>13026</v>
      </c>
      <c r="W2832" t="s">
        <v>2668</v>
      </c>
      <c r="X2832" t="s">
        <v>13029</v>
      </c>
      <c r="Y2832">
        <v>0</v>
      </c>
      <c r="Z2832">
        <v>34</v>
      </c>
    </row>
    <row r="2833" spans="1:26">
      <c r="A2833" s="1">
        <v>2831</v>
      </c>
      <c r="B2833" t="str">
        <f>HYPERLINK("https://bugs.eclipse.org/bugs/show_bug.cgi?id=120601", "120601")</f>
        <v>120601</v>
      </c>
      <c r="C2833" t="s">
        <v>149</v>
      </c>
      <c r="D2833" t="s">
        <v>10</v>
      </c>
      <c r="E2833" t="s">
        <v>12</v>
      </c>
      <c r="F2833" t="s">
        <v>26</v>
      </c>
      <c r="L2833" t="s">
        <v>13030</v>
      </c>
      <c r="N2833" t="s">
        <v>13030</v>
      </c>
      <c r="T2833" t="s">
        <v>13031</v>
      </c>
      <c r="U2833" t="s">
        <v>13032</v>
      </c>
      <c r="V2833" t="s">
        <v>13030</v>
      </c>
      <c r="W2833" t="s">
        <v>2668</v>
      </c>
      <c r="X2833" t="s">
        <v>13033</v>
      </c>
      <c r="Y2833">
        <v>0</v>
      </c>
      <c r="Z2833">
        <v>34</v>
      </c>
    </row>
    <row r="2834" spans="1:26">
      <c r="A2834" s="1">
        <v>2832</v>
      </c>
      <c r="B2834" t="str">
        <f>HYPERLINK("https://bugs.eclipse.org/bugs/show_bug.cgi?id=120603", "120603")</f>
        <v>120603</v>
      </c>
      <c r="C2834" t="s">
        <v>35</v>
      </c>
      <c r="D2834" t="s">
        <v>11</v>
      </c>
      <c r="E2834" t="s">
        <v>12</v>
      </c>
      <c r="F2834" t="s">
        <v>26</v>
      </c>
      <c r="L2834" t="s">
        <v>13034</v>
      </c>
      <c r="M2834" t="s">
        <v>13035</v>
      </c>
      <c r="N2834" t="s">
        <v>13034</v>
      </c>
      <c r="T2834" t="s">
        <v>13036</v>
      </c>
      <c r="U2834" t="s">
        <v>13037</v>
      </c>
      <c r="V2834" t="s">
        <v>13035</v>
      </c>
      <c r="W2834" t="s">
        <v>851</v>
      </c>
      <c r="X2834" t="s">
        <v>13038</v>
      </c>
      <c r="Y2834">
        <v>0</v>
      </c>
      <c r="Z2834">
        <v>1</v>
      </c>
    </row>
    <row r="2835" spans="1:26">
      <c r="A2835" s="1">
        <v>2833</v>
      </c>
      <c r="B2835" t="str">
        <f>HYPERLINK("https://bugs.eclipse.org/bugs/show_bug.cgi?id=120610", "120610")</f>
        <v>120610</v>
      </c>
      <c r="C2835" t="s">
        <v>35</v>
      </c>
      <c r="D2835" t="s">
        <v>11</v>
      </c>
      <c r="E2835" t="s">
        <v>12</v>
      </c>
      <c r="F2835" t="s">
        <v>26</v>
      </c>
      <c r="L2835" t="s">
        <v>13039</v>
      </c>
      <c r="M2835" t="s">
        <v>13040</v>
      </c>
      <c r="N2835" t="s">
        <v>13039</v>
      </c>
      <c r="T2835" t="s">
        <v>13041</v>
      </c>
      <c r="U2835" t="s">
        <v>13042</v>
      </c>
      <c r="V2835" t="s">
        <v>13040</v>
      </c>
      <c r="W2835" t="s">
        <v>12558</v>
      </c>
      <c r="X2835" t="s">
        <v>13043</v>
      </c>
      <c r="Y2835">
        <v>0</v>
      </c>
      <c r="Z2835">
        <v>1</v>
      </c>
    </row>
    <row r="2836" spans="1:26">
      <c r="A2836" s="1">
        <v>2834</v>
      </c>
      <c r="B2836" t="str">
        <f>HYPERLINK("https://bugs.eclipse.org/bugs/show_bug.cgi?id=120642", "120642")</f>
        <v>120642</v>
      </c>
      <c r="C2836" t="s">
        <v>13044</v>
      </c>
      <c r="D2836" t="s">
        <v>10</v>
      </c>
      <c r="E2836" t="s">
        <v>15</v>
      </c>
      <c r="F2836" t="s">
        <v>26</v>
      </c>
      <c r="L2836" t="s">
        <v>13045</v>
      </c>
      <c r="Q2836" t="s">
        <v>13045</v>
      </c>
      <c r="T2836" t="s">
        <v>13046</v>
      </c>
      <c r="U2836" t="s">
        <v>13047</v>
      </c>
      <c r="V2836" t="s">
        <v>13045</v>
      </c>
      <c r="W2836" t="s">
        <v>2668</v>
      </c>
      <c r="X2836" t="s">
        <v>13048</v>
      </c>
      <c r="Y2836">
        <v>0</v>
      </c>
      <c r="Z2836">
        <v>1</v>
      </c>
    </row>
    <row r="2837" spans="1:26">
      <c r="A2837" s="1">
        <v>2835</v>
      </c>
      <c r="B2837" t="str">
        <f>HYPERLINK("https://bugs.eclipse.org/bugs/show_bug.cgi?id=120723", "120723")</f>
        <v>120723</v>
      </c>
      <c r="C2837" t="s">
        <v>13049</v>
      </c>
      <c r="D2837" t="s">
        <v>10</v>
      </c>
      <c r="E2837" t="s">
        <v>15</v>
      </c>
      <c r="F2837" t="s">
        <v>26</v>
      </c>
      <c r="L2837" t="s">
        <v>13050</v>
      </c>
      <c r="Q2837" t="s">
        <v>13050</v>
      </c>
      <c r="T2837" t="s">
        <v>13051</v>
      </c>
      <c r="U2837" t="s">
        <v>13052</v>
      </c>
      <c r="V2837" t="s">
        <v>13050</v>
      </c>
      <c r="W2837" t="s">
        <v>49</v>
      </c>
      <c r="X2837" t="s">
        <v>13053</v>
      </c>
      <c r="Y2837">
        <v>1</v>
      </c>
      <c r="Z2837">
        <v>430</v>
      </c>
    </row>
    <row r="2838" spans="1:26">
      <c r="A2838" s="1">
        <v>2836</v>
      </c>
      <c r="B2838" t="str">
        <f>HYPERLINK("https://bugs.eclipse.org/bugs/show_bug.cgi?id=120811", "120811")</f>
        <v>120811</v>
      </c>
      <c r="C2838" t="s">
        <v>5136</v>
      </c>
      <c r="D2838" t="s">
        <v>10</v>
      </c>
      <c r="E2838" t="s">
        <v>15</v>
      </c>
      <c r="F2838" t="s">
        <v>26</v>
      </c>
      <c r="L2838" t="s">
        <v>13054</v>
      </c>
      <c r="Q2838" t="s">
        <v>13054</v>
      </c>
      <c r="T2838" t="s">
        <v>13055</v>
      </c>
      <c r="U2838" t="s">
        <v>13056</v>
      </c>
      <c r="V2838" t="s">
        <v>13054</v>
      </c>
      <c r="W2838" t="s">
        <v>851</v>
      </c>
      <c r="X2838" t="s">
        <v>13057</v>
      </c>
      <c r="Y2838">
        <v>0</v>
      </c>
      <c r="Z2838">
        <v>0</v>
      </c>
    </row>
    <row r="2839" spans="1:26">
      <c r="A2839" s="1">
        <v>2837</v>
      </c>
      <c r="B2839" t="str">
        <f>HYPERLINK("https://bugs.eclipse.org/bugs/show_bug.cgi?id=120836", "120836")</f>
        <v>120836</v>
      </c>
      <c r="C2839" t="s">
        <v>191</v>
      </c>
      <c r="D2839" t="s">
        <v>192</v>
      </c>
      <c r="E2839" t="s">
        <v>14</v>
      </c>
      <c r="F2839" t="s">
        <v>26</v>
      </c>
      <c r="T2839" t="s">
        <v>13058</v>
      </c>
      <c r="U2839" t="s">
        <v>13059</v>
      </c>
      <c r="V2839" t="s">
        <v>13060</v>
      </c>
      <c r="W2839" t="s">
        <v>65</v>
      </c>
      <c r="X2839" t="s">
        <v>13061</v>
      </c>
      <c r="Y2839">
        <v>57</v>
      </c>
      <c r="Z2839">
        <v>5049.958333333333</v>
      </c>
    </row>
    <row r="2840" spans="1:26">
      <c r="A2840" s="1">
        <v>2838</v>
      </c>
      <c r="B2840" t="str">
        <f>HYPERLINK("https://bugs.eclipse.org/bugs/show_bug.cgi?id=120839", "120839")</f>
        <v>120839</v>
      </c>
      <c r="C2840" t="s">
        <v>35</v>
      </c>
      <c r="D2840" t="s">
        <v>11</v>
      </c>
      <c r="E2840" t="s">
        <v>12</v>
      </c>
      <c r="F2840" t="s">
        <v>26</v>
      </c>
      <c r="L2840" t="s">
        <v>13062</v>
      </c>
      <c r="M2840" t="s">
        <v>13063</v>
      </c>
      <c r="N2840" t="s">
        <v>13062</v>
      </c>
      <c r="T2840" t="s">
        <v>13064</v>
      </c>
      <c r="U2840" t="s">
        <v>13065</v>
      </c>
      <c r="V2840" t="s">
        <v>13063</v>
      </c>
      <c r="W2840" t="s">
        <v>1954</v>
      </c>
      <c r="X2840" t="s">
        <v>13066</v>
      </c>
      <c r="Y2840">
        <v>0</v>
      </c>
      <c r="Z2840">
        <v>1</v>
      </c>
    </row>
    <row r="2841" spans="1:26">
      <c r="A2841" s="1">
        <v>2839</v>
      </c>
      <c r="B2841" t="str">
        <f>HYPERLINK("https://bugs.eclipse.org/bugs/show_bug.cgi?id=120842", "120842")</f>
        <v>120842</v>
      </c>
      <c r="C2841" t="s">
        <v>140</v>
      </c>
      <c r="D2841" t="s">
        <v>10</v>
      </c>
      <c r="E2841" t="s">
        <v>16</v>
      </c>
      <c r="F2841" t="s">
        <v>26</v>
      </c>
      <c r="L2841" t="s">
        <v>13067</v>
      </c>
      <c r="R2841" t="s">
        <v>13067</v>
      </c>
      <c r="T2841" t="s">
        <v>13068</v>
      </c>
      <c r="U2841" t="s">
        <v>13069</v>
      </c>
      <c r="V2841" t="s">
        <v>13067</v>
      </c>
      <c r="W2841" t="s">
        <v>2668</v>
      </c>
      <c r="X2841" t="s">
        <v>13070</v>
      </c>
      <c r="Y2841">
        <v>0</v>
      </c>
      <c r="Z2841">
        <v>0</v>
      </c>
    </row>
    <row r="2842" spans="1:26">
      <c r="A2842" s="1">
        <v>2840</v>
      </c>
      <c r="B2842" t="str">
        <f>HYPERLINK("https://bugs.eclipse.org/bugs/show_bug.cgi?id=120843", "120843")</f>
        <v>120843</v>
      </c>
      <c r="C2842" t="s">
        <v>140</v>
      </c>
      <c r="D2842" t="s">
        <v>10</v>
      </c>
      <c r="E2842" t="s">
        <v>16</v>
      </c>
      <c r="F2842" t="s">
        <v>26</v>
      </c>
      <c r="L2842" t="s">
        <v>13071</v>
      </c>
      <c r="R2842" t="s">
        <v>13071</v>
      </c>
      <c r="T2842" t="s">
        <v>13072</v>
      </c>
      <c r="U2842" t="s">
        <v>13073</v>
      </c>
      <c r="V2842" t="s">
        <v>13071</v>
      </c>
      <c r="W2842" t="s">
        <v>2668</v>
      </c>
      <c r="X2842" t="s">
        <v>13074</v>
      </c>
      <c r="Y2842">
        <v>0</v>
      </c>
      <c r="Z2842">
        <v>82</v>
      </c>
    </row>
    <row r="2843" spans="1:26">
      <c r="A2843" s="1">
        <v>2841</v>
      </c>
      <c r="B2843" t="str">
        <f>HYPERLINK("https://bugs.eclipse.org/bugs/show_bug.cgi?id=120846", "120846")</f>
        <v>120846</v>
      </c>
      <c r="C2843" t="s">
        <v>149</v>
      </c>
      <c r="D2843" t="s">
        <v>10</v>
      </c>
      <c r="E2843" t="s">
        <v>12</v>
      </c>
      <c r="F2843" t="s">
        <v>26</v>
      </c>
      <c r="L2843" t="s">
        <v>13075</v>
      </c>
      <c r="N2843" t="s">
        <v>13075</v>
      </c>
      <c r="T2843" t="s">
        <v>13076</v>
      </c>
      <c r="U2843" t="s">
        <v>13077</v>
      </c>
      <c r="V2843" t="s">
        <v>13075</v>
      </c>
      <c r="W2843" t="s">
        <v>2668</v>
      </c>
      <c r="X2843" t="s">
        <v>13078</v>
      </c>
      <c r="Y2843">
        <v>0</v>
      </c>
      <c r="Z2843">
        <v>65</v>
      </c>
    </row>
    <row r="2844" spans="1:26">
      <c r="A2844" s="1">
        <v>2842</v>
      </c>
      <c r="B2844" t="str">
        <f>HYPERLINK("https://bugs.eclipse.org/bugs/show_bug.cgi?id=120850", "120850")</f>
        <v>120850</v>
      </c>
      <c r="C2844" t="s">
        <v>149</v>
      </c>
      <c r="D2844" t="s">
        <v>10</v>
      </c>
      <c r="E2844" t="s">
        <v>12</v>
      </c>
      <c r="F2844" t="s">
        <v>26</v>
      </c>
      <c r="L2844" t="s">
        <v>13079</v>
      </c>
      <c r="N2844" t="s">
        <v>13079</v>
      </c>
      <c r="T2844" t="s">
        <v>13080</v>
      </c>
      <c r="U2844" t="s">
        <v>13081</v>
      </c>
      <c r="V2844" t="s">
        <v>13079</v>
      </c>
      <c r="W2844" t="s">
        <v>2668</v>
      </c>
      <c r="X2844" t="s">
        <v>13082</v>
      </c>
      <c r="Y2844">
        <v>0</v>
      </c>
      <c r="Z2844">
        <v>26</v>
      </c>
    </row>
    <row r="2845" spans="1:26">
      <c r="A2845" s="1">
        <v>2843</v>
      </c>
      <c r="B2845" t="str">
        <f>HYPERLINK("https://bugs.eclipse.org/bugs/show_bug.cgi?id=120856", "120856")</f>
        <v>120856</v>
      </c>
      <c r="C2845" t="s">
        <v>56</v>
      </c>
      <c r="D2845" t="s">
        <v>10</v>
      </c>
      <c r="E2845" t="s">
        <v>14</v>
      </c>
      <c r="F2845" t="s">
        <v>26</v>
      </c>
      <c r="L2845" t="s">
        <v>13083</v>
      </c>
      <c r="P2845" t="s">
        <v>12350</v>
      </c>
      <c r="T2845" t="s">
        <v>13084</v>
      </c>
      <c r="U2845" t="s">
        <v>13083</v>
      </c>
      <c r="V2845" t="s">
        <v>12350</v>
      </c>
      <c r="W2845" t="s">
        <v>75</v>
      </c>
      <c r="X2845" t="s">
        <v>13085</v>
      </c>
      <c r="Y2845">
        <v>0</v>
      </c>
      <c r="Z2845">
        <v>1354.958333333333</v>
      </c>
    </row>
    <row r="2846" spans="1:26">
      <c r="A2846" s="1">
        <v>2844</v>
      </c>
      <c r="B2846" t="str">
        <f>HYPERLINK("https://bugs.eclipse.org/bugs/show_bug.cgi?id=120895", "120895")</f>
        <v>120895</v>
      </c>
      <c r="C2846" t="s">
        <v>56</v>
      </c>
      <c r="D2846" t="s">
        <v>10</v>
      </c>
      <c r="E2846" t="s">
        <v>14</v>
      </c>
      <c r="F2846" t="s">
        <v>26</v>
      </c>
      <c r="L2846" t="s">
        <v>13086</v>
      </c>
      <c r="P2846" t="s">
        <v>13086</v>
      </c>
      <c r="T2846" t="s">
        <v>13087</v>
      </c>
      <c r="U2846" t="s">
        <v>13088</v>
      </c>
      <c r="V2846" t="s">
        <v>13086</v>
      </c>
      <c r="W2846" t="s">
        <v>2668</v>
      </c>
      <c r="X2846" t="s">
        <v>13089</v>
      </c>
      <c r="Y2846">
        <v>165.95833333333329</v>
      </c>
      <c r="Z2846">
        <v>214.95833333333329</v>
      </c>
    </row>
    <row r="2847" spans="1:26">
      <c r="A2847" s="1">
        <v>2845</v>
      </c>
      <c r="B2847" t="str">
        <f>HYPERLINK("https://bugs.eclipse.org/bugs/show_bug.cgi?id=121030", "121030")</f>
        <v>121030</v>
      </c>
      <c r="C2847" t="s">
        <v>149</v>
      </c>
      <c r="D2847" t="s">
        <v>10</v>
      </c>
      <c r="E2847" t="s">
        <v>12</v>
      </c>
      <c r="F2847" t="s">
        <v>26</v>
      </c>
      <c r="L2847" t="s">
        <v>13090</v>
      </c>
      <c r="N2847" t="s">
        <v>13090</v>
      </c>
      <c r="T2847" t="s">
        <v>13091</v>
      </c>
      <c r="U2847" t="s">
        <v>13092</v>
      </c>
      <c r="V2847" t="s">
        <v>13090</v>
      </c>
      <c r="W2847" t="s">
        <v>2668</v>
      </c>
      <c r="X2847" t="s">
        <v>13093</v>
      </c>
      <c r="Y2847">
        <v>0</v>
      </c>
      <c r="Z2847">
        <v>6</v>
      </c>
    </row>
    <row r="2848" spans="1:26">
      <c r="A2848" s="1">
        <v>2846</v>
      </c>
      <c r="B2848" t="str">
        <f>HYPERLINK("https://bugs.eclipse.org/bugs/show_bug.cgi?id=121034", "121034")</f>
        <v>121034</v>
      </c>
      <c r="C2848" t="s">
        <v>149</v>
      </c>
      <c r="D2848" t="s">
        <v>10</v>
      </c>
      <c r="E2848" t="s">
        <v>12</v>
      </c>
      <c r="F2848" t="s">
        <v>26</v>
      </c>
      <c r="G2848" t="s">
        <v>13094</v>
      </c>
      <c r="L2848" t="s">
        <v>13095</v>
      </c>
      <c r="N2848" t="s">
        <v>13095</v>
      </c>
      <c r="T2848" t="s">
        <v>13096</v>
      </c>
      <c r="U2848" t="s">
        <v>13097</v>
      </c>
      <c r="V2848" t="s">
        <v>13095</v>
      </c>
      <c r="W2848" t="s">
        <v>2668</v>
      </c>
      <c r="X2848" t="s">
        <v>13098</v>
      </c>
      <c r="Y2848">
        <v>0</v>
      </c>
      <c r="Z2848">
        <v>71</v>
      </c>
    </row>
    <row r="2849" spans="1:26">
      <c r="A2849" s="1">
        <v>2847</v>
      </c>
      <c r="B2849" t="str">
        <f>HYPERLINK("https://bugs.eclipse.org/bugs/show_bug.cgi?id=121099", "121099")</f>
        <v>121099</v>
      </c>
      <c r="C2849" t="s">
        <v>191</v>
      </c>
      <c r="D2849" t="s">
        <v>192</v>
      </c>
      <c r="E2849" t="s">
        <v>14</v>
      </c>
      <c r="F2849" t="s">
        <v>26</v>
      </c>
      <c r="P2849" t="s">
        <v>13099</v>
      </c>
      <c r="T2849" t="s">
        <v>13100</v>
      </c>
      <c r="U2849" t="s">
        <v>13101</v>
      </c>
      <c r="V2849" t="s">
        <v>13099</v>
      </c>
      <c r="W2849" t="s">
        <v>65</v>
      </c>
      <c r="X2849" t="s">
        <v>13102</v>
      </c>
      <c r="Y2849">
        <v>1</v>
      </c>
      <c r="Z2849">
        <v>5218.958333333333</v>
      </c>
    </row>
    <row r="2850" spans="1:26">
      <c r="A2850" s="1">
        <v>2848</v>
      </c>
      <c r="B2850" t="str">
        <f>HYPERLINK("https://bugs.eclipse.org/bugs/show_bug.cgi?id=121200", "121200")</f>
        <v>121200</v>
      </c>
      <c r="C2850" t="s">
        <v>149</v>
      </c>
      <c r="D2850" t="s">
        <v>10</v>
      </c>
      <c r="E2850" t="s">
        <v>12</v>
      </c>
      <c r="F2850" t="s">
        <v>26</v>
      </c>
      <c r="L2850" t="s">
        <v>13103</v>
      </c>
      <c r="N2850" t="s">
        <v>13103</v>
      </c>
      <c r="T2850" t="s">
        <v>13104</v>
      </c>
      <c r="U2850" t="s">
        <v>13103</v>
      </c>
      <c r="V2850" t="s">
        <v>13103</v>
      </c>
      <c r="W2850" t="s">
        <v>2668</v>
      </c>
      <c r="X2850" t="s">
        <v>13105</v>
      </c>
      <c r="Y2850">
        <v>5</v>
      </c>
      <c r="Z2850">
        <v>5</v>
      </c>
    </row>
    <row r="2851" spans="1:26">
      <c r="A2851" s="1">
        <v>2849</v>
      </c>
      <c r="B2851" t="str">
        <f>HYPERLINK("https://bugs.eclipse.org/bugs/show_bug.cgi?id=121307", "121307")</f>
        <v>121307</v>
      </c>
      <c r="C2851" t="s">
        <v>88</v>
      </c>
      <c r="D2851" t="s">
        <v>10</v>
      </c>
      <c r="E2851" t="s">
        <v>13</v>
      </c>
      <c r="F2851" t="s">
        <v>26</v>
      </c>
      <c r="L2851" t="s">
        <v>13106</v>
      </c>
      <c r="O2851" t="s">
        <v>13107</v>
      </c>
      <c r="T2851" t="s">
        <v>13108</v>
      </c>
      <c r="U2851" t="s">
        <v>13109</v>
      </c>
      <c r="V2851" t="s">
        <v>13107</v>
      </c>
      <c r="W2851" t="s">
        <v>75</v>
      </c>
      <c r="X2851" t="s">
        <v>13110</v>
      </c>
      <c r="Y2851">
        <v>19</v>
      </c>
      <c r="Z2851">
        <v>1352.958333333333</v>
      </c>
    </row>
    <row r="2852" spans="1:26">
      <c r="A2852" s="1">
        <v>2850</v>
      </c>
      <c r="B2852" t="str">
        <f>HYPERLINK("https://bugs.eclipse.org/bugs/show_bug.cgi?id=121412", "121412")</f>
        <v>121412</v>
      </c>
      <c r="C2852" t="s">
        <v>191</v>
      </c>
      <c r="D2852" t="s">
        <v>192</v>
      </c>
      <c r="E2852" t="s">
        <v>14</v>
      </c>
      <c r="F2852" t="s">
        <v>26</v>
      </c>
      <c r="P2852" t="s">
        <v>13111</v>
      </c>
      <c r="T2852" t="s">
        <v>13112</v>
      </c>
      <c r="U2852" t="s">
        <v>13113</v>
      </c>
      <c r="V2852" t="s">
        <v>13111</v>
      </c>
      <c r="W2852" t="s">
        <v>65</v>
      </c>
      <c r="X2852" t="s">
        <v>13114</v>
      </c>
      <c r="Y2852">
        <v>0</v>
      </c>
      <c r="Z2852">
        <v>5230.958333333333</v>
      </c>
    </row>
    <row r="2853" spans="1:26">
      <c r="A2853" s="1">
        <v>2851</v>
      </c>
      <c r="B2853" t="str">
        <f>HYPERLINK("https://bugs.eclipse.org/bugs/show_bug.cgi?id=121862", "121862")</f>
        <v>121862</v>
      </c>
      <c r="C2853" t="s">
        <v>149</v>
      </c>
      <c r="D2853" t="s">
        <v>10</v>
      </c>
      <c r="E2853" t="s">
        <v>12</v>
      </c>
      <c r="F2853" t="s">
        <v>26</v>
      </c>
      <c r="L2853" t="s">
        <v>13115</v>
      </c>
      <c r="N2853" t="s">
        <v>13115</v>
      </c>
      <c r="T2853" t="s">
        <v>13116</v>
      </c>
      <c r="U2853" t="s">
        <v>13115</v>
      </c>
      <c r="V2853" t="s">
        <v>13115</v>
      </c>
      <c r="W2853" t="s">
        <v>1954</v>
      </c>
      <c r="X2853" t="s">
        <v>13117</v>
      </c>
      <c r="Y2853">
        <v>15</v>
      </c>
      <c r="Z2853">
        <v>15</v>
      </c>
    </row>
    <row r="2854" spans="1:26">
      <c r="A2854" s="1">
        <v>2852</v>
      </c>
      <c r="B2854" t="str">
        <f>HYPERLINK("https://bugs.eclipse.org/bugs/show_bug.cgi?id=121878", "121878")</f>
        <v>121878</v>
      </c>
      <c r="C2854" t="s">
        <v>149</v>
      </c>
      <c r="D2854" t="s">
        <v>10</v>
      </c>
      <c r="E2854" t="s">
        <v>12</v>
      </c>
      <c r="F2854" t="s">
        <v>26</v>
      </c>
      <c r="L2854" t="s">
        <v>13118</v>
      </c>
      <c r="N2854" t="s">
        <v>13118</v>
      </c>
      <c r="T2854" t="s">
        <v>13119</v>
      </c>
      <c r="U2854" t="s">
        <v>13118</v>
      </c>
      <c r="V2854" t="s">
        <v>13118</v>
      </c>
      <c r="W2854" t="s">
        <v>1954</v>
      </c>
      <c r="X2854" t="s">
        <v>13120</v>
      </c>
      <c r="Y2854">
        <v>0</v>
      </c>
      <c r="Z2854">
        <v>0</v>
      </c>
    </row>
    <row r="2855" spans="1:26">
      <c r="A2855" s="1">
        <v>2853</v>
      </c>
      <c r="B2855" t="str">
        <f>HYPERLINK("https://bugs.eclipse.org/bugs/show_bug.cgi?id=121880", "121880")</f>
        <v>121880</v>
      </c>
      <c r="C2855" t="s">
        <v>149</v>
      </c>
      <c r="D2855" t="s">
        <v>10</v>
      </c>
      <c r="E2855" t="s">
        <v>12</v>
      </c>
      <c r="F2855" t="s">
        <v>26</v>
      </c>
      <c r="G2855" t="s">
        <v>13121</v>
      </c>
      <c r="L2855" t="s">
        <v>13122</v>
      </c>
      <c r="N2855" t="s">
        <v>13122</v>
      </c>
      <c r="T2855" t="s">
        <v>13123</v>
      </c>
      <c r="U2855" t="s">
        <v>13124</v>
      </c>
      <c r="V2855" t="s">
        <v>13122</v>
      </c>
      <c r="W2855" t="s">
        <v>1954</v>
      </c>
      <c r="X2855" t="s">
        <v>13125</v>
      </c>
      <c r="Y2855">
        <v>0</v>
      </c>
      <c r="Z2855">
        <v>90</v>
      </c>
    </row>
    <row r="2856" spans="1:26">
      <c r="A2856" s="1">
        <v>2854</v>
      </c>
      <c r="B2856" t="str">
        <f>HYPERLINK("https://bugs.eclipse.org/bugs/show_bug.cgi?id=122319", "122319")</f>
        <v>122319</v>
      </c>
      <c r="C2856" t="s">
        <v>149</v>
      </c>
      <c r="D2856" t="s">
        <v>10</v>
      </c>
      <c r="E2856" t="s">
        <v>12</v>
      </c>
      <c r="F2856" t="s">
        <v>26</v>
      </c>
      <c r="G2856" t="s">
        <v>13126</v>
      </c>
      <c r="L2856" t="s">
        <v>13127</v>
      </c>
      <c r="N2856" t="s">
        <v>13127</v>
      </c>
      <c r="T2856" t="s">
        <v>13128</v>
      </c>
      <c r="U2856" t="s">
        <v>13129</v>
      </c>
      <c r="V2856" t="s">
        <v>13130</v>
      </c>
      <c r="W2856" t="s">
        <v>49</v>
      </c>
      <c r="X2856" t="s">
        <v>13131</v>
      </c>
      <c r="Y2856">
        <v>6</v>
      </c>
      <c r="Z2856">
        <v>216.95833333333329</v>
      </c>
    </row>
    <row r="2857" spans="1:26">
      <c r="A2857" s="1">
        <v>2855</v>
      </c>
      <c r="B2857" t="str">
        <f>HYPERLINK("https://bugs.eclipse.org/bugs/show_bug.cgi?id=122353", "122353")</f>
        <v>122353</v>
      </c>
      <c r="C2857" t="s">
        <v>88</v>
      </c>
      <c r="D2857" t="s">
        <v>10</v>
      </c>
      <c r="E2857" t="s">
        <v>13</v>
      </c>
      <c r="F2857" t="s">
        <v>26</v>
      </c>
      <c r="L2857" t="s">
        <v>13132</v>
      </c>
      <c r="O2857" t="s">
        <v>13133</v>
      </c>
      <c r="T2857" t="s">
        <v>13134</v>
      </c>
      <c r="U2857" t="s">
        <v>13132</v>
      </c>
      <c r="V2857" t="s">
        <v>13133</v>
      </c>
      <c r="W2857" t="s">
        <v>75</v>
      </c>
      <c r="X2857" t="s">
        <v>13135</v>
      </c>
      <c r="Y2857">
        <v>6</v>
      </c>
      <c r="Z2857">
        <v>1339.958333333333</v>
      </c>
    </row>
    <row r="2858" spans="1:26">
      <c r="A2858" s="1">
        <v>2856</v>
      </c>
      <c r="B2858" t="str">
        <f>HYPERLINK("https://bugs.eclipse.org/bugs/show_bug.cgi?id=122389", "122389")</f>
        <v>122389</v>
      </c>
      <c r="C2858" t="s">
        <v>149</v>
      </c>
      <c r="D2858" t="s">
        <v>10</v>
      </c>
      <c r="E2858" t="s">
        <v>12</v>
      </c>
      <c r="F2858" t="s">
        <v>26</v>
      </c>
      <c r="L2858" t="s">
        <v>13136</v>
      </c>
      <c r="N2858" t="s">
        <v>13136</v>
      </c>
      <c r="T2858" t="s">
        <v>13137</v>
      </c>
      <c r="U2858" t="s">
        <v>13138</v>
      </c>
      <c r="V2858" t="s">
        <v>13139</v>
      </c>
      <c r="W2858" t="s">
        <v>86</v>
      </c>
      <c r="X2858" t="s">
        <v>13140</v>
      </c>
      <c r="Y2858">
        <v>0</v>
      </c>
      <c r="Z2858">
        <v>4</v>
      </c>
    </row>
    <row r="2859" spans="1:26">
      <c r="A2859" s="1">
        <v>2857</v>
      </c>
      <c r="B2859" t="str">
        <f>HYPERLINK("https://bugs.eclipse.org/bugs/show_bug.cgi?id=122437", "122437")</f>
        <v>122437</v>
      </c>
      <c r="C2859" t="s">
        <v>56</v>
      </c>
      <c r="D2859" t="s">
        <v>10</v>
      </c>
      <c r="E2859" t="s">
        <v>14</v>
      </c>
      <c r="F2859" t="s">
        <v>26</v>
      </c>
      <c r="L2859" t="s">
        <v>13141</v>
      </c>
      <c r="P2859" t="s">
        <v>13141</v>
      </c>
      <c r="T2859" t="s">
        <v>13142</v>
      </c>
      <c r="U2859" t="s">
        <v>13141</v>
      </c>
      <c r="V2859" t="s">
        <v>13143</v>
      </c>
      <c r="W2859" t="s">
        <v>49</v>
      </c>
      <c r="X2859" t="s">
        <v>13144</v>
      </c>
      <c r="Y2859">
        <v>3</v>
      </c>
      <c r="Z2859">
        <v>780</v>
      </c>
    </row>
    <row r="2860" spans="1:26">
      <c r="A2860" s="1">
        <v>2858</v>
      </c>
      <c r="B2860" t="str">
        <f>HYPERLINK("https://bugs.eclipse.org/bugs/show_bug.cgi?id=122490", "122490")</f>
        <v>122490</v>
      </c>
      <c r="C2860" t="s">
        <v>149</v>
      </c>
      <c r="D2860" t="s">
        <v>10</v>
      </c>
      <c r="E2860" t="s">
        <v>12</v>
      </c>
      <c r="F2860" t="s">
        <v>26</v>
      </c>
      <c r="L2860" t="s">
        <v>13145</v>
      </c>
      <c r="N2860" t="s">
        <v>13145</v>
      </c>
      <c r="T2860" t="s">
        <v>13146</v>
      </c>
      <c r="U2860" t="s">
        <v>13147</v>
      </c>
      <c r="V2860" t="s">
        <v>13145</v>
      </c>
      <c r="W2860" t="s">
        <v>2668</v>
      </c>
      <c r="X2860" t="s">
        <v>13148</v>
      </c>
      <c r="Y2860">
        <v>0</v>
      </c>
      <c r="Z2860">
        <v>6</v>
      </c>
    </row>
    <row r="2861" spans="1:26">
      <c r="A2861" s="1">
        <v>2859</v>
      </c>
      <c r="B2861" t="str">
        <f>HYPERLINK("https://bugs.eclipse.org/bugs/show_bug.cgi?id=122493", "122493")</f>
        <v>122493</v>
      </c>
      <c r="C2861" t="s">
        <v>35</v>
      </c>
      <c r="D2861" t="s">
        <v>11</v>
      </c>
      <c r="E2861" t="s">
        <v>12</v>
      </c>
      <c r="F2861" t="s">
        <v>51</v>
      </c>
      <c r="G2861" t="s">
        <v>13149</v>
      </c>
      <c r="L2861" t="s">
        <v>13150</v>
      </c>
      <c r="M2861" t="s">
        <v>13151</v>
      </c>
      <c r="N2861" t="s">
        <v>13150</v>
      </c>
      <c r="T2861" t="s">
        <v>13152</v>
      </c>
      <c r="U2861" t="s">
        <v>13153</v>
      </c>
      <c r="V2861" t="s">
        <v>13151</v>
      </c>
      <c r="W2861" t="s">
        <v>851</v>
      </c>
      <c r="X2861" t="s">
        <v>13154</v>
      </c>
      <c r="Y2861">
        <v>3</v>
      </c>
      <c r="Z2861">
        <v>149.95833333333329</v>
      </c>
    </row>
    <row r="2862" spans="1:26">
      <c r="A2862" s="1">
        <v>2860</v>
      </c>
      <c r="B2862" t="str">
        <f>HYPERLINK("https://bugs.eclipse.org/bugs/show_bug.cgi?id=122566", "122566")</f>
        <v>122566</v>
      </c>
      <c r="C2862" t="s">
        <v>35</v>
      </c>
      <c r="D2862" t="s">
        <v>11</v>
      </c>
      <c r="E2862" t="s">
        <v>12</v>
      </c>
      <c r="F2862" t="s">
        <v>26</v>
      </c>
      <c r="L2862" t="s">
        <v>13155</v>
      </c>
      <c r="M2862" t="s">
        <v>13156</v>
      </c>
      <c r="N2862" t="s">
        <v>13155</v>
      </c>
      <c r="T2862" t="s">
        <v>13157</v>
      </c>
      <c r="U2862" t="s">
        <v>13158</v>
      </c>
      <c r="V2862" t="s">
        <v>13156</v>
      </c>
      <c r="W2862" t="s">
        <v>1954</v>
      </c>
      <c r="X2862" t="s">
        <v>13159</v>
      </c>
      <c r="Y2862">
        <v>0</v>
      </c>
      <c r="Z2862">
        <v>44</v>
      </c>
    </row>
    <row r="2863" spans="1:26">
      <c r="A2863" s="1">
        <v>2861</v>
      </c>
      <c r="B2863" t="str">
        <f>HYPERLINK("https://bugs.eclipse.org/bugs/show_bug.cgi?id=122981", "122981")</f>
        <v>122981</v>
      </c>
      <c r="C2863" t="s">
        <v>13160</v>
      </c>
      <c r="D2863" t="s">
        <v>192</v>
      </c>
      <c r="E2863" t="s">
        <v>15</v>
      </c>
      <c r="F2863" t="s">
        <v>26</v>
      </c>
      <c r="Q2863" t="s">
        <v>13161</v>
      </c>
      <c r="T2863" t="s">
        <v>13162</v>
      </c>
      <c r="U2863" t="s">
        <v>13163</v>
      </c>
      <c r="V2863" t="s">
        <v>13161</v>
      </c>
      <c r="W2863" t="s">
        <v>2777</v>
      </c>
      <c r="X2863" t="s">
        <v>13164</v>
      </c>
      <c r="Y2863">
        <v>3</v>
      </c>
      <c r="Z2863">
        <v>1860</v>
      </c>
    </row>
    <row r="2864" spans="1:26">
      <c r="A2864" s="1">
        <v>2862</v>
      </c>
      <c r="B2864" t="str">
        <f>HYPERLINK("https://bugs.eclipse.org/bugs/show_bug.cgi?id=123076", "123076")</f>
        <v>123076</v>
      </c>
      <c r="C2864" t="s">
        <v>25</v>
      </c>
      <c r="D2864" t="s">
        <v>25</v>
      </c>
      <c r="F2864" t="s">
        <v>26</v>
      </c>
      <c r="T2864" t="s">
        <v>13165</v>
      </c>
      <c r="U2864" t="s">
        <v>13166</v>
      </c>
      <c r="V2864" t="s">
        <v>13167</v>
      </c>
      <c r="W2864" t="s">
        <v>49</v>
      </c>
      <c r="X2864" t="s">
        <v>13168</v>
      </c>
      <c r="Y2864">
        <v>1</v>
      </c>
    </row>
    <row r="2865" spans="1:26">
      <c r="A2865" s="1">
        <v>2863</v>
      </c>
      <c r="B2865" t="str">
        <f>HYPERLINK("https://bugs.eclipse.org/bugs/show_bug.cgi?id=123115", "123115")</f>
        <v>123115</v>
      </c>
      <c r="C2865" t="s">
        <v>4692</v>
      </c>
      <c r="D2865" t="s">
        <v>4692</v>
      </c>
      <c r="F2865" t="s">
        <v>26</v>
      </c>
      <c r="T2865" t="s">
        <v>13169</v>
      </c>
      <c r="U2865" t="s">
        <v>13170</v>
      </c>
      <c r="V2865" t="s">
        <v>13171</v>
      </c>
      <c r="W2865" t="s">
        <v>49</v>
      </c>
      <c r="X2865" t="s">
        <v>13172</v>
      </c>
      <c r="Y2865">
        <v>0</v>
      </c>
    </row>
    <row r="2866" spans="1:26">
      <c r="A2866" s="1">
        <v>2864</v>
      </c>
      <c r="B2866" t="str">
        <f>HYPERLINK("https://bugs.eclipse.org/bugs/show_bug.cgi?id=123121", "123121")</f>
        <v>123121</v>
      </c>
      <c r="C2866" t="s">
        <v>149</v>
      </c>
      <c r="D2866" t="s">
        <v>10</v>
      </c>
      <c r="E2866" t="s">
        <v>12</v>
      </c>
      <c r="F2866" t="s">
        <v>26</v>
      </c>
      <c r="L2866" t="s">
        <v>13173</v>
      </c>
      <c r="N2866" t="s">
        <v>13173</v>
      </c>
      <c r="T2866" t="s">
        <v>13174</v>
      </c>
      <c r="U2866" t="s">
        <v>13175</v>
      </c>
      <c r="V2866" t="s">
        <v>13173</v>
      </c>
      <c r="W2866" t="s">
        <v>2668</v>
      </c>
      <c r="X2866" t="s">
        <v>13176</v>
      </c>
      <c r="Y2866">
        <v>1</v>
      </c>
      <c r="Z2866">
        <v>89.958333333333329</v>
      </c>
    </row>
    <row r="2867" spans="1:26">
      <c r="A2867" s="1">
        <v>2865</v>
      </c>
      <c r="B2867" t="str">
        <f>HYPERLINK("https://bugs.eclipse.org/bugs/show_bug.cgi?id=123237", "123237")</f>
        <v>123237</v>
      </c>
      <c r="C2867" t="s">
        <v>140</v>
      </c>
      <c r="D2867" t="s">
        <v>10</v>
      </c>
      <c r="E2867" t="s">
        <v>16</v>
      </c>
      <c r="F2867" t="s">
        <v>26</v>
      </c>
      <c r="G2867" t="s">
        <v>13177</v>
      </c>
      <c r="L2867" t="s">
        <v>13178</v>
      </c>
      <c r="R2867" t="s">
        <v>13178</v>
      </c>
      <c r="T2867" t="s">
        <v>13179</v>
      </c>
      <c r="U2867" t="s">
        <v>13180</v>
      </c>
      <c r="V2867" t="s">
        <v>13178</v>
      </c>
      <c r="W2867" t="s">
        <v>143</v>
      </c>
      <c r="X2867" t="s">
        <v>13181</v>
      </c>
      <c r="Y2867">
        <v>0</v>
      </c>
      <c r="Z2867">
        <v>4765</v>
      </c>
    </row>
    <row r="2868" spans="1:26">
      <c r="A2868" s="1">
        <v>2866</v>
      </c>
      <c r="B2868" t="str">
        <f>HYPERLINK("https://bugs.eclipse.org/bugs/show_bug.cgi?id=123246", "123246")</f>
        <v>123246</v>
      </c>
      <c r="C2868" t="s">
        <v>35</v>
      </c>
      <c r="D2868" t="s">
        <v>11</v>
      </c>
      <c r="E2868" t="s">
        <v>12</v>
      </c>
      <c r="F2868" t="s">
        <v>26</v>
      </c>
      <c r="L2868" t="s">
        <v>13182</v>
      </c>
      <c r="M2868" t="s">
        <v>13183</v>
      </c>
      <c r="N2868" t="s">
        <v>13182</v>
      </c>
      <c r="T2868" t="s">
        <v>13184</v>
      </c>
      <c r="U2868" t="s">
        <v>13185</v>
      </c>
      <c r="V2868" t="s">
        <v>13183</v>
      </c>
      <c r="W2868" t="s">
        <v>1954</v>
      </c>
      <c r="X2868" t="s">
        <v>13186</v>
      </c>
      <c r="Y2868">
        <v>0</v>
      </c>
      <c r="Z2868">
        <v>79</v>
      </c>
    </row>
    <row r="2869" spans="1:26">
      <c r="A2869" s="1">
        <v>2867</v>
      </c>
      <c r="B2869" t="str">
        <f>HYPERLINK("https://bugs.eclipse.org/bugs/show_bug.cgi?id=123356", "123356")</f>
        <v>123356</v>
      </c>
      <c r="C2869" t="s">
        <v>149</v>
      </c>
      <c r="D2869" t="s">
        <v>10</v>
      </c>
      <c r="E2869" t="s">
        <v>12</v>
      </c>
      <c r="F2869" t="s">
        <v>26</v>
      </c>
      <c r="L2869" t="s">
        <v>13187</v>
      </c>
      <c r="N2869" t="s">
        <v>13187</v>
      </c>
      <c r="T2869" t="s">
        <v>13188</v>
      </c>
      <c r="U2869" t="s">
        <v>13189</v>
      </c>
      <c r="V2869" t="s">
        <v>13187</v>
      </c>
      <c r="W2869" t="s">
        <v>86</v>
      </c>
      <c r="X2869" t="s">
        <v>13190</v>
      </c>
      <c r="Y2869">
        <v>2</v>
      </c>
      <c r="Z2869">
        <v>86.958333333333329</v>
      </c>
    </row>
    <row r="2870" spans="1:26">
      <c r="A2870" s="1">
        <v>2868</v>
      </c>
      <c r="B2870" t="str">
        <f>HYPERLINK("https://bugs.eclipse.org/bugs/show_bug.cgi?id=123433", "123433")</f>
        <v>123433</v>
      </c>
      <c r="C2870" t="s">
        <v>191</v>
      </c>
      <c r="D2870" t="s">
        <v>192</v>
      </c>
      <c r="E2870" t="s">
        <v>14</v>
      </c>
      <c r="F2870" t="s">
        <v>26</v>
      </c>
      <c r="T2870" t="s">
        <v>13191</v>
      </c>
      <c r="U2870" t="s">
        <v>13192</v>
      </c>
      <c r="V2870" t="s">
        <v>13193</v>
      </c>
      <c r="W2870" t="s">
        <v>65</v>
      </c>
      <c r="X2870" t="s">
        <v>13194</v>
      </c>
      <c r="Y2870">
        <v>203.95833333333329</v>
      </c>
      <c r="Z2870">
        <v>4841.958333333333</v>
      </c>
    </row>
    <row r="2871" spans="1:26">
      <c r="A2871" s="1">
        <v>2869</v>
      </c>
      <c r="B2871" t="str">
        <f>HYPERLINK("https://bugs.eclipse.org/bugs/show_bug.cgi?id=123533", "123533")</f>
        <v>123533</v>
      </c>
      <c r="C2871" t="s">
        <v>56</v>
      </c>
      <c r="D2871" t="s">
        <v>10</v>
      </c>
      <c r="E2871" t="s">
        <v>14</v>
      </c>
      <c r="F2871" t="s">
        <v>26</v>
      </c>
      <c r="L2871" t="s">
        <v>13195</v>
      </c>
      <c r="P2871" t="s">
        <v>13195</v>
      </c>
      <c r="T2871" t="s">
        <v>13196</v>
      </c>
      <c r="U2871" t="s">
        <v>13195</v>
      </c>
      <c r="V2871" t="s">
        <v>13195</v>
      </c>
      <c r="W2871" t="s">
        <v>49</v>
      </c>
      <c r="X2871" t="s">
        <v>13197</v>
      </c>
      <c r="Y2871">
        <v>1</v>
      </c>
      <c r="Z2871">
        <v>1</v>
      </c>
    </row>
    <row r="2872" spans="1:26">
      <c r="A2872" s="1">
        <v>2870</v>
      </c>
      <c r="B2872" t="str">
        <f>HYPERLINK("https://bugs.eclipse.org/bugs/show_bug.cgi?id=123625", "123625")</f>
        <v>123625</v>
      </c>
      <c r="C2872" t="s">
        <v>149</v>
      </c>
      <c r="D2872" t="s">
        <v>10</v>
      </c>
      <c r="E2872" t="s">
        <v>12</v>
      </c>
      <c r="F2872" t="s">
        <v>26</v>
      </c>
      <c r="L2872" t="s">
        <v>13198</v>
      </c>
      <c r="N2872" t="s">
        <v>13198</v>
      </c>
      <c r="T2872" t="s">
        <v>13199</v>
      </c>
      <c r="U2872" t="s">
        <v>13200</v>
      </c>
      <c r="V2872" t="s">
        <v>13198</v>
      </c>
      <c r="W2872" t="s">
        <v>1954</v>
      </c>
      <c r="X2872" t="s">
        <v>13201</v>
      </c>
      <c r="Y2872">
        <v>15</v>
      </c>
      <c r="Z2872">
        <v>18</v>
      </c>
    </row>
    <row r="2873" spans="1:26">
      <c r="A2873" s="1">
        <v>2871</v>
      </c>
      <c r="B2873" t="str">
        <f>HYPERLINK("https://bugs.eclipse.org/bugs/show_bug.cgi?id=123755", "123755")</f>
        <v>123755</v>
      </c>
      <c r="C2873" t="s">
        <v>191</v>
      </c>
      <c r="D2873" t="s">
        <v>192</v>
      </c>
      <c r="E2873" t="s">
        <v>14</v>
      </c>
      <c r="F2873" t="s">
        <v>26</v>
      </c>
      <c r="T2873" t="s">
        <v>13202</v>
      </c>
      <c r="U2873" t="s">
        <v>13203</v>
      </c>
      <c r="V2873" t="s">
        <v>13204</v>
      </c>
      <c r="W2873" t="s">
        <v>65</v>
      </c>
      <c r="X2873" t="s">
        <v>13205</v>
      </c>
      <c r="Y2873">
        <v>0</v>
      </c>
      <c r="Z2873">
        <v>4699</v>
      </c>
    </row>
    <row r="2874" spans="1:26">
      <c r="A2874" s="1">
        <v>2872</v>
      </c>
      <c r="B2874" t="str">
        <f>HYPERLINK("https://bugs.eclipse.org/bugs/show_bug.cgi?id=123839", "123839")</f>
        <v>123839</v>
      </c>
      <c r="C2874" t="s">
        <v>13206</v>
      </c>
      <c r="D2874" t="s">
        <v>10</v>
      </c>
      <c r="E2874" t="s">
        <v>15</v>
      </c>
      <c r="F2874" t="s">
        <v>26</v>
      </c>
      <c r="L2874" t="s">
        <v>13207</v>
      </c>
      <c r="Q2874" t="s">
        <v>13207</v>
      </c>
      <c r="T2874" t="s">
        <v>13208</v>
      </c>
      <c r="U2874" t="s">
        <v>13209</v>
      </c>
      <c r="V2874" t="s">
        <v>13207</v>
      </c>
      <c r="W2874" t="s">
        <v>1954</v>
      </c>
      <c r="X2874" t="s">
        <v>13210</v>
      </c>
      <c r="Y2874">
        <v>0</v>
      </c>
      <c r="Z2874">
        <v>17</v>
      </c>
    </row>
    <row r="2875" spans="1:26">
      <c r="A2875" s="1">
        <v>2873</v>
      </c>
      <c r="B2875" t="str">
        <f>HYPERLINK("https://bugs.eclipse.org/bugs/show_bug.cgi?id=123852", "123852")</f>
        <v>123852</v>
      </c>
      <c r="C2875" t="s">
        <v>88</v>
      </c>
      <c r="D2875" t="s">
        <v>10</v>
      </c>
      <c r="E2875" t="s">
        <v>13</v>
      </c>
      <c r="F2875" t="s">
        <v>26</v>
      </c>
      <c r="L2875" t="s">
        <v>13211</v>
      </c>
      <c r="O2875" t="s">
        <v>13212</v>
      </c>
      <c r="T2875" t="s">
        <v>13213</v>
      </c>
      <c r="U2875" t="s">
        <v>13214</v>
      </c>
      <c r="V2875" t="s">
        <v>13212</v>
      </c>
      <c r="W2875" t="s">
        <v>75</v>
      </c>
      <c r="X2875" t="s">
        <v>13215</v>
      </c>
      <c r="Y2875">
        <v>3</v>
      </c>
      <c r="Z2875">
        <v>1324.958333333333</v>
      </c>
    </row>
    <row r="2876" spans="1:26">
      <c r="A2876" s="1">
        <v>2874</v>
      </c>
      <c r="B2876" t="str">
        <f>HYPERLINK("https://bugs.eclipse.org/bugs/show_bug.cgi?id=124163", "124163")</f>
        <v>124163</v>
      </c>
      <c r="C2876" t="s">
        <v>149</v>
      </c>
      <c r="D2876" t="s">
        <v>10</v>
      </c>
      <c r="E2876" t="s">
        <v>12</v>
      </c>
      <c r="F2876" t="s">
        <v>26</v>
      </c>
      <c r="L2876" t="s">
        <v>13216</v>
      </c>
      <c r="N2876" t="s">
        <v>13216</v>
      </c>
      <c r="T2876" t="s">
        <v>13217</v>
      </c>
      <c r="U2876" t="s">
        <v>13218</v>
      </c>
      <c r="V2876" t="s">
        <v>13216</v>
      </c>
      <c r="W2876" t="s">
        <v>2668</v>
      </c>
      <c r="X2876" t="s">
        <v>13219</v>
      </c>
      <c r="Y2876">
        <v>1</v>
      </c>
      <c r="Z2876">
        <v>100.9583333333333</v>
      </c>
    </row>
    <row r="2877" spans="1:26">
      <c r="A2877" s="1">
        <v>2875</v>
      </c>
      <c r="B2877" t="str">
        <f>HYPERLINK("https://bugs.eclipse.org/bugs/show_bug.cgi?id=124276", "124276")</f>
        <v>124276</v>
      </c>
      <c r="C2877" t="s">
        <v>191</v>
      </c>
      <c r="D2877" t="s">
        <v>192</v>
      </c>
      <c r="E2877" t="s">
        <v>14</v>
      </c>
      <c r="F2877" t="s">
        <v>26</v>
      </c>
      <c r="P2877" t="s">
        <v>13220</v>
      </c>
      <c r="T2877" t="s">
        <v>13221</v>
      </c>
      <c r="U2877" t="s">
        <v>13222</v>
      </c>
      <c r="V2877" t="s">
        <v>13220</v>
      </c>
      <c r="W2877" t="s">
        <v>65</v>
      </c>
      <c r="X2877" t="s">
        <v>13223</v>
      </c>
      <c r="Y2877">
        <v>0</v>
      </c>
      <c r="Z2877">
        <v>5193.958333333333</v>
      </c>
    </row>
    <row r="2878" spans="1:26">
      <c r="A2878" s="1">
        <v>2876</v>
      </c>
      <c r="B2878" t="str">
        <f>HYPERLINK("https://bugs.eclipse.org/bugs/show_bug.cgi?id=124277", "124277")</f>
        <v>124277</v>
      </c>
      <c r="C2878" t="s">
        <v>191</v>
      </c>
      <c r="D2878" t="s">
        <v>192</v>
      </c>
      <c r="E2878" t="s">
        <v>14</v>
      </c>
      <c r="F2878" t="s">
        <v>26</v>
      </c>
      <c r="T2878" t="s">
        <v>13224</v>
      </c>
      <c r="U2878" t="s">
        <v>13225</v>
      </c>
      <c r="V2878" t="s">
        <v>13226</v>
      </c>
      <c r="W2878" t="s">
        <v>65</v>
      </c>
      <c r="X2878" t="s">
        <v>13227</v>
      </c>
      <c r="Y2878">
        <v>0</v>
      </c>
      <c r="Z2878">
        <v>4776</v>
      </c>
    </row>
    <row r="2879" spans="1:26">
      <c r="A2879" s="1">
        <v>2877</v>
      </c>
      <c r="B2879" t="str">
        <f>HYPERLINK("https://bugs.eclipse.org/bugs/show_bug.cgi?id=124278", "124278")</f>
        <v>124278</v>
      </c>
      <c r="C2879" t="s">
        <v>56</v>
      </c>
      <c r="D2879" t="s">
        <v>10</v>
      </c>
      <c r="E2879" t="s">
        <v>14</v>
      </c>
      <c r="F2879" t="s">
        <v>26</v>
      </c>
      <c r="L2879" t="s">
        <v>13228</v>
      </c>
      <c r="P2879" t="s">
        <v>13228</v>
      </c>
      <c r="T2879" t="s">
        <v>13229</v>
      </c>
      <c r="U2879" t="s">
        <v>13228</v>
      </c>
      <c r="V2879" t="s">
        <v>13228</v>
      </c>
      <c r="W2879" t="s">
        <v>49</v>
      </c>
      <c r="X2879" t="s">
        <v>13230</v>
      </c>
      <c r="Y2879">
        <v>0</v>
      </c>
      <c r="Z2879">
        <v>0</v>
      </c>
    </row>
    <row r="2880" spans="1:26">
      <c r="A2880" s="1">
        <v>2878</v>
      </c>
      <c r="B2880" t="str">
        <f>HYPERLINK("https://bugs.eclipse.org/bugs/show_bug.cgi?id=124423", "124423")</f>
        <v>124423</v>
      </c>
      <c r="C2880" t="s">
        <v>191</v>
      </c>
      <c r="D2880" t="s">
        <v>192</v>
      </c>
      <c r="E2880" t="s">
        <v>14</v>
      </c>
      <c r="F2880" t="s">
        <v>26</v>
      </c>
      <c r="T2880" t="s">
        <v>13231</v>
      </c>
      <c r="U2880" t="s">
        <v>13232</v>
      </c>
      <c r="V2880" t="s">
        <v>13233</v>
      </c>
      <c r="W2880" t="s">
        <v>65</v>
      </c>
      <c r="X2880" t="s">
        <v>13234</v>
      </c>
      <c r="Y2880">
        <v>1</v>
      </c>
      <c r="Z2880">
        <v>5071</v>
      </c>
    </row>
    <row r="2881" spans="1:26">
      <c r="A2881" s="1">
        <v>2879</v>
      </c>
      <c r="B2881" t="str">
        <f>HYPERLINK("https://bugs.eclipse.org/bugs/show_bug.cgi?id=124659", "124659")</f>
        <v>124659</v>
      </c>
      <c r="C2881" t="s">
        <v>149</v>
      </c>
      <c r="D2881" t="s">
        <v>10</v>
      </c>
      <c r="E2881" t="s">
        <v>12</v>
      </c>
      <c r="F2881" t="s">
        <v>26</v>
      </c>
      <c r="L2881" t="s">
        <v>13235</v>
      </c>
      <c r="N2881" t="s">
        <v>13235</v>
      </c>
      <c r="T2881" t="s">
        <v>13236</v>
      </c>
      <c r="U2881" t="s">
        <v>13237</v>
      </c>
      <c r="V2881" t="s">
        <v>13235</v>
      </c>
      <c r="W2881" t="s">
        <v>2668</v>
      </c>
      <c r="X2881" t="s">
        <v>13238</v>
      </c>
      <c r="Y2881">
        <v>0</v>
      </c>
      <c r="Z2881">
        <v>0</v>
      </c>
    </row>
    <row r="2882" spans="1:26">
      <c r="A2882" s="1">
        <v>2880</v>
      </c>
      <c r="B2882" t="str">
        <f>HYPERLINK("https://bugs.eclipse.org/bugs/show_bug.cgi?id=124669", "124669")</f>
        <v>124669</v>
      </c>
      <c r="C2882" t="s">
        <v>149</v>
      </c>
      <c r="D2882" t="s">
        <v>10</v>
      </c>
      <c r="E2882" t="s">
        <v>12</v>
      </c>
      <c r="F2882" t="s">
        <v>26</v>
      </c>
      <c r="L2882" t="s">
        <v>13239</v>
      </c>
      <c r="N2882" t="s">
        <v>13239</v>
      </c>
      <c r="T2882" t="s">
        <v>13240</v>
      </c>
      <c r="U2882" t="s">
        <v>13241</v>
      </c>
      <c r="V2882" t="s">
        <v>13239</v>
      </c>
      <c r="W2882" t="s">
        <v>2668</v>
      </c>
      <c r="X2882" t="s">
        <v>13242</v>
      </c>
      <c r="Y2882">
        <v>0</v>
      </c>
      <c r="Z2882">
        <v>3</v>
      </c>
    </row>
    <row r="2883" spans="1:26">
      <c r="A2883" s="1">
        <v>2881</v>
      </c>
      <c r="B2883" t="str">
        <f>HYPERLINK("https://bugs.eclipse.org/bugs/show_bug.cgi?id=124978", "124978")</f>
        <v>124978</v>
      </c>
      <c r="C2883" t="s">
        <v>149</v>
      </c>
      <c r="D2883" t="s">
        <v>10</v>
      </c>
      <c r="E2883" t="s">
        <v>12</v>
      </c>
      <c r="F2883" t="s">
        <v>26</v>
      </c>
      <c r="L2883" t="s">
        <v>13243</v>
      </c>
      <c r="N2883" t="s">
        <v>13243</v>
      </c>
      <c r="R2883" t="s">
        <v>13244</v>
      </c>
      <c r="S2883" t="s">
        <v>13245</v>
      </c>
      <c r="T2883" t="s">
        <v>13246</v>
      </c>
      <c r="U2883" t="s">
        <v>13247</v>
      </c>
      <c r="V2883" t="s">
        <v>13243</v>
      </c>
      <c r="W2883" t="s">
        <v>4846</v>
      </c>
      <c r="X2883" t="s">
        <v>13248</v>
      </c>
      <c r="Y2883">
        <v>0</v>
      </c>
      <c r="Z2883">
        <v>2756.958333333333</v>
      </c>
    </row>
    <row r="2884" spans="1:26">
      <c r="A2884" s="1">
        <v>2882</v>
      </c>
      <c r="B2884" t="str">
        <f>HYPERLINK("https://bugs.eclipse.org/bugs/show_bug.cgi?id=125139", "125139")</f>
        <v>125139</v>
      </c>
      <c r="C2884" t="s">
        <v>25</v>
      </c>
      <c r="D2884" t="s">
        <v>25</v>
      </c>
      <c r="F2884" t="s">
        <v>51</v>
      </c>
      <c r="T2884" t="s">
        <v>13249</v>
      </c>
      <c r="U2884" t="s">
        <v>13250</v>
      </c>
      <c r="V2884" t="s">
        <v>13251</v>
      </c>
      <c r="W2884" t="s">
        <v>851</v>
      </c>
      <c r="X2884" t="s">
        <v>13252</v>
      </c>
      <c r="Y2884">
        <v>2</v>
      </c>
    </row>
    <row r="2885" spans="1:26">
      <c r="A2885" s="1">
        <v>2883</v>
      </c>
      <c r="B2885" t="str">
        <f>HYPERLINK("https://bugs.eclipse.org/bugs/show_bug.cgi?id=125148", "125148")</f>
        <v>125148</v>
      </c>
      <c r="C2885" t="s">
        <v>149</v>
      </c>
      <c r="D2885" t="s">
        <v>10</v>
      </c>
      <c r="E2885" t="s">
        <v>12</v>
      </c>
      <c r="F2885" t="s">
        <v>26</v>
      </c>
      <c r="L2885" t="s">
        <v>13253</v>
      </c>
      <c r="N2885" t="s">
        <v>13253</v>
      </c>
      <c r="T2885" t="s">
        <v>13254</v>
      </c>
      <c r="U2885" t="s">
        <v>13255</v>
      </c>
      <c r="V2885" t="s">
        <v>13253</v>
      </c>
      <c r="W2885" t="s">
        <v>2668</v>
      </c>
      <c r="X2885" t="s">
        <v>13256</v>
      </c>
      <c r="Y2885">
        <v>0</v>
      </c>
      <c r="Z2885">
        <v>0</v>
      </c>
    </row>
    <row r="2886" spans="1:26">
      <c r="A2886" s="1">
        <v>2884</v>
      </c>
      <c r="B2886" t="str">
        <f>HYPERLINK("https://bugs.eclipse.org/bugs/show_bug.cgi?id=125152", "125152")</f>
        <v>125152</v>
      </c>
      <c r="C2886" t="s">
        <v>149</v>
      </c>
      <c r="D2886" t="s">
        <v>10</v>
      </c>
      <c r="E2886" t="s">
        <v>12</v>
      </c>
      <c r="F2886" t="s">
        <v>26</v>
      </c>
      <c r="L2886" t="s">
        <v>13257</v>
      </c>
      <c r="N2886" t="s">
        <v>13257</v>
      </c>
      <c r="T2886" t="s">
        <v>13258</v>
      </c>
      <c r="U2886" t="s">
        <v>13259</v>
      </c>
      <c r="V2886" t="s">
        <v>13257</v>
      </c>
      <c r="W2886" t="s">
        <v>851</v>
      </c>
      <c r="X2886" t="s">
        <v>13260</v>
      </c>
      <c r="Y2886">
        <v>0</v>
      </c>
      <c r="Z2886">
        <v>7</v>
      </c>
    </row>
    <row r="2887" spans="1:26">
      <c r="A2887" s="1">
        <v>2885</v>
      </c>
      <c r="B2887" t="str">
        <f>HYPERLINK("https://bugs.eclipse.org/bugs/show_bug.cgi?id=125176", "125176")</f>
        <v>125176</v>
      </c>
      <c r="C2887" t="s">
        <v>191</v>
      </c>
      <c r="D2887" t="s">
        <v>192</v>
      </c>
      <c r="E2887" t="s">
        <v>14</v>
      </c>
      <c r="F2887" t="s">
        <v>26</v>
      </c>
      <c r="P2887" t="s">
        <v>13261</v>
      </c>
      <c r="T2887" t="s">
        <v>13262</v>
      </c>
      <c r="U2887" t="s">
        <v>13263</v>
      </c>
      <c r="V2887" t="s">
        <v>13261</v>
      </c>
      <c r="W2887" t="s">
        <v>65</v>
      </c>
      <c r="X2887" t="s">
        <v>13264</v>
      </c>
      <c r="Y2887">
        <v>134.95833333333329</v>
      </c>
      <c r="Z2887">
        <v>5117</v>
      </c>
    </row>
    <row r="2888" spans="1:26">
      <c r="A2888" s="1">
        <v>2886</v>
      </c>
      <c r="B2888" t="str">
        <f>HYPERLINK("https://bugs.eclipse.org/bugs/show_bug.cgi?id=125177", "125177")</f>
        <v>125177</v>
      </c>
      <c r="C2888" t="s">
        <v>4692</v>
      </c>
      <c r="D2888" t="s">
        <v>4692</v>
      </c>
      <c r="F2888" t="s">
        <v>26</v>
      </c>
      <c r="H2888" t="s">
        <v>13265</v>
      </c>
      <c r="T2888" t="s">
        <v>13266</v>
      </c>
      <c r="U2888" t="s">
        <v>13267</v>
      </c>
      <c r="V2888" t="s">
        <v>13268</v>
      </c>
      <c r="W2888" t="s">
        <v>65</v>
      </c>
      <c r="X2888" t="s">
        <v>13269</v>
      </c>
      <c r="Y2888">
        <v>0</v>
      </c>
    </row>
    <row r="2889" spans="1:26">
      <c r="A2889" s="1">
        <v>2887</v>
      </c>
      <c r="B2889" t="str">
        <f>HYPERLINK("https://bugs.eclipse.org/bugs/show_bug.cgi?id=125326", "125326")</f>
        <v>125326</v>
      </c>
      <c r="C2889" t="s">
        <v>149</v>
      </c>
      <c r="D2889" t="s">
        <v>10</v>
      </c>
      <c r="E2889" t="s">
        <v>12</v>
      </c>
      <c r="F2889" t="s">
        <v>26</v>
      </c>
      <c r="L2889" t="s">
        <v>13270</v>
      </c>
      <c r="N2889" t="s">
        <v>13270</v>
      </c>
      <c r="T2889" t="s">
        <v>13271</v>
      </c>
      <c r="U2889" t="s">
        <v>13272</v>
      </c>
      <c r="V2889" t="s">
        <v>13270</v>
      </c>
      <c r="W2889" t="s">
        <v>2777</v>
      </c>
      <c r="X2889" t="s">
        <v>13273</v>
      </c>
      <c r="Y2889">
        <v>1</v>
      </c>
      <c r="Z2889">
        <v>2119</v>
      </c>
    </row>
    <row r="2890" spans="1:26">
      <c r="A2890" s="1">
        <v>2888</v>
      </c>
      <c r="B2890" t="str">
        <f>HYPERLINK("https://bugs.eclipse.org/bugs/show_bug.cgi?id=125454", "125454")</f>
        <v>125454</v>
      </c>
      <c r="C2890" t="s">
        <v>13274</v>
      </c>
      <c r="D2890" t="s">
        <v>10</v>
      </c>
      <c r="E2890" t="s">
        <v>15</v>
      </c>
      <c r="F2890" t="s">
        <v>26</v>
      </c>
      <c r="L2890" t="s">
        <v>13275</v>
      </c>
      <c r="Q2890" t="s">
        <v>13275</v>
      </c>
      <c r="T2890" t="s">
        <v>13276</v>
      </c>
      <c r="U2890" t="s">
        <v>13277</v>
      </c>
      <c r="V2890" t="s">
        <v>13275</v>
      </c>
      <c r="W2890" t="s">
        <v>1954</v>
      </c>
      <c r="X2890" t="s">
        <v>13278</v>
      </c>
      <c r="Y2890">
        <v>2</v>
      </c>
      <c r="Z2890">
        <v>842.95833333333337</v>
      </c>
    </row>
    <row r="2891" spans="1:26">
      <c r="A2891" s="1">
        <v>2889</v>
      </c>
      <c r="B2891" t="str">
        <f>HYPERLINK("https://bugs.eclipse.org/bugs/show_bug.cgi?id=125474", "125474")</f>
        <v>125474</v>
      </c>
      <c r="C2891" t="s">
        <v>149</v>
      </c>
      <c r="D2891" t="s">
        <v>10</v>
      </c>
      <c r="E2891" t="s">
        <v>12</v>
      </c>
      <c r="F2891" t="s">
        <v>26</v>
      </c>
      <c r="L2891" t="s">
        <v>13279</v>
      </c>
      <c r="N2891" t="s">
        <v>13279</v>
      </c>
      <c r="T2891" t="s">
        <v>13280</v>
      </c>
      <c r="U2891" t="s">
        <v>13281</v>
      </c>
      <c r="V2891" t="s">
        <v>13279</v>
      </c>
      <c r="W2891" t="s">
        <v>2668</v>
      </c>
      <c r="X2891" t="s">
        <v>13282</v>
      </c>
      <c r="Y2891">
        <v>2</v>
      </c>
      <c r="Z2891">
        <v>10</v>
      </c>
    </row>
    <row r="2892" spans="1:26">
      <c r="A2892" s="1">
        <v>2890</v>
      </c>
      <c r="B2892" t="str">
        <f>HYPERLINK("https://bugs.eclipse.org/bugs/show_bug.cgi?id=125486", "125486")</f>
        <v>125486</v>
      </c>
      <c r="C2892" t="s">
        <v>149</v>
      </c>
      <c r="D2892" t="s">
        <v>10</v>
      </c>
      <c r="E2892" t="s">
        <v>12</v>
      </c>
      <c r="F2892" t="s">
        <v>26</v>
      </c>
      <c r="G2892" t="s">
        <v>13283</v>
      </c>
      <c r="L2892" t="s">
        <v>13284</v>
      </c>
      <c r="N2892" t="s">
        <v>13284</v>
      </c>
      <c r="T2892" t="s">
        <v>13285</v>
      </c>
      <c r="U2892" t="s">
        <v>13286</v>
      </c>
      <c r="V2892" t="s">
        <v>13284</v>
      </c>
      <c r="W2892" t="s">
        <v>851</v>
      </c>
      <c r="X2892" t="s">
        <v>13287</v>
      </c>
      <c r="Y2892">
        <v>13</v>
      </c>
      <c r="Z2892">
        <v>52</v>
      </c>
    </row>
    <row r="2893" spans="1:26">
      <c r="A2893" s="1">
        <v>2891</v>
      </c>
      <c r="B2893" t="str">
        <f>HYPERLINK("https://bugs.eclipse.org/bugs/show_bug.cgi?id=125701", "125701")</f>
        <v>125701</v>
      </c>
      <c r="C2893" t="s">
        <v>56</v>
      </c>
      <c r="D2893" t="s">
        <v>10</v>
      </c>
      <c r="E2893" t="s">
        <v>14</v>
      </c>
      <c r="F2893" t="s">
        <v>26</v>
      </c>
      <c r="L2893" t="s">
        <v>13288</v>
      </c>
      <c r="P2893" t="s">
        <v>2871</v>
      </c>
      <c r="T2893" t="s">
        <v>13289</v>
      </c>
      <c r="U2893" t="s">
        <v>13288</v>
      </c>
      <c r="V2893" t="s">
        <v>2871</v>
      </c>
      <c r="W2893" t="s">
        <v>80</v>
      </c>
      <c r="X2893" t="s">
        <v>13290</v>
      </c>
      <c r="Y2893">
        <v>7</v>
      </c>
      <c r="Z2893">
        <v>1307.958333333333</v>
      </c>
    </row>
    <row r="2894" spans="1:26">
      <c r="A2894" s="1">
        <v>2892</v>
      </c>
      <c r="B2894" t="str">
        <f>HYPERLINK("https://bugs.eclipse.org/bugs/show_bug.cgi?id=125869", "125869")</f>
        <v>125869</v>
      </c>
      <c r="C2894" t="s">
        <v>149</v>
      </c>
      <c r="D2894" t="s">
        <v>10</v>
      </c>
      <c r="E2894" t="s">
        <v>12</v>
      </c>
      <c r="F2894" t="s">
        <v>26</v>
      </c>
      <c r="L2894" t="s">
        <v>13291</v>
      </c>
      <c r="N2894" t="s">
        <v>13291</v>
      </c>
      <c r="T2894" t="s">
        <v>13292</v>
      </c>
      <c r="U2894" t="s">
        <v>13293</v>
      </c>
      <c r="V2894" t="s">
        <v>13291</v>
      </c>
      <c r="W2894" t="s">
        <v>1954</v>
      </c>
      <c r="X2894" t="s">
        <v>13294</v>
      </c>
      <c r="Y2894">
        <v>0</v>
      </c>
      <c r="Z2894">
        <v>51</v>
      </c>
    </row>
    <row r="2895" spans="1:26">
      <c r="A2895" s="1">
        <v>2893</v>
      </c>
      <c r="B2895" t="str">
        <f>HYPERLINK("https://bugs.eclipse.org/bugs/show_bug.cgi?id=125986", "125986")</f>
        <v>125986</v>
      </c>
      <c r="C2895" t="s">
        <v>149</v>
      </c>
      <c r="D2895" t="s">
        <v>10</v>
      </c>
      <c r="E2895" t="s">
        <v>12</v>
      </c>
      <c r="F2895" t="s">
        <v>26</v>
      </c>
      <c r="L2895" t="s">
        <v>13295</v>
      </c>
      <c r="N2895" t="s">
        <v>13295</v>
      </c>
      <c r="T2895" t="s">
        <v>13296</v>
      </c>
      <c r="U2895" t="s">
        <v>13297</v>
      </c>
      <c r="V2895" t="s">
        <v>13295</v>
      </c>
      <c r="W2895" t="s">
        <v>1954</v>
      </c>
      <c r="X2895" t="s">
        <v>13298</v>
      </c>
      <c r="Y2895">
        <v>0</v>
      </c>
      <c r="Z2895">
        <v>2</v>
      </c>
    </row>
    <row r="2896" spans="1:26">
      <c r="A2896" s="1">
        <v>2894</v>
      </c>
      <c r="B2896" t="str">
        <f>HYPERLINK("https://bugs.eclipse.org/bugs/show_bug.cgi?id=126154", "126154")</f>
        <v>126154</v>
      </c>
      <c r="C2896" t="s">
        <v>56</v>
      </c>
      <c r="D2896" t="s">
        <v>10</v>
      </c>
      <c r="E2896" t="s">
        <v>14</v>
      </c>
      <c r="F2896" t="s">
        <v>26</v>
      </c>
      <c r="L2896" t="s">
        <v>13299</v>
      </c>
      <c r="P2896" t="s">
        <v>13299</v>
      </c>
      <c r="T2896" t="s">
        <v>13300</v>
      </c>
      <c r="U2896" t="s">
        <v>13301</v>
      </c>
      <c r="V2896" t="s">
        <v>13299</v>
      </c>
      <c r="W2896" t="s">
        <v>851</v>
      </c>
      <c r="X2896" t="s">
        <v>13302</v>
      </c>
      <c r="Y2896">
        <v>0</v>
      </c>
      <c r="Z2896">
        <v>4</v>
      </c>
    </row>
    <row r="2897" spans="1:26">
      <c r="A2897" s="1">
        <v>2895</v>
      </c>
      <c r="B2897" t="str">
        <f>HYPERLINK("https://bugs.eclipse.org/bugs/show_bug.cgi?id=126353", "126353")</f>
        <v>126353</v>
      </c>
      <c r="C2897" t="s">
        <v>13303</v>
      </c>
      <c r="D2897" t="s">
        <v>10</v>
      </c>
      <c r="E2897" t="s">
        <v>15</v>
      </c>
      <c r="F2897" t="s">
        <v>26</v>
      </c>
      <c r="L2897" t="s">
        <v>13304</v>
      </c>
      <c r="Q2897" t="s">
        <v>13304</v>
      </c>
      <c r="S2897" t="s">
        <v>13305</v>
      </c>
      <c r="T2897" t="s">
        <v>13306</v>
      </c>
      <c r="U2897" t="s">
        <v>13307</v>
      </c>
      <c r="V2897" t="s">
        <v>13304</v>
      </c>
      <c r="W2897" t="s">
        <v>2668</v>
      </c>
      <c r="X2897" t="s">
        <v>13308</v>
      </c>
      <c r="Y2897">
        <v>0</v>
      </c>
      <c r="Z2897">
        <v>395</v>
      </c>
    </row>
    <row r="2898" spans="1:26">
      <c r="A2898" s="1">
        <v>2896</v>
      </c>
      <c r="B2898" t="str">
        <f>HYPERLINK("https://bugs.eclipse.org/bugs/show_bug.cgi?id=126372", "126372")</f>
        <v>126372</v>
      </c>
      <c r="C2898" t="s">
        <v>25</v>
      </c>
      <c r="D2898" t="s">
        <v>25</v>
      </c>
      <c r="F2898" t="s">
        <v>26</v>
      </c>
      <c r="T2898" t="s">
        <v>13309</v>
      </c>
      <c r="U2898" t="s">
        <v>13310</v>
      </c>
      <c r="V2898" t="s">
        <v>13311</v>
      </c>
      <c r="W2898" t="s">
        <v>851</v>
      </c>
      <c r="X2898" t="s">
        <v>13312</v>
      </c>
      <c r="Y2898">
        <v>3</v>
      </c>
    </row>
    <row r="2899" spans="1:26">
      <c r="A2899" s="1">
        <v>2897</v>
      </c>
      <c r="B2899" t="str">
        <f>HYPERLINK("https://bugs.eclipse.org/bugs/show_bug.cgi?id=126807", "126807")</f>
        <v>126807</v>
      </c>
      <c r="C2899" t="s">
        <v>88</v>
      </c>
      <c r="D2899" t="s">
        <v>10</v>
      </c>
      <c r="E2899" t="s">
        <v>13</v>
      </c>
      <c r="F2899" t="s">
        <v>26</v>
      </c>
      <c r="L2899" t="s">
        <v>13313</v>
      </c>
      <c r="O2899" t="s">
        <v>13314</v>
      </c>
      <c r="T2899" t="s">
        <v>13315</v>
      </c>
      <c r="U2899" t="s">
        <v>13316</v>
      </c>
      <c r="V2899" t="s">
        <v>13314</v>
      </c>
      <c r="W2899" t="s">
        <v>75</v>
      </c>
      <c r="X2899" t="s">
        <v>13317</v>
      </c>
      <c r="Y2899">
        <v>1</v>
      </c>
      <c r="Z2899">
        <v>1299.958333333333</v>
      </c>
    </row>
    <row r="2900" spans="1:26">
      <c r="A2900" s="1">
        <v>2898</v>
      </c>
      <c r="B2900" t="str">
        <f>HYPERLINK("https://bugs.eclipse.org/bugs/show_bug.cgi?id=126811", "126811")</f>
        <v>126811</v>
      </c>
      <c r="C2900" t="s">
        <v>149</v>
      </c>
      <c r="D2900" t="s">
        <v>10</v>
      </c>
      <c r="E2900" t="s">
        <v>12</v>
      </c>
      <c r="F2900" t="s">
        <v>26</v>
      </c>
      <c r="L2900" t="s">
        <v>13318</v>
      </c>
      <c r="N2900" t="s">
        <v>13318</v>
      </c>
      <c r="T2900" t="s">
        <v>13319</v>
      </c>
      <c r="U2900" t="s">
        <v>13320</v>
      </c>
      <c r="V2900" t="s">
        <v>13318</v>
      </c>
      <c r="W2900" t="s">
        <v>49</v>
      </c>
      <c r="X2900" t="s">
        <v>13321</v>
      </c>
      <c r="Y2900">
        <v>0</v>
      </c>
      <c r="Z2900">
        <v>1</v>
      </c>
    </row>
    <row r="2901" spans="1:26">
      <c r="A2901" s="1">
        <v>2899</v>
      </c>
      <c r="B2901" t="str">
        <f>HYPERLINK("https://bugs.eclipse.org/bugs/show_bug.cgi?id=126860", "126860")</f>
        <v>126860</v>
      </c>
      <c r="C2901" t="s">
        <v>56</v>
      </c>
      <c r="D2901" t="s">
        <v>10</v>
      </c>
      <c r="E2901" t="s">
        <v>14</v>
      </c>
      <c r="F2901" t="s">
        <v>26</v>
      </c>
      <c r="L2901" t="s">
        <v>13322</v>
      </c>
      <c r="P2901" t="s">
        <v>13323</v>
      </c>
      <c r="T2901" t="s">
        <v>13324</v>
      </c>
      <c r="U2901" t="s">
        <v>13325</v>
      </c>
      <c r="V2901" t="s">
        <v>13323</v>
      </c>
      <c r="W2901" t="s">
        <v>80</v>
      </c>
      <c r="X2901" t="s">
        <v>13326</v>
      </c>
      <c r="Y2901">
        <v>0</v>
      </c>
      <c r="Z2901">
        <v>1299.958333333333</v>
      </c>
    </row>
    <row r="2902" spans="1:26">
      <c r="A2902" s="1">
        <v>2900</v>
      </c>
      <c r="B2902" t="str">
        <f>HYPERLINK("https://bugs.eclipse.org/bugs/show_bug.cgi?id=126888", "126888")</f>
        <v>126888</v>
      </c>
      <c r="C2902" t="s">
        <v>149</v>
      </c>
      <c r="D2902" t="s">
        <v>10</v>
      </c>
      <c r="E2902" t="s">
        <v>12</v>
      </c>
      <c r="F2902" t="s">
        <v>26</v>
      </c>
      <c r="L2902" t="s">
        <v>13327</v>
      </c>
      <c r="N2902" t="s">
        <v>13327</v>
      </c>
      <c r="T2902" t="s">
        <v>13328</v>
      </c>
      <c r="U2902" t="s">
        <v>13329</v>
      </c>
      <c r="V2902" t="s">
        <v>13327</v>
      </c>
      <c r="W2902" t="s">
        <v>2668</v>
      </c>
      <c r="X2902" t="s">
        <v>13330</v>
      </c>
      <c r="Y2902">
        <v>0</v>
      </c>
      <c r="Z2902">
        <v>0</v>
      </c>
    </row>
    <row r="2903" spans="1:26">
      <c r="A2903" s="1">
        <v>2901</v>
      </c>
      <c r="B2903" t="str">
        <f>HYPERLINK("https://bugs.eclipse.org/bugs/show_bug.cgi?id=127023", "127023")</f>
        <v>127023</v>
      </c>
      <c r="C2903" t="s">
        <v>4692</v>
      </c>
      <c r="D2903" t="s">
        <v>4692</v>
      </c>
      <c r="F2903" t="s">
        <v>26</v>
      </c>
      <c r="T2903" t="s">
        <v>13331</v>
      </c>
      <c r="U2903" t="s">
        <v>13332</v>
      </c>
      <c r="V2903" t="s">
        <v>13333</v>
      </c>
      <c r="W2903" t="s">
        <v>2293</v>
      </c>
      <c r="X2903" t="s">
        <v>13334</v>
      </c>
      <c r="Y2903">
        <v>1</v>
      </c>
    </row>
    <row r="2904" spans="1:26">
      <c r="A2904" s="1">
        <v>2902</v>
      </c>
      <c r="B2904" t="str">
        <f>HYPERLINK("https://bugs.eclipse.org/bugs/show_bug.cgi?id=127034", "127034")</f>
        <v>127034</v>
      </c>
      <c r="C2904" t="s">
        <v>13335</v>
      </c>
      <c r="D2904" t="s">
        <v>10</v>
      </c>
      <c r="E2904" t="s">
        <v>15</v>
      </c>
      <c r="F2904" t="s">
        <v>26</v>
      </c>
      <c r="L2904" t="s">
        <v>13336</v>
      </c>
      <c r="Q2904" t="s">
        <v>13336</v>
      </c>
      <c r="T2904" t="s">
        <v>13337</v>
      </c>
      <c r="U2904" t="s">
        <v>13338</v>
      </c>
      <c r="V2904" t="s">
        <v>13336</v>
      </c>
      <c r="W2904" t="s">
        <v>49</v>
      </c>
      <c r="X2904" t="s">
        <v>13339</v>
      </c>
      <c r="Y2904">
        <v>0</v>
      </c>
      <c r="Z2904">
        <v>3</v>
      </c>
    </row>
    <row r="2905" spans="1:26">
      <c r="A2905" s="1">
        <v>2903</v>
      </c>
      <c r="B2905" t="str">
        <f>HYPERLINK("https://bugs.eclipse.org/bugs/show_bug.cgi?id=127046", "127046")</f>
        <v>127046</v>
      </c>
      <c r="C2905" t="s">
        <v>35</v>
      </c>
      <c r="D2905" t="s">
        <v>11</v>
      </c>
      <c r="E2905" t="s">
        <v>12</v>
      </c>
      <c r="F2905" t="s">
        <v>26</v>
      </c>
      <c r="L2905" t="s">
        <v>13340</v>
      </c>
      <c r="M2905" t="s">
        <v>13341</v>
      </c>
      <c r="N2905" t="s">
        <v>13340</v>
      </c>
      <c r="T2905" t="s">
        <v>13342</v>
      </c>
      <c r="U2905" t="s">
        <v>13343</v>
      </c>
      <c r="V2905" t="s">
        <v>13341</v>
      </c>
      <c r="W2905" t="s">
        <v>1954</v>
      </c>
      <c r="X2905" t="s">
        <v>13344</v>
      </c>
      <c r="Y2905">
        <v>3</v>
      </c>
      <c r="Z2905">
        <v>829.95833333333337</v>
      </c>
    </row>
    <row r="2906" spans="1:26">
      <c r="A2906" s="1">
        <v>2904</v>
      </c>
      <c r="B2906" t="str">
        <f>HYPERLINK("https://bugs.eclipse.org/bugs/show_bug.cgi?id=127065", "127065")</f>
        <v>127065</v>
      </c>
      <c r="C2906" t="s">
        <v>149</v>
      </c>
      <c r="D2906" t="s">
        <v>10</v>
      </c>
      <c r="E2906" t="s">
        <v>12</v>
      </c>
      <c r="F2906" t="s">
        <v>26</v>
      </c>
      <c r="L2906" t="s">
        <v>13345</v>
      </c>
      <c r="N2906" t="s">
        <v>13345</v>
      </c>
      <c r="T2906" t="s">
        <v>13346</v>
      </c>
      <c r="U2906" t="s">
        <v>13347</v>
      </c>
      <c r="V2906" t="s">
        <v>13345</v>
      </c>
      <c r="W2906" t="s">
        <v>2668</v>
      </c>
      <c r="X2906" t="s">
        <v>13348</v>
      </c>
      <c r="Y2906">
        <v>3</v>
      </c>
      <c r="Z2906">
        <v>39</v>
      </c>
    </row>
    <row r="2907" spans="1:26">
      <c r="A2907" s="1">
        <v>2905</v>
      </c>
      <c r="B2907" t="str">
        <f>HYPERLINK("https://bugs.eclipse.org/bugs/show_bug.cgi?id=127068", "127068")</f>
        <v>127068</v>
      </c>
      <c r="C2907" t="s">
        <v>56</v>
      </c>
      <c r="D2907" t="s">
        <v>10</v>
      </c>
      <c r="E2907" t="s">
        <v>14</v>
      </c>
      <c r="F2907" t="s">
        <v>26</v>
      </c>
      <c r="L2907" t="s">
        <v>13349</v>
      </c>
      <c r="P2907" t="s">
        <v>13349</v>
      </c>
      <c r="T2907" t="s">
        <v>13350</v>
      </c>
      <c r="U2907" t="s">
        <v>13349</v>
      </c>
      <c r="V2907" t="s">
        <v>13349</v>
      </c>
      <c r="W2907" t="s">
        <v>49</v>
      </c>
      <c r="X2907" t="s">
        <v>13351</v>
      </c>
      <c r="Y2907">
        <v>3</v>
      </c>
      <c r="Z2907">
        <v>3</v>
      </c>
    </row>
    <row r="2908" spans="1:26">
      <c r="A2908" s="1">
        <v>2906</v>
      </c>
      <c r="B2908" t="str">
        <f>HYPERLINK("https://bugs.eclipse.org/bugs/show_bug.cgi?id=127184", "127184")</f>
        <v>127184</v>
      </c>
      <c r="C2908" t="s">
        <v>149</v>
      </c>
      <c r="D2908" t="s">
        <v>10</v>
      </c>
      <c r="E2908" t="s">
        <v>12</v>
      </c>
      <c r="F2908" t="s">
        <v>26</v>
      </c>
      <c r="L2908" t="s">
        <v>13352</v>
      </c>
      <c r="N2908" t="s">
        <v>13352</v>
      </c>
      <c r="T2908" t="s">
        <v>13353</v>
      </c>
      <c r="U2908" t="s">
        <v>13354</v>
      </c>
      <c r="V2908" t="s">
        <v>13352</v>
      </c>
      <c r="W2908" t="s">
        <v>2668</v>
      </c>
      <c r="X2908" t="s">
        <v>13355</v>
      </c>
      <c r="Y2908">
        <v>1</v>
      </c>
      <c r="Z2908">
        <v>1</v>
      </c>
    </row>
    <row r="2909" spans="1:26">
      <c r="A2909" s="1">
        <v>2907</v>
      </c>
      <c r="B2909" t="str">
        <f>HYPERLINK("https://bugs.eclipse.org/bugs/show_bug.cgi?id=127210", "127210")</f>
        <v>127210</v>
      </c>
      <c r="C2909" t="s">
        <v>149</v>
      </c>
      <c r="D2909" t="s">
        <v>10</v>
      </c>
      <c r="E2909" t="s">
        <v>12</v>
      </c>
      <c r="F2909" t="s">
        <v>26</v>
      </c>
      <c r="L2909" t="s">
        <v>13356</v>
      </c>
      <c r="N2909" t="s">
        <v>13356</v>
      </c>
      <c r="T2909" t="s">
        <v>13357</v>
      </c>
      <c r="U2909" t="s">
        <v>13358</v>
      </c>
      <c r="V2909" t="s">
        <v>13356</v>
      </c>
      <c r="W2909" t="s">
        <v>2668</v>
      </c>
      <c r="X2909" t="s">
        <v>13359</v>
      </c>
      <c r="Y2909">
        <v>1</v>
      </c>
      <c r="Z2909">
        <v>4</v>
      </c>
    </row>
    <row r="2910" spans="1:26">
      <c r="A2910" s="1">
        <v>2908</v>
      </c>
      <c r="B2910" t="str">
        <f>HYPERLINK("https://bugs.eclipse.org/bugs/show_bug.cgi?id=127322", "127322")</f>
        <v>127322</v>
      </c>
      <c r="C2910" t="s">
        <v>149</v>
      </c>
      <c r="D2910" t="s">
        <v>10</v>
      </c>
      <c r="E2910" t="s">
        <v>12</v>
      </c>
      <c r="F2910" t="s">
        <v>26</v>
      </c>
      <c r="L2910" t="s">
        <v>13360</v>
      </c>
      <c r="N2910" t="s">
        <v>13360</v>
      </c>
      <c r="T2910" t="s">
        <v>13361</v>
      </c>
      <c r="U2910" t="s">
        <v>13362</v>
      </c>
      <c r="V2910" t="s">
        <v>13360</v>
      </c>
      <c r="W2910" t="s">
        <v>851</v>
      </c>
      <c r="X2910" t="s">
        <v>13363</v>
      </c>
      <c r="Y2910">
        <v>7</v>
      </c>
      <c r="Z2910">
        <v>14</v>
      </c>
    </row>
    <row r="2911" spans="1:26">
      <c r="A2911" s="1">
        <v>2909</v>
      </c>
      <c r="B2911" t="str">
        <f>HYPERLINK("https://bugs.eclipse.org/bugs/show_bug.cgi?id=127346", "127346")</f>
        <v>127346</v>
      </c>
      <c r="C2911" t="s">
        <v>35</v>
      </c>
      <c r="D2911" t="s">
        <v>11</v>
      </c>
      <c r="E2911" t="s">
        <v>12</v>
      </c>
      <c r="F2911" t="s">
        <v>26</v>
      </c>
      <c r="L2911" t="s">
        <v>13364</v>
      </c>
      <c r="M2911" t="s">
        <v>13365</v>
      </c>
      <c r="N2911" t="s">
        <v>13364</v>
      </c>
      <c r="T2911" t="s">
        <v>13366</v>
      </c>
      <c r="U2911" t="s">
        <v>13367</v>
      </c>
      <c r="V2911" t="s">
        <v>13365</v>
      </c>
      <c r="W2911" t="s">
        <v>13368</v>
      </c>
      <c r="X2911" t="s">
        <v>13369</v>
      </c>
      <c r="Y2911">
        <v>0</v>
      </c>
      <c r="Z2911">
        <v>3</v>
      </c>
    </row>
    <row r="2912" spans="1:26">
      <c r="A2912" s="1">
        <v>2910</v>
      </c>
      <c r="B2912" t="str">
        <f>HYPERLINK("https://bugs.eclipse.org/bugs/show_bug.cgi?id=127447", "127447")</f>
        <v>127447</v>
      </c>
      <c r="C2912" t="s">
        <v>35</v>
      </c>
      <c r="D2912" t="s">
        <v>11</v>
      </c>
      <c r="E2912" t="s">
        <v>12</v>
      </c>
      <c r="F2912" t="s">
        <v>26</v>
      </c>
      <c r="L2912" t="s">
        <v>13370</v>
      </c>
      <c r="M2912" t="s">
        <v>13371</v>
      </c>
      <c r="N2912" t="s">
        <v>13370</v>
      </c>
      <c r="T2912" t="s">
        <v>13372</v>
      </c>
      <c r="U2912" t="s">
        <v>13373</v>
      </c>
      <c r="V2912" t="s">
        <v>13371</v>
      </c>
      <c r="W2912" t="s">
        <v>2668</v>
      </c>
      <c r="X2912" t="s">
        <v>13374</v>
      </c>
      <c r="Y2912">
        <v>0</v>
      </c>
      <c r="Z2912">
        <v>1</v>
      </c>
    </row>
    <row r="2913" spans="1:26">
      <c r="A2913" s="1">
        <v>2911</v>
      </c>
      <c r="B2913" t="str">
        <f>HYPERLINK("https://bugs.eclipse.org/bugs/show_bug.cgi?id=127487", "127487")</f>
        <v>127487</v>
      </c>
      <c r="C2913" t="s">
        <v>191</v>
      </c>
      <c r="D2913" t="s">
        <v>192</v>
      </c>
      <c r="E2913" t="s">
        <v>14</v>
      </c>
      <c r="F2913" t="s">
        <v>26</v>
      </c>
      <c r="L2913" t="s">
        <v>13375</v>
      </c>
      <c r="P2913" t="s">
        <v>13375</v>
      </c>
      <c r="S2913" t="s">
        <v>13376</v>
      </c>
      <c r="T2913" t="s">
        <v>13377</v>
      </c>
      <c r="U2913" t="s">
        <v>13378</v>
      </c>
      <c r="V2913" t="s">
        <v>13379</v>
      </c>
      <c r="W2913" t="s">
        <v>1402</v>
      </c>
      <c r="X2913" t="s">
        <v>13380</v>
      </c>
      <c r="Y2913">
        <v>2</v>
      </c>
      <c r="Z2913">
        <v>241.95833333333329</v>
      </c>
    </row>
    <row r="2914" spans="1:26">
      <c r="A2914" s="1">
        <v>2912</v>
      </c>
      <c r="B2914" t="str">
        <f>HYPERLINK("https://bugs.eclipse.org/bugs/show_bug.cgi?id=127556", "127556")</f>
        <v>127556</v>
      </c>
      <c r="C2914" t="s">
        <v>35</v>
      </c>
      <c r="D2914" t="s">
        <v>11</v>
      </c>
      <c r="E2914" t="s">
        <v>12</v>
      </c>
      <c r="F2914" t="s">
        <v>26</v>
      </c>
      <c r="L2914" t="s">
        <v>13381</v>
      </c>
      <c r="M2914" t="s">
        <v>13382</v>
      </c>
      <c r="N2914" t="s">
        <v>13381</v>
      </c>
      <c r="T2914" t="s">
        <v>13383</v>
      </c>
      <c r="U2914" t="s">
        <v>13384</v>
      </c>
      <c r="V2914" t="s">
        <v>13382</v>
      </c>
      <c r="W2914" t="s">
        <v>1954</v>
      </c>
      <c r="X2914" t="s">
        <v>13385</v>
      </c>
      <c r="Y2914">
        <v>0</v>
      </c>
      <c r="Z2914">
        <v>3</v>
      </c>
    </row>
    <row r="2915" spans="1:26">
      <c r="A2915" s="1">
        <v>2913</v>
      </c>
      <c r="B2915" t="str">
        <f>HYPERLINK("https://bugs.eclipse.org/bugs/show_bug.cgi?id=127633", "127633")</f>
        <v>127633</v>
      </c>
      <c r="C2915" t="s">
        <v>56</v>
      </c>
      <c r="D2915" t="s">
        <v>10</v>
      </c>
      <c r="E2915" t="s">
        <v>14</v>
      </c>
      <c r="F2915" t="s">
        <v>26</v>
      </c>
      <c r="L2915" t="s">
        <v>13386</v>
      </c>
      <c r="P2915" t="s">
        <v>13386</v>
      </c>
      <c r="T2915" t="s">
        <v>13387</v>
      </c>
      <c r="U2915" t="s">
        <v>13386</v>
      </c>
      <c r="V2915" t="s">
        <v>13386</v>
      </c>
      <c r="W2915" t="s">
        <v>49</v>
      </c>
      <c r="X2915" t="s">
        <v>13388</v>
      </c>
      <c r="Y2915">
        <v>0</v>
      </c>
      <c r="Z2915">
        <v>0</v>
      </c>
    </row>
    <row r="2916" spans="1:26">
      <c r="A2916" s="1">
        <v>2914</v>
      </c>
      <c r="B2916" t="str">
        <f>HYPERLINK("https://bugs.eclipse.org/bugs/show_bug.cgi?id=127634", "127634")</f>
        <v>127634</v>
      </c>
      <c r="C2916" t="s">
        <v>88</v>
      </c>
      <c r="D2916" t="s">
        <v>10</v>
      </c>
      <c r="E2916" t="s">
        <v>13</v>
      </c>
      <c r="F2916" t="s">
        <v>26</v>
      </c>
      <c r="L2916" t="s">
        <v>13389</v>
      </c>
      <c r="O2916" t="s">
        <v>13389</v>
      </c>
      <c r="T2916" t="s">
        <v>13390</v>
      </c>
      <c r="U2916" t="s">
        <v>13389</v>
      </c>
      <c r="V2916" t="s">
        <v>13389</v>
      </c>
      <c r="W2916" t="s">
        <v>1954</v>
      </c>
      <c r="X2916" t="s">
        <v>13391</v>
      </c>
      <c r="Y2916">
        <v>0</v>
      </c>
      <c r="Z2916">
        <v>0</v>
      </c>
    </row>
    <row r="2917" spans="1:26">
      <c r="A2917" s="1">
        <v>2915</v>
      </c>
      <c r="B2917" t="str">
        <f>HYPERLINK("https://bugs.eclipse.org/bugs/show_bug.cgi?id=127637", "127637")</f>
        <v>127637</v>
      </c>
      <c r="C2917" t="s">
        <v>56</v>
      </c>
      <c r="D2917" t="s">
        <v>10</v>
      </c>
      <c r="E2917" t="s">
        <v>14</v>
      </c>
      <c r="F2917" t="s">
        <v>26</v>
      </c>
      <c r="L2917" t="s">
        <v>13392</v>
      </c>
      <c r="P2917" t="s">
        <v>13393</v>
      </c>
      <c r="T2917" t="s">
        <v>13394</v>
      </c>
      <c r="U2917" t="s">
        <v>13392</v>
      </c>
      <c r="V2917" t="s">
        <v>13393</v>
      </c>
      <c r="W2917" t="s">
        <v>75</v>
      </c>
      <c r="X2917" t="s">
        <v>13395</v>
      </c>
      <c r="Y2917">
        <v>10</v>
      </c>
      <c r="Z2917">
        <v>1292.958333333333</v>
      </c>
    </row>
    <row r="2918" spans="1:26">
      <c r="A2918" s="1">
        <v>2916</v>
      </c>
      <c r="B2918" t="str">
        <f>HYPERLINK("https://bugs.eclipse.org/bugs/show_bug.cgi?id=127640", "127640")</f>
        <v>127640</v>
      </c>
      <c r="C2918" t="s">
        <v>149</v>
      </c>
      <c r="D2918" t="s">
        <v>10</v>
      </c>
      <c r="E2918" t="s">
        <v>12</v>
      </c>
      <c r="F2918" t="s">
        <v>26</v>
      </c>
      <c r="L2918" t="s">
        <v>13396</v>
      </c>
      <c r="N2918" t="s">
        <v>13396</v>
      </c>
      <c r="T2918" t="s">
        <v>13397</v>
      </c>
      <c r="U2918" t="s">
        <v>13398</v>
      </c>
      <c r="V2918" t="s">
        <v>13396</v>
      </c>
      <c r="W2918" t="s">
        <v>1954</v>
      </c>
      <c r="X2918" t="s">
        <v>13399</v>
      </c>
      <c r="Y2918">
        <v>0</v>
      </c>
      <c r="Z2918">
        <v>34</v>
      </c>
    </row>
    <row r="2919" spans="1:26">
      <c r="A2919" s="1">
        <v>2917</v>
      </c>
      <c r="B2919" t="str">
        <f>HYPERLINK("https://bugs.eclipse.org/bugs/show_bug.cgi?id=127645", "127645")</f>
        <v>127645</v>
      </c>
      <c r="C2919" t="s">
        <v>149</v>
      </c>
      <c r="D2919" t="s">
        <v>10</v>
      </c>
      <c r="E2919" t="s">
        <v>12</v>
      </c>
      <c r="F2919" t="s">
        <v>26</v>
      </c>
      <c r="L2919" t="s">
        <v>13400</v>
      </c>
      <c r="N2919" t="s">
        <v>13400</v>
      </c>
      <c r="T2919" t="s">
        <v>13401</v>
      </c>
      <c r="U2919" t="s">
        <v>13402</v>
      </c>
      <c r="V2919" t="s">
        <v>13400</v>
      </c>
      <c r="W2919" t="s">
        <v>1954</v>
      </c>
      <c r="X2919" t="s">
        <v>13403</v>
      </c>
      <c r="Y2919">
        <v>0</v>
      </c>
      <c r="Z2919">
        <v>17</v>
      </c>
    </row>
    <row r="2920" spans="1:26">
      <c r="A2920" s="1">
        <v>2918</v>
      </c>
      <c r="B2920" t="str">
        <f>HYPERLINK("https://bugs.eclipse.org/bugs/show_bug.cgi?id=127649", "127649")</f>
        <v>127649</v>
      </c>
      <c r="C2920" t="s">
        <v>25</v>
      </c>
      <c r="D2920" t="s">
        <v>25</v>
      </c>
      <c r="F2920" t="s">
        <v>26</v>
      </c>
      <c r="T2920" t="s">
        <v>13404</v>
      </c>
      <c r="U2920" t="s">
        <v>13405</v>
      </c>
      <c r="V2920" t="s">
        <v>13406</v>
      </c>
      <c r="W2920" t="s">
        <v>65</v>
      </c>
      <c r="X2920" t="s">
        <v>13407</v>
      </c>
      <c r="Y2920">
        <v>0</v>
      </c>
    </row>
    <row r="2921" spans="1:26">
      <c r="A2921" s="1">
        <v>2919</v>
      </c>
      <c r="B2921" t="str">
        <f>HYPERLINK("https://bugs.eclipse.org/bugs/show_bug.cgi?id=127654", "127654")</f>
        <v>127654</v>
      </c>
      <c r="C2921" t="s">
        <v>149</v>
      </c>
      <c r="D2921" t="s">
        <v>10</v>
      </c>
      <c r="E2921" t="s">
        <v>12</v>
      </c>
      <c r="F2921" t="s">
        <v>26</v>
      </c>
      <c r="G2921" t="s">
        <v>13408</v>
      </c>
      <c r="L2921" t="s">
        <v>13409</v>
      </c>
      <c r="N2921" t="s">
        <v>13409</v>
      </c>
      <c r="T2921" t="s">
        <v>13410</v>
      </c>
      <c r="U2921" t="s">
        <v>13411</v>
      </c>
      <c r="V2921" t="s">
        <v>13409</v>
      </c>
      <c r="W2921" t="s">
        <v>86</v>
      </c>
      <c r="X2921" t="s">
        <v>13412</v>
      </c>
      <c r="Y2921">
        <v>0</v>
      </c>
      <c r="Z2921">
        <v>47.958333333333343</v>
      </c>
    </row>
    <row r="2922" spans="1:26">
      <c r="A2922" s="1">
        <v>2920</v>
      </c>
      <c r="B2922" t="str">
        <f>HYPERLINK("https://bugs.eclipse.org/bugs/show_bug.cgi?id=127659", "127659")</f>
        <v>127659</v>
      </c>
      <c r="C2922" t="s">
        <v>149</v>
      </c>
      <c r="D2922" t="s">
        <v>10</v>
      </c>
      <c r="E2922" t="s">
        <v>12</v>
      </c>
      <c r="F2922" t="s">
        <v>26</v>
      </c>
      <c r="L2922" t="s">
        <v>13413</v>
      </c>
      <c r="N2922" t="s">
        <v>13413</v>
      </c>
      <c r="T2922" t="s">
        <v>13414</v>
      </c>
      <c r="U2922" t="s">
        <v>13415</v>
      </c>
      <c r="V2922" t="s">
        <v>13413</v>
      </c>
      <c r="W2922" t="s">
        <v>2668</v>
      </c>
      <c r="X2922" t="s">
        <v>13416</v>
      </c>
      <c r="Y2922">
        <v>0</v>
      </c>
      <c r="Z2922">
        <v>55.958333333333343</v>
      </c>
    </row>
    <row r="2923" spans="1:26">
      <c r="A2923" s="1">
        <v>2921</v>
      </c>
      <c r="B2923" t="str">
        <f>HYPERLINK("https://bugs.eclipse.org/bugs/show_bug.cgi?id=127660", "127660")</f>
        <v>127660</v>
      </c>
      <c r="C2923" t="s">
        <v>149</v>
      </c>
      <c r="D2923" t="s">
        <v>10</v>
      </c>
      <c r="E2923" t="s">
        <v>12</v>
      </c>
      <c r="F2923" t="s">
        <v>26</v>
      </c>
      <c r="L2923" t="s">
        <v>13417</v>
      </c>
      <c r="N2923" t="s">
        <v>13417</v>
      </c>
      <c r="T2923" t="s">
        <v>13418</v>
      </c>
      <c r="U2923" t="s">
        <v>13419</v>
      </c>
      <c r="V2923" t="s">
        <v>13417</v>
      </c>
      <c r="W2923" t="s">
        <v>2668</v>
      </c>
      <c r="X2923" t="s">
        <v>13420</v>
      </c>
      <c r="Y2923">
        <v>0</v>
      </c>
      <c r="Z2923">
        <v>53.958333333333343</v>
      </c>
    </row>
    <row r="2924" spans="1:26">
      <c r="A2924" s="1">
        <v>2922</v>
      </c>
      <c r="B2924" t="str">
        <f>HYPERLINK("https://bugs.eclipse.org/bugs/show_bug.cgi?id=127661", "127661")</f>
        <v>127661</v>
      </c>
      <c r="C2924" t="s">
        <v>35</v>
      </c>
      <c r="D2924" t="s">
        <v>11</v>
      </c>
      <c r="E2924" t="s">
        <v>12</v>
      </c>
      <c r="F2924" t="s">
        <v>26</v>
      </c>
      <c r="G2924" t="s">
        <v>13421</v>
      </c>
      <c r="L2924" t="s">
        <v>13422</v>
      </c>
      <c r="M2924" t="s">
        <v>13423</v>
      </c>
      <c r="N2924" t="s">
        <v>13422</v>
      </c>
      <c r="T2924" t="s">
        <v>13424</v>
      </c>
      <c r="U2924" t="s">
        <v>13425</v>
      </c>
      <c r="V2924" t="s">
        <v>13423</v>
      </c>
      <c r="W2924" t="s">
        <v>1954</v>
      </c>
      <c r="X2924" t="s">
        <v>13426</v>
      </c>
      <c r="Y2924">
        <v>0</v>
      </c>
      <c r="Z2924">
        <v>2</v>
      </c>
    </row>
    <row r="2925" spans="1:26">
      <c r="A2925" s="1">
        <v>2923</v>
      </c>
      <c r="B2925" t="str">
        <f>HYPERLINK("https://bugs.eclipse.org/bugs/show_bug.cgi?id=127662", "127662")</f>
        <v>127662</v>
      </c>
      <c r="C2925" t="s">
        <v>191</v>
      </c>
      <c r="D2925" t="s">
        <v>192</v>
      </c>
      <c r="E2925" t="s">
        <v>14</v>
      </c>
      <c r="F2925" t="s">
        <v>26</v>
      </c>
      <c r="P2925" t="s">
        <v>13427</v>
      </c>
      <c r="T2925" t="s">
        <v>13428</v>
      </c>
      <c r="U2925" t="s">
        <v>13429</v>
      </c>
      <c r="V2925" t="s">
        <v>13427</v>
      </c>
      <c r="W2925" t="s">
        <v>65</v>
      </c>
      <c r="X2925" t="s">
        <v>13430</v>
      </c>
      <c r="Y2925">
        <v>0</v>
      </c>
      <c r="Z2925">
        <v>5164.958333333333</v>
      </c>
    </row>
    <row r="2926" spans="1:26">
      <c r="A2926" s="1">
        <v>2924</v>
      </c>
      <c r="B2926" t="str">
        <f>HYPERLINK("https://bugs.eclipse.org/bugs/show_bug.cgi?id=127663", "127663")</f>
        <v>127663</v>
      </c>
      <c r="C2926" t="s">
        <v>191</v>
      </c>
      <c r="D2926" t="s">
        <v>192</v>
      </c>
      <c r="E2926" t="s">
        <v>14</v>
      </c>
      <c r="F2926" t="s">
        <v>26</v>
      </c>
      <c r="P2926" t="s">
        <v>13431</v>
      </c>
      <c r="T2926" t="s">
        <v>13432</v>
      </c>
      <c r="U2926" t="s">
        <v>13433</v>
      </c>
      <c r="V2926" t="s">
        <v>13431</v>
      </c>
      <c r="W2926" t="s">
        <v>65</v>
      </c>
      <c r="X2926" t="s">
        <v>13434</v>
      </c>
      <c r="Y2926">
        <v>0</v>
      </c>
      <c r="Z2926">
        <v>5170.958333333333</v>
      </c>
    </row>
    <row r="2927" spans="1:26">
      <c r="A2927" s="1">
        <v>2925</v>
      </c>
      <c r="B2927" t="str">
        <f>HYPERLINK("https://bugs.eclipse.org/bugs/show_bug.cgi?id=127664", "127664")</f>
        <v>127664</v>
      </c>
      <c r="C2927" t="s">
        <v>140</v>
      </c>
      <c r="D2927" t="s">
        <v>10</v>
      </c>
      <c r="E2927" t="s">
        <v>16</v>
      </c>
      <c r="F2927" t="s">
        <v>26</v>
      </c>
      <c r="L2927" t="s">
        <v>13435</v>
      </c>
      <c r="R2927" t="s">
        <v>13435</v>
      </c>
      <c r="T2927" t="s">
        <v>13436</v>
      </c>
      <c r="U2927" t="s">
        <v>13437</v>
      </c>
      <c r="V2927" t="s">
        <v>13435</v>
      </c>
      <c r="W2927" t="s">
        <v>2668</v>
      </c>
      <c r="X2927" t="s">
        <v>13438</v>
      </c>
      <c r="Y2927">
        <v>0</v>
      </c>
      <c r="Z2927">
        <v>1</v>
      </c>
    </row>
    <row r="2928" spans="1:26">
      <c r="A2928" s="1">
        <v>2926</v>
      </c>
      <c r="B2928" t="str">
        <f>HYPERLINK("https://bugs.eclipse.org/bugs/show_bug.cgi?id=127665", "127665")</f>
        <v>127665</v>
      </c>
      <c r="C2928" t="s">
        <v>149</v>
      </c>
      <c r="D2928" t="s">
        <v>10</v>
      </c>
      <c r="E2928" t="s">
        <v>12</v>
      </c>
      <c r="F2928" t="s">
        <v>26</v>
      </c>
      <c r="L2928" t="s">
        <v>13439</v>
      </c>
      <c r="N2928" t="s">
        <v>13439</v>
      </c>
      <c r="T2928" t="s">
        <v>13440</v>
      </c>
      <c r="U2928" t="s">
        <v>13441</v>
      </c>
      <c r="V2928" t="s">
        <v>13439</v>
      </c>
      <c r="W2928" t="s">
        <v>851</v>
      </c>
      <c r="X2928" t="s">
        <v>13442</v>
      </c>
      <c r="Y2928">
        <v>0</v>
      </c>
      <c r="Z2928">
        <v>47.958333333333343</v>
      </c>
    </row>
    <row r="2929" spans="1:26">
      <c r="A2929" s="1">
        <v>2927</v>
      </c>
      <c r="B2929" t="str">
        <f>HYPERLINK("https://bugs.eclipse.org/bugs/show_bug.cgi?id=127667", "127667")</f>
        <v>127667</v>
      </c>
      <c r="C2929" t="s">
        <v>13443</v>
      </c>
      <c r="D2929" t="s">
        <v>10</v>
      </c>
      <c r="E2929" t="s">
        <v>15</v>
      </c>
      <c r="F2929" t="s">
        <v>26</v>
      </c>
      <c r="L2929" t="s">
        <v>13444</v>
      </c>
      <c r="Q2929" t="s">
        <v>13444</v>
      </c>
      <c r="T2929" t="s">
        <v>13445</v>
      </c>
      <c r="U2929" t="s">
        <v>13444</v>
      </c>
      <c r="V2929" t="s">
        <v>13444</v>
      </c>
      <c r="W2929" t="s">
        <v>2668</v>
      </c>
      <c r="X2929" t="s">
        <v>13446</v>
      </c>
      <c r="Y2929">
        <v>0</v>
      </c>
      <c r="Z2929">
        <v>0</v>
      </c>
    </row>
    <row r="2930" spans="1:26">
      <c r="A2930" s="1">
        <v>2928</v>
      </c>
      <c r="B2930" t="str">
        <f>HYPERLINK("https://bugs.eclipse.org/bugs/show_bug.cgi?id=127668", "127668")</f>
        <v>127668</v>
      </c>
      <c r="C2930" t="s">
        <v>149</v>
      </c>
      <c r="D2930" t="s">
        <v>10</v>
      </c>
      <c r="E2930" t="s">
        <v>12</v>
      </c>
      <c r="F2930" t="s">
        <v>26</v>
      </c>
      <c r="G2930" t="s">
        <v>13447</v>
      </c>
      <c r="L2930" t="s">
        <v>13448</v>
      </c>
      <c r="N2930" t="s">
        <v>13448</v>
      </c>
      <c r="T2930" t="s">
        <v>13449</v>
      </c>
      <c r="U2930" t="s">
        <v>13450</v>
      </c>
      <c r="V2930" t="s">
        <v>13448</v>
      </c>
      <c r="W2930" t="s">
        <v>1954</v>
      </c>
      <c r="X2930" t="s">
        <v>13451</v>
      </c>
      <c r="Y2930">
        <v>0</v>
      </c>
      <c r="Z2930">
        <v>29</v>
      </c>
    </row>
    <row r="2931" spans="1:26">
      <c r="A2931" s="1">
        <v>2929</v>
      </c>
      <c r="B2931" t="str">
        <f>HYPERLINK("https://bugs.eclipse.org/bugs/show_bug.cgi?id=127723", "127723")</f>
        <v>127723</v>
      </c>
      <c r="C2931" t="s">
        <v>149</v>
      </c>
      <c r="D2931" t="s">
        <v>10</v>
      </c>
      <c r="E2931" t="s">
        <v>12</v>
      </c>
      <c r="F2931" t="s">
        <v>26</v>
      </c>
      <c r="L2931" t="s">
        <v>13452</v>
      </c>
      <c r="N2931" t="s">
        <v>13452</v>
      </c>
      <c r="T2931" t="s">
        <v>13453</v>
      </c>
      <c r="U2931" t="s">
        <v>13454</v>
      </c>
      <c r="V2931" t="s">
        <v>13452</v>
      </c>
      <c r="W2931" t="s">
        <v>2668</v>
      </c>
      <c r="X2931" t="s">
        <v>13455</v>
      </c>
      <c r="Y2931">
        <v>0</v>
      </c>
      <c r="Z2931">
        <v>10</v>
      </c>
    </row>
    <row r="2932" spans="1:26">
      <c r="A2932" s="1">
        <v>2930</v>
      </c>
      <c r="B2932" t="str">
        <f>HYPERLINK("https://bugs.eclipse.org/bugs/show_bug.cgi?id=127727", "127727")</f>
        <v>127727</v>
      </c>
      <c r="C2932" t="s">
        <v>149</v>
      </c>
      <c r="D2932" t="s">
        <v>10</v>
      </c>
      <c r="E2932" t="s">
        <v>12</v>
      </c>
      <c r="F2932" t="s">
        <v>26</v>
      </c>
      <c r="L2932" t="s">
        <v>13456</v>
      </c>
      <c r="N2932" t="s">
        <v>13456</v>
      </c>
      <c r="T2932" t="s">
        <v>13457</v>
      </c>
      <c r="U2932" t="s">
        <v>13458</v>
      </c>
      <c r="V2932" t="s">
        <v>13456</v>
      </c>
      <c r="W2932" t="s">
        <v>2668</v>
      </c>
      <c r="X2932" t="s">
        <v>13459</v>
      </c>
      <c r="Y2932">
        <v>0</v>
      </c>
      <c r="Z2932">
        <v>20</v>
      </c>
    </row>
    <row r="2933" spans="1:26">
      <c r="A2933" s="1">
        <v>2931</v>
      </c>
      <c r="B2933" t="str">
        <f>HYPERLINK("https://bugs.eclipse.org/bugs/show_bug.cgi?id=127733", "127733")</f>
        <v>127733</v>
      </c>
      <c r="C2933" t="s">
        <v>149</v>
      </c>
      <c r="D2933" t="s">
        <v>10</v>
      </c>
      <c r="E2933" t="s">
        <v>12</v>
      </c>
      <c r="F2933" t="s">
        <v>26</v>
      </c>
      <c r="L2933" t="s">
        <v>13460</v>
      </c>
      <c r="N2933" t="s">
        <v>13460</v>
      </c>
      <c r="T2933" t="s">
        <v>13461</v>
      </c>
      <c r="U2933" t="s">
        <v>13460</v>
      </c>
      <c r="V2933" t="s">
        <v>13460</v>
      </c>
      <c r="W2933" t="s">
        <v>2668</v>
      </c>
      <c r="X2933" t="s">
        <v>13462</v>
      </c>
      <c r="Y2933">
        <v>3</v>
      </c>
      <c r="Z2933">
        <v>3</v>
      </c>
    </row>
    <row r="2934" spans="1:26">
      <c r="A2934" s="1">
        <v>2932</v>
      </c>
      <c r="B2934" t="str">
        <f>HYPERLINK("https://bugs.eclipse.org/bugs/show_bug.cgi?id=127741", "127741")</f>
        <v>127741</v>
      </c>
      <c r="C2934" t="s">
        <v>35</v>
      </c>
      <c r="D2934" t="s">
        <v>11</v>
      </c>
      <c r="E2934" t="s">
        <v>12</v>
      </c>
      <c r="F2934" t="s">
        <v>26</v>
      </c>
      <c r="L2934" t="s">
        <v>13463</v>
      </c>
      <c r="M2934" t="s">
        <v>13464</v>
      </c>
      <c r="N2934" t="s">
        <v>13463</v>
      </c>
      <c r="T2934" t="s">
        <v>13465</v>
      </c>
      <c r="U2934" t="s">
        <v>13466</v>
      </c>
      <c r="V2934" t="s">
        <v>13464</v>
      </c>
      <c r="W2934" t="s">
        <v>1954</v>
      </c>
      <c r="X2934" t="s">
        <v>13467</v>
      </c>
      <c r="Y2934">
        <v>0</v>
      </c>
      <c r="Z2934">
        <v>2</v>
      </c>
    </row>
    <row r="2935" spans="1:26">
      <c r="A2935" s="1">
        <v>2933</v>
      </c>
      <c r="B2935" t="str">
        <f>HYPERLINK("https://bugs.eclipse.org/bugs/show_bug.cgi?id=127777", "127777")</f>
        <v>127777</v>
      </c>
      <c r="C2935" t="s">
        <v>149</v>
      </c>
      <c r="D2935" t="s">
        <v>10</v>
      </c>
      <c r="E2935" t="s">
        <v>12</v>
      </c>
      <c r="F2935" t="s">
        <v>26</v>
      </c>
      <c r="L2935" t="s">
        <v>13468</v>
      </c>
      <c r="N2935" t="s">
        <v>13468</v>
      </c>
      <c r="T2935" t="s">
        <v>13469</v>
      </c>
      <c r="U2935" t="s">
        <v>13470</v>
      </c>
      <c r="V2935" t="s">
        <v>13468</v>
      </c>
      <c r="W2935" t="s">
        <v>2668</v>
      </c>
      <c r="X2935" t="s">
        <v>13471</v>
      </c>
      <c r="Y2935">
        <v>0</v>
      </c>
      <c r="Z2935">
        <v>2</v>
      </c>
    </row>
    <row r="2936" spans="1:26">
      <c r="A2936" s="1">
        <v>2934</v>
      </c>
      <c r="B2936" t="str">
        <f>HYPERLINK("https://bugs.eclipse.org/bugs/show_bug.cgi?id=127892", "127892")</f>
        <v>127892</v>
      </c>
      <c r="C2936" t="s">
        <v>149</v>
      </c>
      <c r="D2936" t="s">
        <v>10</v>
      </c>
      <c r="E2936" t="s">
        <v>12</v>
      </c>
      <c r="F2936" t="s">
        <v>51</v>
      </c>
      <c r="L2936" t="s">
        <v>13472</v>
      </c>
      <c r="N2936" t="s">
        <v>13472</v>
      </c>
      <c r="T2936" t="s">
        <v>13473</v>
      </c>
      <c r="U2936" t="s">
        <v>13474</v>
      </c>
      <c r="V2936" t="s">
        <v>13472</v>
      </c>
      <c r="W2936" t="s">
        <v>49</v>
      </c>
      <c r="X2936" t="s">
        <v>13475</v>
      </c>
      <c r="Y2936">
        <v>0</v>
      </c>
      <c r="Z2936">
        <v>111.9583333333333</v>
      </c>
    </row>
    <row r="2937" spans="1:26">
      <c r="A2937" s="1">
        <v>2935</v>
      </c>
      <c r="B2937" t="str">
        <f>HYPERLINK("https://bugs.eclipse.org/bugs/show_bug.cgi?id=127981", "127981")</f>
        <v>127981</v>
      </c>
      <c r="C2937" t="s">
        <v>13476</v>
      </c>
      <c r="D2937" t="s">
        <v>10</v>
      </c>
      <c r="E2937" t="s">
        <v>15</v>
      </c>
      <c r="F2937" t="s">
        <v>26</v>
      </c>
      <c r="L2937" t="s">
        <v>13477</v>
      </c>
      <c r="Q2937" t="s">
        <v>13477</v>
      </c>
      <c r="T2937" t="s">
        <v>13478</v>
      </c>
      <c r="U2937" t="s">
        <v>13477</v>
      </c>
      <c r="V2937" t="s">
        <v>13477</v>
      </c>
      <c r="W2937" t="s">
        <v>143</v>
      </c>
      <c r="X2937" t="s">
        <v>13479</v>
      </c>
      <c r="Y2937">
        <v>0</v>
      </c>
      <c r="Z2937">
        <v>0</v>
      </c>
    </row>
    <row r="2938" spans="1:26">
      <c r="A2938" s="1">
        <v>2936</v>
      </c>
      <c r="B2938" t="str">
        <f>HYPERLINK("https://bugs.eclipse.org/bugs/show_bug.cgi?id=127984", "127984")</f>
        <v>127984</v>
      </c>
      <c r="C2938" t="s">
        <v>35</v>
      </c>
      <c r="D2938" t="s">
        <v>11</v>
      </c>
      <c r="E2938" t="s">
        <v>12</v>
      </c>
      <c r="F2938" t="s">
        <v>26</v>
      </c>
      <c r="L2938" t="s">
        <v>13480</v>
      </c>
      <c r="M2938" t="s">
        <v>13481</v>
      </c>
      <c r="N2938" t="s">
        <v>13480</v>
      </c>
      <c r="T2938" t="s">
        <v>13482</v>
      </c>
      <c r="U2938" t="s">
        <v>13483</v>
      </c>
      <c r="V2938" t="s">
        <v>13481</v>
      </c>
      <c r="W2938" t="s">
        <v>9266</v>
      </c>
      <c r="X2938" t="s">
        <v>13484</v>
      </c>
      <c r="Y2938">
        <v>1</v>
      </c>
      <c r="Z2938">
        <v>4983.958333333333</v>
      </c>
    </row>
    <row r="2939" spans="1:26">
      <c r="A2939" s="1">
        <v>2937</v>
      </c>
      <c r="B2939" t="str">
        <f>HYPERLINK("https://bugs.eclipse.org/bugs/show_bug.cgi?id=127995", "127995")</f>
        <v>127995</v>
      </c>
      <c r="C2939" t="s">
        <v>149</v>
      </c>
      <c r="D2939" t="s">
        <v>10</v>
      </c>
      <c r="E2939" t="s">
        <v>12</v>
      </c>
      <c r="F2939" t="s">
        <v>26</v>
      </c>
      <c r="L2939" t="s">
        <v>13485</v>
      </c>
      <c r="N2939" t="s">
        <v>13485</v>
      </c>
      <c r="T2939" t="s">
        <v>13486</v>
      </c>
      <c r="U2939" t="s">
        <v>13487</v>
      </c>
      <c r="V2939" t="s">
        <v>13485</v>
      </c>
      <c r="W2939" t="s">
        <v>1954</v>
      </c>
      <c r="X2939" t="s">
        <v>13488</v>
      </c>
      <c r="Y2939">
        <v>0</v>
      </c>
      <c r="Z2939">
        <v>1</v>
      </c>
    </row>
    <row r="2940" spans="1:26">
      <c r="A2940" s="1">
        <v>2938</v>
      </c>
      <c r="B2940" t="str">
        <f>HYPERLINK("https://bugs.eclipse.org/bugs/show_bug.cgi?id=128020", "128020")</f>
        <v>128020</v>
      </c>
      <c r="C2940" t="s">
        <v>25</v>
      </c>
      <c r="D2940" t="s">
        <v>25</v>
      </c>
      <c r="F2940" t="s">
        <v>26</v>
      </c>
      <c r="G2940" t="s">
        <v>13489</v>
      </c>
      <c r="T2940" t="s">
        <v>13490</v>
      </c>
      <c r="U2940" t="s">
        <v>13491</v>
      </c>
      <c r="V2940" t="s">
        <v>13492</v>
      </c>
      <c r="W2940" t="s">
        <v>143</v>
      </c>
      <c r="X2940" t="s">
        <v>13493</v>
      </c>
      <c r="Y2940">
        <v>0</v>
      </c>
    </row>
    <row r="2941" spans="1:26">
      <c r="A2941" s="1">
        <v>2939</v>
      </c>
      <c r="B2941" t="str">
        <f>HYPERLINK("https://bugs.eclipse.org/bugs/show_bug.cgi?id=128046", "128046")</f>
        <v>128046</v>
      </c>
      <c r="C2941" t="s">
        <v>88</v>
      </c>
      <c r="D2941" t="s">
        <v>10</v>
      </c>
      <c r="E2941" t="s">
        <v>13</v>
      </c>
      <c r="F2941" t="s">
        <v>26</v>
      </c>
      <c r="L2941" t="s">
        <v>13494</v>
      </c>
      <c r="O2941" t="s">
        <v>13494</v>
      </c>
      <c r="T2941" t="s">
        <v>13495</v>
      </c>
      <c r="U2941" t="s">
        <v>13496</v>
      </c>
      <c r="V2941" t="s">
        <v>13494</v>
      </c>
      <c r="W2941" t="s">
        <v>1954</v>
      </c>
      <c r="X2941" t="s">
        <v>13497</v>
      </c>
      <c r="Y2941">
        <v>58.958333333333343</v>
      </c>
      <c r="Z2941">
        <v>105.9583333333333</v>
      </c>
    </row>
    <row r="2942" spans="1:26">
      <c r="A2942" s="1">
        <v>2940</v>
      </c>
      <c r="B2942" t="str">
        <f>HYPERLINK("https://bugs.eclipse.org/bugs/show_bug.cgi?id=128180", "128180")</f>
        <v>128180</v>
      </c>
      <c r="C2942" t="s">
        <v>149</v>
      </c>
      <c r="D2942" t="s">
        <v>10</v>
      </c>
      <c r="E2942" t="s">
        <v>12</v>
      </c>
      <c r="F2942" t="s">
        <v>26</v>
      </c>
      <c r="L2942" t="s">
        <v>13498</v>
      </c>
      <c r="N2942" t="s">
        <v>13498</v>
      </c>
      <c r="T2942" t="s">
        <v>13499</v>
      </c>
      <c r="U2942" t="s">
        <v>13500</v>
      </c>
      <c r="V2942" t="s">
        <v>13498</v>
      </c>
      <c r="W2942" t="s">
        <v>2668</v>
      </c>
      <c r="X2942" t="s">
        <v>13501</v>
      </c>
      <c r="Y2942">
        <v>0</v>
      </c>
      <c r="Z2942">
        <v>1</v>
      </c>
    </row>
    <row r="2943" spans="1:26">
      <c r="A2943" s="1">
        <v>2941</v>
      </c>
      <c r="B2943" t="str">
        <f>HYPERLINK("https://bugs.eclipse.org/bugs/show_bug.cgi?id=128440", "128440")</f>
        <v>128440</v>
      </c>
      <c r="C2943" t="s">
        <v>191</v>
      </c>
      <c r="D2943" t="s">
        <v>192</v>
      </c>
      <c r="E2943" t="s">
        <v>14</v>
      </c>
      <c r="F2943" t="s">
        <v>26</v>
      </c>
      <c r="T2943" t="s">
        <v>13502</v>
      </c>
      <c r="U2943" t="s">
        <v>13503</v>
      </c>
      <c r="V2943" t="s">
        <v>13504</v>
      </c>
      <c r="W2943" t="s">
        <v>65</v>
      </c>
      <c r="X2943" t="s">
        <v>13505</v>
      </c>
      <c r="Y2943">
        <v>0</v>
      </c>
      <c r="Z2943">
        <v>4961.958333333333</v>
      </c>
    </row>
    <row r="2944" spans="1:26">
      <c r="A2944" s="1">
        <v>2942</v>
      </c>
      <c r="B2944" t="str">
        <f>HYPERLINK("https://bugs.eclipse.org/bugs/show_bug.cgi?id=128760", "128760")</f>
        <v>128760</v>
      </c>
      <c r="C2944" t="s">
        <v>191</v>
      </c>
      <c r="D2944" t="s">
        <v>192</v>
      </c>
      <c r="E2944" t="s">
        <v>14</v>
      </c>
      <c r="F2944" t="s">
        <v>26</v>
      </c>
      <c r="T2944" t="s">
        <v>13506</v>
      </c>
      <c r="U2944" t="s">
        <v>13507</v>
      </c>
      <c r="V2944" t="s">
        <v>13508</v>
      </c>
      <c r="W2944" t="s">
        <v>65</v>
      </c>
      <c r="X2944" t="s">
        <v>13509</v>
      </c>
      <c r="Y2944">
        <v>0</v>
      </c>
      <c r="Z2944">
        <v>4879.958333333333</v>
      </c>
    </row>
    <row r="2945" spans="1:26">
      <c r="A2945" s="1">
        <v>2943</v>
      </c>
      <c r="B2945" t="str">
        <f>HYPERLINK("https://bugs.eclipse.org/bugs/show_bug.cgi?id=128771", "128771")</f>
        <v>128771</v>
      </c>
      <c r="C2945" t="s">
        <v>149</v>
      </c>
      <c r="D2945" t="s">
        <v>10</v>
      </c>
      <c r="E2945" t="s">
        <v>12</v>
      </c>
      <c r="F2945" t="s">
        <v>26</v>
      </c>
      <c r="L2945" t="s">
        <v>13510</v>
      </c>
      <c r="N2945" t="s">
        <v>13510</v>
      </c>
      <c r="T2945" t="s">
        <v>13511</v>
      </c>
      <c r="U2945" t="s">
        <v>13512</v>
      </c>
      <c r="V2945" t="s">
        <v>13513</v>
      </c>
      <c r="W2945" t="s">
        <v>13514</v>
      </c>
      <c r="X2945" t="s">
        <v>13515</v>
      </c>
      <c r="Y2945">
        <v>0</v>
      </c>
      <c r="Z2945">
        <v>14</v>
      </c>
    </row>
    <row r="2946" spans="1:26">
      <c r="A2946" s="1">
        <v>2944</v>
      </c>
      <c r="B2946" t="str">
        <f>HYPERLINK("https://bugs.eclipse.org/bugs/show_bug.cgi?id=128785", "128785")</f>
        <v>128785</v>
      </c>
      <c r="C2946" t="s">
        <v>149</v>
      </c>
      <c r="D2946" t="s">
        <v>10</v>
      </c>
      <c r="E2946" t="s">
        <v>12</v>
      </c>
      <c r="F2946" t="s">
        <v>26</v>
      </c>
      <c r="L2946" t="s">
        <v>13516</v>
      </c>
      <c r="N2946" t="s">
        <v>13516</v>
      </c>
      <c r="T2946" t="s">
        <v>13517</v>
      </c>
      <c r="U2946" t="s">
        <v>13518</v>
      </c>
      <c r="V2946" t="s">
        <v>13516</v>
      </c>
      <c r="W2946" t="s">
        <v>1954</v>
      </c>
      <c r="X2946" t="s">
        <v>13519</v>
      </c>
      <c r="Y2946">
        <v>3</v>
      </c>
      <c r="Z2946">
        <v>524.95833333333337</v>
      </c>
    </row>
    <row r="2947" spans="1:26">
      <c r="A2947" s="1">
        <v>2945</v>
      </c>
      <c r="B2947" t="str">
        <f>HYPERLINK("https://bugs.eclipse.org/bugs/show_bug.cgi?id=129030", "129030")</f>
        <v>129030</v>
      </c>
      <c r="C2947" t="s">
        <v>4692</v>
      </c>
      <c r="D2947" t="s">
        <v>4692</v>
      </c>
      <c r="F2947" t="s">
        <v>26</v>
      </c>
      <c r="T2947" t="s">
        <v>13520</v>
      </c>
      <c r="U2947" t="s">
        <v>13521</v>
      </c>
      <c r="V2947" t="s">
        <v>13522</v>
      </c>
      <c r="W2947" t="s">
        <v>49</v>
      </c>
      <c r="X2947" t="s">
        <v>13523</v>
      </c>
      <c r="Y2947">
        <v>1</v>
      </c>
    </row>
    <row r="2948" spans="1:26">
      <c r="A2948" s="1">
        <v>2946</v>
      </c>
      <c r="B2948" t="str">
        <f>HYPERLINK("https://bugs.eclipse.org/bugs/show_bug.cgi?id=129173", "129173")</f>
        <v>129173</v>
      </c>
      <c r="C2948" t="s">
        <v>140</v>
      </c>
      <c r="D2948" t="s">
        <v>10</v>
      </c>
      <c r="E2948" t="s">
        <v>16</v>
      </c>
      <c r="F2948" t="s">
        <v>26</v>
      </c>
      <c r="L2948" t="s">
        <v>13524</v>
      </c>
      <c r="R2948" t="s">
        <v>13524</v>
      </c>
      <c r="T2948" t="s">
        <v>13525</v>
      </c>
      <c r="U2948" t="s">
        <v>13526</v>
      </c>
      <c r="V2948" t="s">
        <v>13527</v>
      </c>
      <c r="W2948" t="s">
        <v>143</v>
      </c>
      <c r="X2948" t="s">
        <v>13528</v>
      </c>
      <c r="Y2948">
        <v>0</v>
      </c>
      <c r="Z2948">
        <v>4889.958333333333</v>
      </c>
    </row>
    <row r="2949" spans="1:26">
      <c r="A2949" s="1">
        <v>2947</v>
      </c>
      <c r="B2949" t="str">
        <f>HYPERLINK("https://bugs.eclipse.org/bugs/show_bug.cgi?id=129250", "129250")</f>
        <v>129250</v>
      </c>
      <c r="C2949" t="s">
        <v>191</v>
      </c>
      <c r="D2949" t="s">
        <v>192</v>
      </c>
      <c r="E2949" t="s">
        <v>14</v>
      </c>
      <c r="F2949" t="s">
        <v>26</v>
      </c>
      <c r="T2949" t="s">
        <v>13529</v>
      </c>
      <c r="U2949" t="s">
        <v>13530</v>
      </c>
      <c r="V2949" t="s">
        <v>13531</v>
      </c>
      <c r="W2949" t="s">
        <v>65</v>
      </c>
      <c r="X2949" t="s">
        <v>13532</v>
      </c>
      <c r="Y2949">
        <v>1</v>
      </c>
      <c r="Z2949">
        <v>4984.958333333333</v>
      </c>
    </row>
    <row r="2950" spans="1:26">
      <c r="A2950" s="1">
        <v>2948</v>
      </c>
      <c r="B2950" t="str">
        <f>HYPERLINK("https://bugs.eclipse.org/bugs/show_bug.cgi?id=129293", "129293")</f>
        <v>129293</v>
      </c>
      <c r="C2950" t="s">
        <v>4692</v>
      </c>
      <c r="D2950" t="s">
        <v>4692</v>
      </c>
      <c r="F2950" t="s">
        <v>26</v>
      </c>
      <c r="T2950" t="s">
        <v>13533</v>
      </c>
      <c r="U2950" t="s">
        <v>13534</v>
      </c>
      <c r="V2950" t="s">
        <v>13535</v>
      </c>
      <c r="W2950" t="s">
        <v>49</v>
      </c>
      <c r="X2950" t="s">
        <v>13536</v>
      </c>
      <c r="Y2950">
        <v>0</v>
      </c>
    </row>
    <row r="2951" spans="1:26">
      <c r="A2951" s="1">
        <v>2949</v>
      </c>
      <c r="B2951" t="str">
        <f>HYPERLINK("https://bugs.eclipse.org/bugs/show_bug.cgi?id=129332", "129332")</f>
        <v>129332</v>
      </c>
      <c r="C2951" t="s">
        <v>56</v>
      </c>
      <c r="D2951" t="s">
        <v>10</v>
      </c>
      <c r="E2951" t="s">
        <v>14</v>
      </c>
      <c r="F2951" t="s">
        <v>26</v>
      </c>
      <c r="L2951" t="s">
        <v>13537</v>
      </c>
      <c r="P2951" t="s">
        <v>13538</v>
      </c>
      <c r="T2951" t="s">
        <v>13539</v>
      </c>
      <c r="U2951" t="s">
        <v>13540</v>
      </c>
      <c r="V2951" t="s">
        <v>13538</v>
      </c>
      <c r="W2951" t="s">
        <v>80</v>
      </c>
      <c r="X2951" t="s">
        <v>13541</v>
      </c>
      <c r="Y2951">
        <v>1</v>
      </c>
      <c r="Z2951">
        <v>1282.958333333333</v>
      </c>
    </row>
    <row r="2952" spans="1:26">
      <c r="A2952" s="1">
        <v>2950</v>
      </c>
      <c r="B2952" t="str">
        <f>HYPERLINK("https://bugs.eclipse.org/bugs/show_bug.cgi?id=129348", "129348")</f>
        <v>129348</v>
      </c>
      <c r="C2952" t="s">
        <v>149</v>
      </c>
      <c r="D2952" t="s">
        <v>10</v>
      </c>
      <c r="E2952" t="s">
        <v>12</v>
      </c>
      <c r="F2952" t="s">
        <v>26</v>
      </c>
      <c r="L2952" t="s">
        <v>13542</v>
      </c>
      <c r="N2952" t="s">
        <v>13542</v>
      </c>
      <c r="T2952" t="s">
        <v>13543</v>
      </c>
      <c r="U2952" t="s">
        <v>13544</v>
      </c>
      <c r="V2952" t="s">
        <v>13542</v>
      </c>
      <c r="W2952" t="s">
        <v>49</v>
      </c>
      <c r="X2952" t="s">
        <v>13545</v>
      </c>
      <c r="Y2952">
        <v>0</v>
      </c>
      <c r="Z2952">
        <v>3</v>
      </c>
    </row>
    <row r="2953" spans="1:26">
      <c r="A2953" s="1">
        <v>2951</v>
      </c>
      <c r="B2953" t="str">
        <f>HYPERLINK("https://bugs.eclipse.org/bugs/show_bug.cgi?id=129366", "129366")</f>
        <v>129366</v>
      </c>
      <c r="C2953" t="s">
        <v>149</v>
      </c>
      <c r="D2953" t="s">
        <v>10</v>
      </c>
      <c r="E2953" t="s">
        <v>12</v>
      </c>
      <c r="F2953" t="s">
        <v>26</v>
      </c>
      <c r="L2953" t="s">
        <v>13546</v>
      </c>
      <c r="N2953" t="s">
        <v>13546</v>
      </c>
      <c r="S2953" t="s">
        <v>13547</v>
      </c>
      <c r="T2953" t="s">
        <v>13548</v>
      </c>
      <c r="U2953" t="s">
        <v>13549</v>
      </c>
      <c r="V2953" t="s">
        <v>13546</v>
      </c>
      <c r="W2953" t="s">
        <v>2668</v>
      </c>
      <c r="X2953" t="s">
        <v>13550</v>
      </c>
      <c r="Y2953">
        <v>0</v>
      </c>
      <c r="Z2953">
        <v>24</v>
      </c>
    </row>
    <row r="2954" spans="1:26">
      <c r="A2954" s="1">
        <v>2952</v>
      </c>
      <c r="B2954" t="str">
        <f>HYPERLINK("https://bugs.eclipse.org/bugs/show_bug.cgi?id=129621", "129621")</f>
        <v>129621</v>
      </c>
      <c r="C2954" t="s">
        <v>35</v>
      </c>
      <c r="D2954" t="s">
        <v>11</v>
      </c>
      <c r="E2954" t="s">
        <v>12</v>
      </c>
      <c r="F2954" t="s">
        <v>26</v>
      </c>
      <c r="L2954" t="s">
        <v>13551</v>
      </c>
      <c r="M2954" t="s">
        <v>13552</v>
      </c>
      <c r="N2954" t="s">
        <v>13551</v>
      </c>
      <c r="T2954" t="s">
        <v>13553</v>
      </c>
      <c r="U2954" t="s">
        <v>13554</v>
      </c>
      <c r="V2954" t="s">
        <v>13552</v>
      </c>
      <c r="W2954" t="s">
        <v>1954</v>
      </c>
      <c r="X2954" t="s">
        <v>13555</v>
      </c>
      <c r="Y2954">
        <v>0</v>
      </c>
      <c r="Z2954">
        <v>31</v>
      </c>
    </row>
    <row r="2955" spans="1:26">
      <c r="A2955" s="1">
        <v>2953</v>
      </c>
      <c r="B2955" t="str">
        <f>HYPERLINK("https://bugs.eclipse.org/bugs/show_bug.cgi?id=129955", "129955")</f>
        <v>129955</v>
      </c>
      <c r="C2955" t="s">
        <v>149</v>
      </c>
      <c r="D2955" t="s">
        <v>10</v>
      </c>
      <c r="E2955" t="s">
        <v>12</v>
      </c>
      <c r="F2955" t="s">
        <v>26</v>
      </c>
      <c r="L2955" t="s">
        <v>13556</v>
      </c>
      <c r="N2955" t="s">
        <v>13556</v>
      </c>
      <c r="T2955" t="s">
        <v>13557</v>
      </c>
      <c r="U2955" t="s">
        <v>13558</v>
      </c>
      <c r="V2955" t="s">
        <v>13559</v>
      </c>
      <c r="W2955" t="s">
        <v>49</v>
      </c>
      <c r="X2955" t="s">
        <v>13560</v>
      </c>
      <c r="Y2955">
        <v>0</v>
      </c>
      <c r="Z2955">
        <v>2</v>
      </c>
    </row>
    <row r="2956" spans="1:26">
      <c r="A2956" s="1">
        <v>2954</v>
      </c>
      <c r="B2956" t="str">
        <f>HYPERLINK("https://bugs.eclipse.org/bugs/show_bug.cgi?id=129960", "129960")</f>
        <v>129960</v>
      </c>
      <c r="C2956" t="s">
        <v>140</v>
      </c>
      <c r="D2956" t="s">
        <v>10</v>
      </c>
      <c r="E2956" t="s">
        <v>16</v>
      </c>
      <c r="F2956" t="s">
        <v>26</v>
      </c>
      <c r="L2956" t="s">
        <v>13561</v>
      </c>
      <c r="R2956" t="s">
        <v>13561</v>
      </c>
      <c r="T2956" t="s">
        <v>13562</v>
      </c>
      <c r="U2956" t="s">
        <v>13563</v>
      </c>
      <c r="V2956" t="s">
        <v>13561</v>
      </c>
      <c r="W2956" t="s">
        <v>2668</v>
      </c>
      <c r="X2956" t="s">
        <v>13564</v>
      </c>
      <c r="Y2956">
        <v>0</v>
      </c>
      <c r="Z2956">
        <v>0</v>
      </c>
    </row>
    <row r="2957" spans="1:26">
      <c r="A2957" s="1">
        <v>2955</v>
      </c>
      <c r="B2957" t="str">
        <f>HYPERLINK("https://bugs.eclipse.org/bugs/show_bug.cgi?id=130111", "130111")</f>
        <v>130111</v>
      </c>
      <c r="C2957" t="s">
        <v>4692</v>
      </c>
      <c r="D2957" t="s">
        <v>4692</v>
      </c>
      <c r="F2957" t="s">
        <v>26</v>
      </c>
      <c r="T2957" t="s">
        <v>13565</v>
      </c>
      <c r="U2957" t="s">
        <v>13566</v>
      </c>
      <c r="V2957" t="s">
        <v>13567</v>
      </c>
      <c r="W2957" t="s">
        <v>49</v>
      </c>
      <c r="X2957" t="s">
        <v>13568</v>
      </c>
      <c r="Y2957">
        <v>1</v>
      </c>
    </row>
    <row r="2958" spans="1:26">
      <c r="A2958" s="1">
        <v>2956</v>
      </c>
      <c r="B2958" t="str">
        <f>HYPERLINK("https://bugs.eclipse.org/bugs/show_bug.cgi?id=130338", "130338")</f>
        <v>130338</v>
      </c>
      <c r="C2958" t="s">
        <v>149</v>
      </c>
      <c r="D2958" t="s">
        <v>10</v>
      </c>
      <c r="E2958" t="s">
        <v>12</v>
      </c>
      <c r="F2958" t="s">
        <v>26</v>
      </c>
      <c r="G2958" t="s">
        <v>13569</v>
      </c>
      <c r="L2958" t="s">
        <v>13570</v>
      </c>
      <c r="M2958" t="s">
        <v>13571</v>
      </c>
      <c r="N2958" t="s">
        <v>13570</v>
      </c>
      <c r="S2958" t="s">
        <v>13572</v>
      </c>
      <c r="T2958" t="s">
        <v>13573</v>
      </c>
      <c r="U2958" t="s">
        <v>13574</v>
      </c>
      <c r="V2958" t="s">
        <v>13575</v>
      </c>
      <c r="W2958" t="s">
        <v>13576</v>
      </c>
      <c r="X2958" t="s">
        <v>13577</v>
      </c>
      <c r="Y2958">
        <v>0</v>
      </c>
      <c r="Z2958">
        <v>555.95833333333337</v>
      </c>
    </row>
    <row r="2959" spans="1:26">
      <c r="A2959" s="1">
        <v>2957</v>
      </c>
      <c r="B2959" t="str">
        <f>HYPERLINK("https://bugs.eclipse.org/bugs/show_bug.cgi?id=130396", "130396")</f>
        <v>130396</v>
      </c>
      <c r="C2959" t="s">
        <v>149</v>
      </c>
      <c r="D2959" t="s">
        <v>10</v>
      </c>
      <c r="E2959" t="s">
        <v>12</v>
      </c>
      <c r="F2959" t="s">
        <v>26</v>
      </c>
      <c r="L2959" t="s">
        <v>13578</v>
      </c>
      <c r="N2959" t="s">
        <v>13578</v>
      </c>
      <c r="T2959" t="s">
        <v>13579</v>
      </c>
      <c r="U2959" t="s">
        <v>13578</v>
      </c>
      <c r="V2959" t="s">
        <v>13578</v>
      </c>
      <c r="W2959" t="s">
        <v>49</v>
      </c>
      <c r="X2959" t="s">
        <v>13580</v>
      </c>
      <c r="Y2959">
        <v>3</v>
      </c>
      <c r="Z2959">
        <v>3</v>
      </c>
    </row>
    <row r="2960" spans="1:26">
      <c r="A2960" s="1">
        <v>2958</v>
      </c>
      <c r="B2960" t="str">
        <f>HYPERLINK("https://bugs.eclipse.org/bugs/show_bug.cgi?id=130566", "130566")</f>
        <v>130566</v>
      </c>
      <c r="C2960" t="s">
        <v>191</v>
      </c>
      <c r="D2960" t="s">
        <v>192</v>
      </c>
      <c r="E2960" t="s">
        <v>14</v>
      </c>
      <c r="F2960" t="s">
        <v>26</v>
      </c>
      <c r="T2960" t="s">
        <v>13581</v>
      </c>
      <c r="U2960" t="s">
        <v>13582</v>
      </c>
      <c r="V2960" t="s">
        <v>13583</v>
      </c>
      <c r="W2960" t="s">
        <v>65</v>
      </c>
      <c r="X2960" t="s">
        <v>13584</v>
      </c>
      <c r="Y2960">
        <v>0</v>
      </c>
      <c r="Z2960">
        <v>4659</v>
      </c>
    </row>
    <row r="2961" spans="1:26">
      <c r="A2961" s="1">
        <v>2959</v>
      </c>
      <c r="B2961" t="str">
        <f>HYPERLINK("https://bugs.eclipse.org/bugs/show_bug.cgi?id=130718", "130718")</f>
        <v>130718</v>
      </c>
      <c r="C2961" t="s">
        <v>149</v>
      </c>
      <c r="D2961" t="s">
        <v>10</v>
      </c>
      <c r="E2961" t="s">
        <v>12</v>
      </c>
      <c r="F2961" t="s">
        <v>26</v>
      </c>
      <c r="L2961" t="s">
        <v>13585</v>
      </c>
      <c r="N2961" t="s">
        <v>13585</v>
      </c>
      <c r="T2961" t="s">
        <v>13586</v>
      </c>
      <c r="U2961" t="s">
        <v>13587</v>
      </c>
      <c r="V2961" t="s">
        <v>13588</v>
      </c>
      <c r="W2961" t="s">
        <v>13514</v>
      </c>
      <c r="X2961" t="s">
        <v>13589</v>
      </c>
      <c r="Y2961">
        <v>0</v>
      </c>
      <c r="Z2961">
        <v>0</v>
      </c>
    </row>
    <row r="2962" spans="1:26">
      <c r="A2962" s="1">
        <v>2960</v>
      </c>
      <c r="B2962" t="str">
        <f>HYPERLINK("https://bugs.eclipse.org/bugs/show_bug.cgi?id=130764", "130764")</f>
        <v>130764</v>
      </c>
      <c r="C2962" t="s">
        <v>35</v>
      </c>
      <c r="D2962" t="s">
        <v>11</v>
      </c>
      <c r="E2962" t="s">
        <v>12</v>
      </c>
      <c r="F2962" t="s">
        <v>26</v>
      </c>
      <c r="G2962" t="s">
        <v>13590</v>
      </c>
      <c r="L2962" t="s">
        <v>13591</v>
      </c>
      <c r="M2962" t="s">
        <v>13592</v>
      </c>
      <c r="N2962" t="s">
        <v>13591</v>
      </c>
      <c r="T2962" t="s">
        <v>13593</v>
      </c>
      <c r="U2962" t="s">
        <v>13594</v>
      </c>
      <c r="V2962" t="s">
        <v>13592</v>
      </c>
      <c r="W2962" t="s">
        <v>13595</v>
      </c>
      <c r="X2962" t="s">
        <v>13596</v>
      </c>
      <c r="Y2962">
        <v>1</v>
      </c>
      <c r="Z2962">
        <v>26</v>
      </c>
    </row>
    <row r="2963" spans="1:26">
      <c r="A2963" s="1">
        <v>2961</v>
      </c>
      <c r="B2963" t="str">
        <f>HYPERLINK("https://bugs.eclipse.org/bugs/show_bug.cgi?id=130902", "130902")</f>
        <v>130902</v>
      </c>
      <c r="C2963" t="s">
        <v>149</v>
      </c>
      <c r="D2963" t="s">
        <v>10</v>
      </c>
      <c r="E2963" t="s">
        <v>12</v>
      </c>
      <c r="F2963" t="s">
        <v>26</v>
      </c>
      <c r="G2963" t="s">
        <v>13597</v>
      </c>
      <c r="H2963" t="s">
        <v>13598</v>
      </c>
      <c r="L2963" t="s">
        <v>13599</v>
      </c>
      <c r="N2963" t="s">
        <v>13599</v>
      </c>
      <c r="T2963" t="s">
        <v>13600</v>
      </c>
      <c r="U2963" t="s">
        <v>13601</v>
      </c>
      <c r="V2963" t="s">
        <v>13599</v>
      </c>
      <c r="W2963" t="s">
        <v>2668</v>
      </c>
      <c r="X2963" t="s">
        <v>13602</v>
      </c>
      <c r="Y2963">
        <v>0</v>
      </c>
      <c r="Z2963">
        <v>31.958333333333329</v>
      </c>
    </row>
    <row r="2964" spans="1:26">
      <c r="A2964" s="1">
        <v>2962</v>
      </c>
      <c r="B2964" t="str">
        <f>HYPERLINK("https://bugs.eclipse.org/bugs/show_bug.cgi?id=130925", "130925")</f>
        <v>130925</v>
      </c>
      <c r="C2964" t="s">
        <v>149</v>
      </c>
      <c r="D2964" t="s">
        <v>10</v>
      </c>
      <c r="E2964" t="s">
        <v>12</v>
      </c>
      <c r="F2964" t="s">
        <v>26</v>
      </c>
      <c r="L2964" t="s">
        <v>13603</v>
      </c>
      <c r="N2964" t="s">
        <v>13603</v>
      </c>
      <c r="T2964" t="s">
        <v>13604</v>
      </c>
      <c r="U2964" t="s">
        <v>13605</v>
      </c>
      <c r="V2964" t="s">
        <v>13603</v>
      </c>
      <c r="W2964" t="s">
        <v>2668</v>
      </c>
      <c r="X2964" t="s">
        <v>13606</v>
      </c>
      <c r="Y2964">
        <v>0</v>
      </c>
      <c r="Z2964">
        <v>0</v>
      </c>
    </row>
    <row r="2965" spans="1:26">
      <c r="A2965" s="1">
        <v>2963</v>
      </c>
      <c r="B2965" t="str">
        <f>HYPERLINK("https://bugs.eclipse.org/bugs/show_bug.cgi?id=130986", "130986")</f>
        <v>130986</v>
      </c>
      <c r="C2965" t="s">
        <v>140</v>
      </c>
      <c r="D2965" t="s">
        <v>10</v>
      </c>
      <c r="E2965" t="s">
        <v>16</v>
      </c>
      <c r="F2965" t="s">
        <v>26</v>
      </c>
      <c r="L2965" t="s">
        <v>13607</v>
      </c>
      <c r="R2965" t="s">
        <v>13607</v>
      </c>
      <c r="T2965" t="s">
        <v>13608</v>
      </c>
      <c r="U2965" t="s">
        <v>13609</v>
      </c>
      <c r="V2965" t="s">
        <v>13607</v>
      </c>
      <c r="W2965" t="s">
        <v>851</v>
      </c>
      <c r="X2965" t="s">
        <v>13610</v>
      </c>
      <c r="Y2965">
        <v>0</v>
      </c>
      <c r="Z2965">
        <v>13</v>
      </c>
    </row>
    <row r="2966" spans="1:26">
      <c r="A2966" s="1">
        <v>2964</v>
      </c>
      <c r="B2966" t="str">
        <f>HYPERLINK("https://bugs.eclipse.org/bugs/show_bug.cgi?id=131069", "131069")</f>
        <v>131069</v>
      </c>
      <c r="C2966" t="s">
        <v>35</v>
      </c>
      <c r="D2966" t="s">
        <v>11</v>
      </c>
      <c r="E2966" t="s">
        <v>12</v>
      </c>
      <c r="F2966" t="s">
        <v>26</v>
      </c>
      <c r="L2966" t="s">
        <v>13611</v>
      </c>
      <c r="M2966" t="s">
        <v>13612</v>
      </c>
      <c r="N2966" t="s">
        <v>13611</v>
      </c>
      <c r="T2966" t="s">
        <v>13613</v>
      </c>
      <c r="U2966" t="s">
        <v>13614</v>
      </c>
      <c r="V2966" t="s">
        <v>13612</v>
      </c>
      <c r="W2966" t="s">
        <v>851</v>
      </c>
      <c r="X2966" t="s">
        <v>13615</v>
      </c>
      <c r="Y2966">
        <v>0</v>
      </c>
      <c r="Z2966">
        <v>20</v>
      </c>
    </row>
    <row r="2967" spans="1:26">
      <c r="A2967" s="1">
        <v>2965</v>
      </c>
      <c r="B2967" t="str">
        <f>HYPERLINK("https://bugs.eclipse.org/bugs/show_bug.cgi?id=131230", "131230")</f>
        <v>131230</v>
      </c>
      <c r="C2967" t="s">
        <v>56</v>
      </c>
      <c r="D2967" t="s">
        <v>10</v>
      </c>
      <c r="E2967" t="s">
        <v>14</v>
      </c>
      <c r="F2967" t="s">
        <v>26</v>
      </c>
      <c r="L2967" t="s">
        <v>13616</v>
      </c>
      <c r="P2967" t="s">
        <v>13616</v>
      </c>
      <c r="T2967" t="s">
        <v>13617</v>
      </c>
      <c r="U2967" t="s">
        <v>13616</v>
      </c>
      <c r="V2967" t="s">
        <v>13616</v>
      </c>
      <c r="W2967" t="s">
        <v>49</v>
      </c>
      <c r="X2967" t="s">
        <v>13618</v>
      </c>
      <c r="Y2967">
        <v>3</v>
      </c>
      <c r="Z2967">
        <v>3</v>
      </c>
    </row>
    <row r="2968" spans="1:26">
      <c r="A2968" s="1">
        <v>2966</v>
      </c>
      <c r="B2968" t="str">
        <f>HYPERLINK("https://bugs.eclipse.org/bugs/show_bug.cgi?id=131279", "131279")</f>
        <v>131279</v>
      </c>
      <c r="C2968" t="s">
        <v>149</v>
      </c>
      <c r="D2968" t="s">
        <v>10</v>
      </c>
      <c r="E2968" t="s">
        <v>12</v>
      </c>
      <c r="F2968" t="s">
        <v>26</v>
      </c>
      <c r="L2968" t="s">
        <v>13619</v>
      </c>
      <c r="N2968" t="s">
        <v>13619</v>
      </c>
      <c r="T2968" t="s">
        <v>13620</v>
      </c>
      <c r="U2968" t="s">
        <v>13621</v>
      </c>
      <c r="V2968" t="s">
        <v>13622</v>
      </c>
      <c r="W2968" t="s">
        <v>851</v>
      </c>
      <c r="X2968" t="s">
        <v>13623</v>
      </c>
      <c r="Y2968">
        <v>2</v>
      </c>
      <c r="Z2968">
        <v>6</v>
      </c>
    </row>
    <row r="2969" spans="1:26">
      <c r="A2969" s="1">
        <v>2967</v>
      </c>
      <c r="B2969" t="str">
        <f>HYPERLINK("https://bugs.eclipse.org/bugs/show_bug.cgi?id=131348", "131348")</f>
        <v>131348</v>
      </c>
      <c r="C2969" t="s">
        <v>149</v>
      </c>
      <c r="D2969" t="s">
        <v>10</v>
      </c>
      <c r="E2969" t="s">
        <v>12</v>
      </c>
      <c r="F2969" t="s">
        <v>26</v>
      </c>
      <c r="L2969" t="s">
        <v>13624</v>
      </c>
      <c r="N2969" t="s">
        <v>13624</v>
      </c>
      <c r="T2969" t="s">
        <v>13625</v>
      </c>
      <c r="U2969" t="s">
        <v>13626</v>
      </c>
      <c r="V2969" t="s">
        <v>13624</v>
      </c>
      <c r="W2969" t="s">
        <v>2668</v>
      </c>
      <c r="X2969" t="s">
        <v>13627</v>
      </c>
      <c r="Y2969">
        <v>0</v>
      </c>
      <c r="Z2969">
        <v>0</v>
      </c>
    </row>
    <row r="2970" spans="1:26">
      <c r="A2970" s="1">
        <v>2968</v>
      </c>
      <c r="B2970" t="str">
        <f>HYPERLINK("https://bugs.eclipse.org/bugs/show_bug.cgi?id=131494", "131494")</f>
        <v>131494</v>
      </c>
      <c r="C2970" t="s">
        <v>10486</v>
      </c>
      <c r="D2970" t="s">
        <v>10</v>
      </c>
      <c r="E2970" t="s">
        <v>15</v>
      </c>
      <c r="F2970" t="s">
        <v>26</v>
      </c>
      <c r="L2970" t="s">
        <v>13628</v>
      </c>
      <c r="Q2970" t="s">
        <v>13628</v>
      </c>
      <c r="T2970" t="s">
        <v>13629</v>
      </c>
      <c r="U2970" t="s">
        <v>13630</v>
      </c>
      <c r="V2970" t="s">
        <v>13628</v>
      </c>
      <c r="W2970" t="s">
        <v>49</v>
      </c>
      <c r="X2970" t="s">
        <v>13631</v>
      </c>
      <c r="Y2970">
        <v>0</v>
      </c>
      <c r="Z2970">
        <v>142.95833333333329</v>
      </c>
    </row>
    <row r="2971" spans="1:26">
      <c r="A2971" s="1">
        <v>2969</v>
      </c>
      <c r="B2971" t="str">
        <f>HYPERLINK("https://bugs.eclipse.org/bugs/show_bug.cgi?id=131495", "131495")</f>
        <v>131495</v>
      </c>
      <c r="C2971" t="s">
        <v>13632</v>
      </c>
      <c r="D2971" t="s">
        <v>10</v>
      </c>
      <c r="E2971" t="s">
        <v>15</v>
      </c>
      <c r="F2971" t="s">
        <v>26</v>
      </c>
      <c r="G2971" t="s">
        <v>13598</v>
      </c>
      <c r="L2971" t="s">
        <v>13633</v>
      </c>
      <c r="Q2971" t="s">
        <v>13633</v>
      </c>
      <c r="T2971" t="s">
        <v>13634</v>
      </c>
      <c r="U2971" t="s">
        <v>13635</v>
      </c>
      <c r="V2971" t="s">
        <v>13636</v>
      </c>
      <c r="W2971" t="s">
        <v>2668</v>
      </c>
      <c r="X2971" t="s">
        <v>13637</v>
      </c>
      <c r="Y2971">
        <v>0</v>
      </c>
      <c r="Z2971">
        <v>45.958333333333343</v>
      </c>
    </row>
    <row r="2972" spans="1:26">
      <c r="A2972" s="1">
        <v>2970</v>
      </c>
      <c r="B2972" t="str">
        <f>HYPERLINK("https://bugs.eclipse.org/bugs/show_bug.cgi?id=131510", "131510")</f>
        <v>131510</v>
      </c>
      <c r="C2972" t="s">
        <v>35</v>
      </c>
      <c r="D2972" t="s">
        <v>11</v>
      </c>
      <c r="E2972" t="s">
        <v>12</v>
      </c>
      <c r="F2972" t="s">
        <v>26</v>
      </c>
      <c r="L2972" t="s">
        <v>13638</v>
      </c>
      <c r="M2972" t="s">
        <v>13639</v>
      </c>
      <c r="N2972" t="s">
        <v>13638</v>
      </c>
      <c r="T2972" t="s">
        <v>13640</v>
      </c>
      <c r="U2972" t="s">
        <v>13641</v>
      </c>
      <c r="V2972" t="s">
        <v>13639</v>
      </c>
      <c r="W2972" t="s">
        <v>851</v>
      </c>
      <c r="X2972" t="s">
        <v>13642</v>
      </c>
      <c r="Y2972">
        <v>15</v>
      </c>
      <c r="Z2972">
        <v>17</v>
      </c>
    </row>
    <row r="2973" spans="1:26">
      <c r="A2973" s="1">
        <v>2971</v>
      </c>
      <c r="B2973" t="str">
        <f>HYPERLINK("https://bugs.eclipse.org/bugs/show_bug.cgi?id=131544", "131544")</f>
        <v>131544</v>
      </c>
      <c r="C2973" t="s">
        <v>149</v>
      </c>
      <c r="D2973" t="s">
        <v>10</v>
      </c>
      <c r="E2973" t="s">
        <v>12</v>
      </c>
      <c r="F2973" t="s">
        <v>26</v>
      </c>
      <c r="L2973" t="s">
        <v>13643</v>
      </c>
      <c r="N2973" t="s">
        <v>13643</v>
      </c>
      <c r="T2973" t="s">
        <v>13644</v>
      </c>
      <c r="U2973" t="s">
        <v>13643</v>
      </c>
      <c r="V2973" t="s">
        <v>13643</v>
      </c>
      <c r="W2973" t="s">
        <v>2668</v>
      </c>
      <c r="X2973" t="s">
        <v>13645</v>
      </c>
      <c r="Y2973">
        <v>0</v>
      </c>
      <c r="Z2973">
        <v>0</v>
      </c>
    </row>
    <row r="2974" spans="1:26">
      <c r="A2974" s="1">
        <v>2972</v>
      </c>
      <c r="B2974" t="str">
        <f>HYPERLINK("https://bugs.eclipse.org/bugs/show_bug.cgi?id=131562", "131562")</f>
        <v>131562</v>
      </c>
      <c r="C2974" t="s">
        <v>149</v>
      </c>
      <c r="D2974" t="s">
        <v>10</v>
      </c>
      <c r="E2974" t="s">
        <v>12</v>
      </c>
      <c r="F2974" t="s">
        <v>26</v>
      </c>
      <c r="L2974" t="s">
        <v>13646</v>
      </c>
      <c r="N2974" t="s">
        <v>13646</v>
      </c>
      <c r="T2974" t="s">
        <v>13647</v>
      </c>
      <c r="U2974" t="s">
        <v>13648</v>
      </c>
      <c r="V2974" t="s">
        <v>13646</v>
      </c>
      <c r="W2974" t="s">
        <v>851</v>
      </c>
      <c r="X2974" t="s">
        <v>13649</v>
      </c>
      <c r="Y2974">
        <v>1</v>
      </c>
      <c r="Z2974">
        <v>11</v>
      </c>
    </row>
    <row r="2975" spans="1:26">
      <c r="A2975" s="1">
        <v>2973</v>
      </c>
      <c r="B2975" t="str">
        <f>HYPERLINK("https://bugs.eclipse.org/bugs/show_bug.cgi?id=131679", "131679")</f>
        <v>131679</v>
      </c>
      <c r="C2975" t="s">
        <v>149</v>
      </c>
      <c r="D2975" t="s">
        <v>10</v>
      </c>
      <c r="E2975" t="s">
        <v>12</v>
      </c>
      <c r="F2975" t="s">
        <v>26</v>
      </c>
      <c r="L2975" t="s">
        <v>13650</v>
      </c>
      <c r="N2975" t="s">
        <v>13650</v>
      </c>
      <c r="T2975" t="s">
        <v>13651</v>
      </c>
      <c r="U2975" t="s">
        <v>13650</v>
      </c>
      <c r="V2975" t="s">
        <v>13650</v>
      </c>
      <c r="W2975" t="s">
        <v>1954</v>
      </c>
      <c r="X2975" t="s">
        <v>13652</v>
      </c>
      <c r="Y2975">
        <v>1</v>
      </c>
      <c r="Z2975">
        <v>1</v>
      </c>
    </row>
    <row r="2976" spans="1:26">
      <c r="A2976" s="1">
        <v>2974</v>
      </c>
      <c r="B2976" t="str">
        <f>HYPERLINK("https://bugs.eclipse.org/bugs/show_bug.cgi?id=131722", "131722")</f>
        <v>131722</v>
      </c>
      <c r="C2976" t="s">
        <v>56</v>
      </c>
      <c r="D2976" t="s">
        <v>10</v>
      </c>
      <c r="E2976" t="s">
        <v>14</v>
      </c>
      <c r="F2976" t="s">
        <v>26</v>
      </c>
      <c r="L2976" t="s">
        <v>13653</v>
      </c>
      <c r="P2976" t="s">
        <v>13653</v>
      </c>
      <c r="T2976" t="s">
        <v>13654</v>
      </c>
      <c r="U2976" t="s">
        <v>13655</v>
      </c>
      <c r="V2976" t="s">
        <v>13653</v>
      </c>
      <c r="W2976" t="s">
        <v>1954</v>
      </c>
      <c r="X2976" t="s">
        <v>13656</v>
      </c>
      <c r="Y2976">
        <v>7</v>
      </c>
      <c r="Z2976">
        <v>21.958333333333329</v>
      </c>
    </row>
    <row r="2977" spans="1:26">
      <c r="A2977" s="1">
        <v>2975</v>
      </c>
      <c r="B2977" t="str">
        <f>HYPERLINK("https://bugs.eclipse.org/bugs/show_bug.cgi?id=131750", "131750")</f>
        <v>131750</v>
      </c>
      <c r="C2977" t="s">
        <v>140</v>
      </c>
      <c r="D2977" t="s">
        <v>10</v>
      </c>
      <c r="E2977" t="s">
        <v>16</v>
      </c>
      <c r="F2977" t="s">
        <v>26</v>
      </c>
      <c r="G2977" t="s">
        <v>13657</v>
      </c>
      <c r="L2977" t="s">
        <v>13658</v>
      </c>
      <c r="R2977" t="s">
        <v>13658</v>
      </c>
      <c r="T2977" t="s">
        <v>13659</v>
      </c>
      <c r="U2977" t="s">
        <v>13660</v>
      </c>
      <c r="V2977" t="s">
        <v>13658</v>
      </c>
      <c r="W2977" t="s">
        <v>851</v>
      </c>
      <c r="X2977" t="s">
        <v>13661</v>
      </c>
      <c r="Y2977">
        <v>0</v>
      </c>
      <c r="Z2977">
        <v>26.958333333333329</v>
      </c>
    </row>
    <row r="2978" spans="1:26">
      <c r="A2978" s="1">
        <v>2976</v>
      </c>
      <c r="B2978" t="str">
        <f>HYPERLINK("https://bugs.eclipse.org/bugs/show_bug.cgi?id=131768", "131768")</f>
        <v>131768</v>
      </c>
      <c r="C2978" t="s">
        <v>149</v>
      </c>
      <c r="D2978" t="s">
        <v>10</v>
      </c>
      <c r="E2978" t="s">
        <v>12</v>
      </c>
      <c r="F2978" t="s">
        <v>26</v>
      </c>
      <c r="L2978" t="s">
        <v>13662</v>
      </c>
      <c r="N2978" t="s">
        <v>13662</v>
      </c>
      <c r="T2978" t="s">
        <v>13663</v>
      </c>
      <c r="U2978" t="s">
        <v>13664</v>
      </c>
      <c r="V2978" t="s">
        <v>13662</v>
      </c>
      <c r="W2978" t="s">
        <v>851</v>
      </c>
      <c r="X2978" t="s">
        <v>13665</v>
      </c>
      <c r="Y2978">
        <v>0</v>
      </c>
      <c r="Z2978">
        <v>2</v>
      </c>
    </row>
    <row r="2979" spans="1:26">
      <c r="A2979" s="1">
        <v>2977</v>
      </c>
      <c r="B2979" t="str">
        <f>HYPERLINK("https://bugs.eclipse.org/bugs/show_bug.cgi?id=131850", "131850")</f>
        <v>131850</v>
      </c>
      <c r="C2979" t="s">
        <v>149</v>
      </c>
      <c r="D2979" t="s">
        <v>10</v>
      </c>
      <c r="E2979" t="s">
        <v>12</v>
      </c>
      <c r="F2979" t="s">
        <v>26</v>
      </c>
      <c r="L2979" t="s">
        <v>13666</v>
      </c>
      <c r="N2979" t="s">
        <v>13666</v>
      </c>
      <c r="T2979" t="s">
        <v>13667</v>
      </c>
      <c r="U2979" t="s">
        <v>13668</v>
      </c>
      <c r="V2979" t="s">
        <v>13666</v>
      </c>
      <c r="W2979" t="s">
        <v>49</v>
      </c>
      <c r="X2979" t="s">
        <v>13669</v>
      </c>
      <c r="Y2979">
        <v>1</v>
      </c>
      <c r="Z2979">
        <v>7</v>
      </c>
    </row>
    <row r="2980" spans="1:26">
      <c r="A2980" s="1">
        <v>2978</v>
      </c>
      <c r="B2980" t="str">
        <f>HYPERLINK("https://bugs.eclipse.org/bugs/show_bug.cgi?id=131874", "131874")</f>
        <v>131874</v>
      </c>
      <c r="C2980" t="s">
        <v>149</v>
      </c>
      <c r="D2980" t="s">
        <v>10</v>
      </c>
      <c r="E2980" t="s">
        <v>12</v>
      </c>
      <c r="F2980" t="s">
        <v>26</v>
      </c>
      <c r="L2980" t="s">
        <v>13670</v>
      </c>
      <c r="N2980" t="s">
        <v>13670</v>
      </c>
      <c r="T2980" t="s">
        <v>13671</v>
      </c>
      <c r="U2980" t="s">
        <v>13672</v>
      </c>
      <c r="V2980" t="s">
        <v>13670</v>
      </c>
      <c r="W2980" t="s">
        <v>49</v>
      </c>
      <c r="X2980" t="s">
        <v>13673</v>
      </c>
      <c r="Y2980">
        <v>6</v>
      </c>
      <c r="Z2980">
        <v>38.958333333333343</v>
      </c>
    </row>
    <row r="2981" spans="1:26">
      <c r="A2981" s="1">
        <v>2979</v>
      </c>
      <c r="B2981" t="str">
        <f>HYPERLINK("https://bugs.eclipse.org/bugs/show_bug.cgi?id=132113", "132113")</f>
        <v>132113</v>
      </c>
      <c r="C2981" t="s">
        <v>140</v>
      </c>
      <c r="D2981" t="s">
        <v>10</v>
      </c>
      <c r="E2981" t="s">
        <v>16</v>
      </c>
      <c r="F2981" t="s">
        <v>26</v>
      </c>
      <c r="L2981" t="s">
        <v>13674</v>
      </c>
      <c r="R2981" t="s">
        <v>13674</v>
      </c>
      <c r="T2981" t="s">
        <v>13675</v>
      </c>
      <c r="U2981" t="s">
        <v>13676</v>
      </c>
      <c r="V2981" t="s">
        <v>13674</v>
      </c>
      <c r="W2981" t="s">
        <v>1954</v>
      </c>
      <c r="X2981" t="s">
        <v>13677</v>
      </c>
      <c r="Y2981">
        <v>84.958333333333329</v>
      </c>
      <c r="Z2981">
        <v>486.95833333333331</v>
      </c>
    </row>
    <row r="2982" spans="1:26">
      <c r="A2982" s="1">
        <v>2980</v>
      </c>
      <c r="B2982" t="str">
        <f>HYPERLINK("https://bugs.eclipse.org/bugs/show_bug.cgi?id=132195", "132195")</f>
        <v>132195</v>
      </c>
      <c r="C2982" t="s">
        <v>140</v>
      </c>
      <c r="D2982" t="s">
        <v>10</v>
      </c>
      <c r="E2982" t="s">
        <v>16</v>
      </c>
      <c r="F2982" t="s">
        <v>26</v>
      </c>
      <c r="L2982" t="s">
        <v>13678</v>
      </c>
      <c r="R2982" t="s">
        <v>13678</v>
      </c>
      <c r="T2982" t="s">
        <v>13679</v>
      </c>
      <c r="U2982" t="s">
        <v>13680</v>
      </c>
      <c r="V2982" t="s">
        <v>13678</v>
      </c>
      <c r="W2982" t="s">
        <v>49</v>
      </c>
      <c r="X2982" t="s">
        <v>13681</v>
      </c>
      <c r="Y2982">
        <v>5</v>
      </c>
      <c r="Z2982">
        <v>817.95833333333337</v>
      </c>
    </row>
    <row r="2983" spans="1:26">
      <c r="A2983" s="1">
        <v>2981</v>
      </c>
      <c r="B2983" t="str">
        <f>HYPERLINK("https://bugs.eclipse.org/bugs/show_bug.cgi?id=132240", "132240")</f>
        <v>132240</v>
      </c>
      <c r="C2983" t="s">
        <v>88</v>
      </c>
      <c r="D2983" t="s">
        <v>10</v>
      </c>
      <c r="E2983" t="s">
        <v>13</v>
      </c>
      <c r="F2983" t="s">
        <v>26</v>
      </c>
      <c r="L2983" t="s">
        <v>13682</v>
      </c>
      <c r="O2983" t="s">
        <v>13682</v>
      </c>
      <c r="T2983" t="s">
        <v>13683</v>
      </c>
      <c r="U2983" t="s">
        <v>13684</v>
      </c>
      <c r="V2983" t="s">
        <v>13682</v>
      </c>
      <c r="W2983" t="s">
        <v>851</v>
      </c>
      <c r="X2983" t="s">
        <v>13685</v>
      </c>
      <c r="Y2983">
        <v>0</v>
      </c>
      <c r="Z2983">
        <v>5</v>
      </c>
    </row>
    <row r="2984" spans="1:26">
      <c r="A2984" s="1">
        <v>2982</v>
      </c>
      <c r="B2984" t="str">
        <f>HYPERLINK("https://bugs.eclipse.org/bugs/show_bug.cgi?id=132290", "132290")</f>
        <v>132290</v>
      </c>
      <c r="C2984" t="s">
        <v>11355</v>
      </c>
      <c r="D2984" t="s">
        <v>10</v>
      </c>
      <c r="E2984" t="s">
        <v>15</v>
      </c>
      <c r="F2984" t="s">
        <v>150</v>
      </c>
      <c r="L2984" t="s">
        <v>13686</v>
      </c>
      <c r="Q2984" t="s">
        <v>13686</v>
      </c>
      <c r="T2984" t="s">
        <v>13687</v>
      </c>
      <c r="U2984" t="s">
        <v>13688</v>
      </c>
      <c r="V2984" t="s">
        <v>13686</v>
      </c>
      <c r="W2984" t="s">
        <v>49</v>
      </c>
      <c r="X2984" t="s">
        <v>13689</v>
      </c>
      <c r="Y2984">
        <v>0</v>
      </c>
      <c r="Z2984">
        <v>11</v>
      </c>
    </row>
    <row r="2985" spans="1:26">
      <c r="A2985" s="1">
        <v>2983</v>
      </c>
      <c r="B2985" t="str">
        <f>HYPERLINK("https://bugs.eclipse.org/bugs/show_bug.cgi?id=132299", "132299")</f>
        <v>132299</v>
      </c>
      <c r="C2985" t="s">
        <v>140</v>
      </c>
      <c r="D2985" t="s">
        <v>10</v>
      </c>
      <c r="E2985" t="s">
        <v>16</v>
      </c>
      <c r="F2985" t="s">
        <v>26</v>
      </c>
      <c r="L2985" t="s">
        <v>13690</v>
      </c>
      <c r="R2985" t="s">
        <v>13690</v>
      </c>
      <c r="T2985" t="s">
        <v>13691</v>
      </c>
      <c r="U2985" t="s">
        <v>13692</v>
      </c>
      <c r="V2985" t="s">
        <v>13690</v>
      </c>
      <c r="W2985" t="s">
        <v>49</v>
      </c>
      <c r="X2985" t="s">
        <v>13693</v>
      </c>
      <c r="Y2985">
        <v>2</v>
      </c>
      <c r="Z2985">
        <v>4</v>
      </c>
    </row>
    <row r="2986" spans="1:26">
      <c r="A2986" s="1">
        <v>2984</v>
      </c>
      <c r="B2986" t="str">
        <f>HYPERLINK("https://bugs.eclipse.org/bugs/show_bug.cgi?id=132302", "132302")</f>
        <v>132302</v>
      </c>
      <c r="C2986" t="s">
        <v>149</v>
      </c>
      <c r="D2986" t="s">
        <v>10</v>
      </c>
      <c r="E2986" t="s">
        <v>12</v>
      </c>
      <c r="F2986" t="s">
        <v>26</v>
      </c>
      <c r="L2986" t="s">
        <v>13694</v>
      </c>
      <c r="N2986" t="s">
        <v>13694</v>
      </c>
      <c r="T2986" t="s">
        <v>13695</v>
      </c>
      <c r="U2986" t="s">
        <v>13696</v>
      </c>
      <c r="V2986" t="s">
        <v>13694</v>
      </c>
      <c r="W2986" t="s">
        <v>2668</v>
      </c>
      <c r="X2986" t="s">
        <v>13697</v>
      </c>
      <c r="Y2986">
        <v>0</v>
      </c>
      <c r="Z2986">
        <v>6</v>
      </c>
    </row>
    <row r="2987" spans="1:26">
      <c r="A2987" s="1">
        <v>2985</v>
      </c>
      <c r="B2987" t="str">
        <f>HYPERLINK("https://bugs.eclipse.org/bugs/show_bug.cgi?id=132442", "132442")</f>
        <v>132442</v>
      </c>
      <c r="C2987" t="s">
        <v>4640</v>
      </c>
      <c r="D2987" t="s">
        <v>10</v>
      </c>
      <c r="E2987" t="s">
        <v>15</v>
      </c>
      <c r="F2987" t="s">
        <v>26</v>
      </c>
      <c r="L2987" t="s">
        <v>13698</v>
      </c>
      <c r="Q2987" t="s">
        <v>13698</v>
      </c>
      <c r="T2987" t="s">
        <v>13699</v>
      </c>
      <c r="U2987" t="s">
        <v>13700</v>
      </c>
      <c r="V2987" t="s">
        <v>13698</v>
      </c>
      <c r="W2987" t="s">
        <v>851</v>
      </c>
      <c r="X2987" t="s">
        <v>13701</v>
      </c>
      <c r="Y2987">
        <v>3</v>
      </c>
      <c r="Z2987">
        <v>4</v>
      </c>
    </row>
    <row r="2988" spans="1:26">
      <c r="A2988" s="1">
        <v>2986</v>
      </c>
      <c r="B2988" t="str">
        <f>HYPERLINK("https://bugs.eclipse.org/bugs/show_bug.cgi?id=132446", "132446")</f>
        <v>132446</v>
      </c>
      <c r="C2988" t="s">
        <v>140</v>
      </c>
      <c r="D2988" t="s">
        <v>10</v>
      </c>
      <c r="E2988" t="s">
        <v>16</v>
      </c>
      <c r="F2988" t="s">
        <v>26</v>
      </c>
      <c r="L2988" t="s">
        <v>13702</v>
      </c>
      <c r="R2988" t="s">
        <v>13702</v>
      </c>
      <c r="T2988" t="s">
        <v>13703</v>
      </c>
      <c r="U2988" t="s">
        <v>13702</v>
      </c>
      <c r="V2988" t="s">
        <v>13702</v>
      </c>
      <c r="W2988" t="s">
        <v>5703</v>
      </c>
      <c r="X2988" t="s">
        <v>13704</v>
      </c>
      <c r="Y2988">
        <v>1</v>
      </c>
      <c r="Z2988">
        <v>1</v>
      </c>
    </row>
    <row r="2989" spans="1:26">
      <c r="A2989" s="1">
        <v>2987</v>
      </c>
      <c r="B2989" t="str">
        <f>HYPERLINK("https://bugs.eclipse.org/bugs/show_bug.cgi?id=132484", "132484")</f>
        <v>132484</v>
      </c>
      <c r="C2989" t="s">
        <v>88</v>
      </c>
      <c r="D2989" t="s">
        <v>10</v>
      </c>
      <c r="E2989" t="s">
        <v>13</v>
      </c>
      <c r="F2989" t="s">
        <v>26</v>
      </c>
      <c r="L2989" t="s">
        <v>13705</v>
      </c>
      <c r="O2989" t="s">
        <v>13705</v>
      </c>
      <c r="T2989" t="s">
        <v>13706</v>
      </c>
      <c r="U2989" t="s">
        <v>13707</v>
      </c>
      <c r="V2989" t="s">
        <v>13705</v>
      </c>
      <c r="W2989" t="s">
        <v>49</v>
      </c>
      <c r="X2989" t="s">
        <v>13708</v>
      </c>
      <c r="Y2989">
        <v>0</v>
      </c>
      <c r="Z2989">
        <v>416.95833333333331</v>
      </c>
    </row>
    <row r="2990" spans="1:26">
      <c r="A2990" s="1">
        <v>2988</v>
      </c>
      <c r="B2990" t="str">
        <f>HYPERLINK("https://bugs.eclipse.org/bugs/show_bug.cgi?id=132532", "132532")</f>
        <v>132532</v>
      </c>
      <c r="C2990" t="s">
        <v>140</v>
      </c>
      <c r="D2990" t="s">
        <v>10</v>
      </c>
      <c r="E2990" t="s">
        <v>16</v>
      </c>
      <c r="F2990" t="s">
        <v>26</v>
      </c>
      <c r="L2990" t="s">
        <v>13709</v>
      </c>
      <c r="R2990" t="s">
        <v>13709</v>
      </c>
      <c r="T2990" t="s">
        <v>13710</v>
      </c>
      <c r="U2990" t="s">
        <v>13711</v>
      </c>
      <c r="V2990" t="s">
        <v>13709</v>
      </c>
      <c r="W2990" t="s">
        <v>2668</v>
      </c>
      <c r="X2990" t="s">
        <v>13712</v>
      </c>
      <c r="Y2990">
        <v>0</v>
      </c>
      <c r="Z2990">
        <v>0</v>
      </c>
    </row>
    <row r="2991" spans="1:26">
      <c r="A2991" s="1">
        <v>2989</v>
      </c>
      <c r="B2991" t="str">
        <f>HYPERLINK("https://bugs.eclipse.org/bugs/show_bug.cgi?id=132604", "132604")</f>
        <v>132604</v>
      </c>
      <c r="C2991" t="s">
        <v>149</v>
      </c>
      <c r="D2991" t="s">
        <v>10</v>
      </c>
      <c r="E2991" t="s">
        <v>12</v>
      </c>
      <c r="F2991" t="s">
        <v>26</v>
      </c>
      <c r="L2991" t="s">
        <v>13713</v>
      </c>
      <c r="N2991" t="s">
        <v>13713</v>
      </c>
      <c r="T2991" t="s">
        <v>13714</v>
      </c>
      <c r="U2991" t="s">
        <v>13715</v>
      </c>
      <c r="V2991" t="s">
        <v>13713</v>
      </c>
      <c r="W2991" t="s">
        <v>2668</v>
      </c>
      <c r="X2991" t="s">
        <v>13716</v>
      </c>
      <c r="Y2991">
        <v>1</v>
      </c>
      <c r="Z2991">
        <v>30.958333333333329</v>
      </c>
    </row>
    <row r="2992" spans="1:26">
      <c r="A2992" s="1">
        <v>2990</v>
      </c>
      <c r="B2992" t="str">
        <f>HYPERLINK("https://bugs.eclipse.org/bugs/show_bug.cgi?id=132606", "132606")</f>
        <v>132606</v>
      </c>
      <c r="C2992" t="s">
        <v>140</v>
      </c>
      <c r="D2992" t="s">
        <v>10</v>
      </c>
      <c r="E2992" t="s">
        <v>16</v>
      </c>
      <c r="F2992" t="s">
        <v>26</v>
      </c>
      <c r="L2992" t="s">
        <v>13717</v>
      </c>
      <c r="N2992" t="s">
        <v>13718</v>
      </c>
      <c r="R2992" t="s">
        <v>13717</v>
      </c>
      <c r="S2992" t="s">
        <v>13719</v>
      </c>
      <c r="T2992" t="s">
        <v>13720</v>
      </c>
      <c r="U2992" t="s">
        <v>13721</v>
      </c>
      <c r="V2992" t="s">
        <v>13722</v>
      </c>
      <c r="W2992" t="s">
        <v>2668</v>
      </c>
      <c r="X2992" t="s">
        <v>13723</v>
      </c>
      <c r="Y2992">
        <v>1</v>
      </c>
      <c r="Z2992">
        <v>16.958333333333329</v>
      </c>
    </row>
    <row r="2993" spans="1:26">
      <c r="A2993" s="1">
        <v>2991</v>
      </c>
      <c r="B2993" t="str">
        <f>HYPERLINK("https://bugs.eclipse.org/bugs/show_bug.cgi?id=132687", "132687")</f>
        <v>132687</v>
      </c>
      <c r="C2993" t="s">
        <v>149</v>
      </c>
      <c r="D2993" t="s">
        <v>10</v>
      </c>
      <c r="E2993" t="s">
        <v>12</v>
      </c>
      <c r="F2993" t="s">
        <v>26</v>
      </c>
      <c r="L2993" t="s">
        <v>13724</v>
      </c>
      <c r="N2993" t="s">
        <v>13724</v>
      </c>
      <c r="T2993" t="s">
        <v>13725</v>
      </c>
      <c r="U2993" t="s">
        <v>13726</v>
      </c>
      <c r="V2993" t="s">
        <v>13727</v>
      </c>
      <c r="W2993" t="s">
        <v>851</v>
      </c>
      <c r="X2993" t="s">
        <v>13728</v>
      </c>
      <c r="Y2993">
        <v>1</v>
      </c>
      <c r="Z2993">
        <v>44.958333333333343</v>
      </c>
    </row>
    <row r="2994" spans="1:26">
      <c r="A2994" s="1">
        <v>2992</v>
      </c>
      <c r="B2994" t="str">
        <f>HYPERLINK("https://bugs.eclipse.org/bugs/show_bug.cgi?id=132746", "132746")</f>
        <v>132746</v>
      </c>
      <c r="C2994" t="s">
        <v>13303</v>
      </c>
      <c r="D2994" t="s">
        <v>10</v>
      </c>
      <c r="E2994" t="s">
        <v>15</v>
      </c>
      <c r="F2994" t="s">
        <v>26</v>
      </c>
      <c r="L2994" t="s">
        <v>13729</v>
      </c>
      <c r="Q2994" t="s">
        <v>13729</v>
      </c>
      <c r="T2994" t="s">
        <v>13730</v>
      </c>
      <c r="U2994" t="s">
        <v>13731</v>
      </c>
      <c r="V2994" t="s">
        <v>13729</v>
      </c>
      <c r="W2994" t="s">
        <v>49</v>
      </c>
      <c r="X2994" t="s">
        <v>13732</v>
      </c>
      <c r="Y2994">
        <v>0</v>
      </c>
      <c r="Z2994">
        <v>7</v>
      </c>
    </row>
    <row r="2995" spans="1:26">
      <c r="A2995" s="1">
        <v>2993</v>
      </c>
      <c r="B2995" t="str">
        <f>HYPERLINK("https://bugs.eclipse.org/bugs/show_bug.cgi?id=132748", "132748")</f>
        <v>132748</v>
      </c>
      <c r="C2995" t="s">
        <v>149</v>
      </c>
      <c r="D2995" t="s">
        <v>10</v>
      </c>
      <c r="E2995" t="s">
        <v>12</v>
      </c>
      <c r="F2995" t="s">
        <v>26</v>
      </c>
      <c r="L2995" t="s">
        <v>13733</v>
      </c>
      <c r="N2995" t="s">
        <v>13733</v>
      </c>
      <c r="T2995" t="s">
        <v>13734</v>
      </c>
      <c r="U2995" t="s">
        <v>13735</v>
      </c>
      <c r="V2995" t="s">
        <v>13733</v>
      </c>
      <c r="W2995" t="s">
        <v>851</v>
      </c>
      <c r="X2995" t="s">
        <v>13736</v>
      </c>
      <c r="Y2995">
        <v>0</v>
      </c>
      <c r="Z2995">
        <v>2</v>
      </c>
    </row>
    <row r="2996" spans="1:26">
      <c r="A2996" s="1">
        <v>2994</v>
      </c>
      <c r="B2996" t="str">
        <f>HYPERLINK("https://bugs.eclipse.org/bugs/show_bug.cgi?id=132840", "132840")</f>
        <v>132840</v>
      </c>
      <c r="C2996" t="s">
        <v>13737</v>
      </c>
      <c r="D2996" t="s">
        <v>10</v>
      </c>
      <c r="E2996" t="s">
        <v>15</v>
      </c>
      <c r="F2996" t="s">
        <v>26</v>
      </c>
      <c r="L2996" t="s">
        <v>13738</v>
      </c>
      <c r="Q2996" t="s">
        <v>13738</v>
      </c>
      <c r="T2996" t="s">
        <v>13739</v>
      </c>
      <c r="U2996" t="s">
        <v>13738</v>
      </c>
      <c r="V2996" t="s">
        <v>13738</v>
      </c>
      <c r="W2996" t="s">
        <v>851</v>
      </c>
      <c r="X2996" t="s">
        <v>13740</v>
      </c>
      <c r="Y2996">
        <v>0</v>
      </c>
      <c r="Z2996">
        <v>0</v>
      </c>
    </row>
    <row r="2997" spans="1:26">
      <c r="A2997" s="1">
        <v>2995</v>
      </c>
      <c r="B2997" t="str">
        <f>HYPERLINK("https://bugs.eclipse.org/bugs/show_bug.cgi?id=132931", "132931")</f>
        <v>132931</v>
      </c>
      <c r="C2997" t="s">
        <v>149</v>
      </c>
      <c r="D2997" t="s">
        <v>10</v>
      </c>
      <c r="E2997" t="s">
        <v>12</v>
      </c>
      <c r="F2997" t="s">
        <v>26</v>
      </c>
      <c r="L2997" t="s">
        <v>13741</v>
      </c>
      <c r="N2997" t="s">
        <v>13741</v>
      </c>
      <c r="T2997" t="s">
        <v>13742</v>
      </c>
      <c r="U2997" t="s">
        <v>13743</v>
      </c>
      <c r="V2997" t="s">
        <v>13741</v>
      </c>
      <c r="W2997" t="s">
        <v>851</v>
      </c>
      <c r="X2997" t="s">
        <v>13744</v>
      </c>
      <c r="Y2997">
        <v>0</v>
      </c>
      <c r="Z2997">
        <v>1</v>
      </c>
    </row>
    <row r="2998" spans="1:26">
      <c r="A2998" s="1">
        <v>2996</v>
      </c>
      <c r="B2998" t="str">
        <f>HYPERLINK("https://bugs.eclipse.org/bugs/show_bug.cgi?id=133153", "133153")</f>
        <v>133153</v>
      </c>
      <c r="C2998" t="s">
        <v>149</v>
      </c>
      <c r="D2998" t="s">
        <v>10</v>
      </c>
      <c r="E2998" t="s">
        <v>12</v>
      </c>
      <c r="F2998" t="s">
        <v>26</v>
      </c>
      <c r="L2998" t="s">
        <v>13745</v>
      </c>
      <c r="N2998" t="s">
        <v>13745</v>
      </c>
      <c r="T2998" t="s">
        <v>13746</v>
      </c>
      <c r="U2998" t="s">
        <v>13747</v>
      </c>
      <c r="V2998" t="s">
        <v>13745</v>
      </c>
      <c r="W2998" t="s">
        <v>2668</v>
      </c>
      <c r="X2998" t="s">
        <v>13748</v>
      </c>
      <c r="Y2998">
        <v>0</v>
      </c>
      <c r="Z2998">
        <v>3</v>
      </c>
    </row>
    <row r="2999" spans="1:26">
      <c r="A2999" s="1">
        <v>2997</v>
      </c>
      <c r="B2999" t="str">
        <f>HYPERLINK("https://bugs.eclipse.org/bugs/show_bug.cgi?id=133277", "133277")</f>
        <v>133277</v>
      </c>
      <c r="C2999" t="s">
        <v>149</v>
      </c>
      <c r="D2999" t="s">
        <v>10</v>
      </c>
      <c r="E2999" t="s">
        <v>12</v>
      </c>
      <c r="F2999" t="s">
        <v>26</v>
      </c>
      <c r="G2999" t="s">
        <v>13749</v>
      </c>
      <c r="H2999" t="s">
        <v>13750</v>
      </c>
      <c r="L2999" t="s">
        <v>13751</v>
      </c>
      <c r="N2999" t="s">
        <v>13751</v>
      </c>
      <c r="T2999" t="s">
        <v>13752</v>
      </c>
      <c r="U2999" t="s">
        <v>13753</v>
      </c>
      <c r="V2999" t="s">
        <v>13754</v>
      </c>
      <c r="W2999" t="s">
        <v>49</v>
      </c>
      <c r="X2999" t="s">
        <v>13755</v>
      </c>
      <c r="Y2999">
        <v>2</v>
      </c>
      <c r="Z2999">
        <v>437.95833333333331</v>
      </c>
    </row>
    <row r="3000" spans="1:26">
      <c r="A3000" s="1">
        <v>2998</v>
      </c>
      <c r="B3000" t="str">
        <f>HYPERLINK("https://bugs.eclipse.org/bugs/show_bug.cgi?id=133469", "133469")</f>
        <v>133469</v>
      </c>
      <c r="C3000" t="s">
        <v>13756</v>
      </c>
      <c r="D3000" t="s">
        <v>10</v>
      </c>
      <c r="E3000" t="s">
        <v>15</v>
      </c>
      <c r="F3000" t="s">
        <v>26</v>
      </c>
      <c r="G3000" t="s">
        <v>13757</v>
      </c>
      <c r="L3000" t="s">
        <v>13758</v>
      </c>
      <c r="Q3000" t="s">
        <v>13758</v>
      </c>
      <c r="S3000" t="s">
        <v>13759</v>
      </c>
      <c r="T3000" t="s">
        <v>13760</v>
      </c>
      <c r="U3000" t="s">
        <v>13761</v>
      </c>
      <c r="V3000" t="s">
        <v>13758</v>
      </c>
      <c r="W3000" t="s">
        <v>851</v>
      </c>
      <c r="X3000" t="s">
        <v>13762</v>
      </c>
      <c r="Y3000">
        <v>0</v>
      </c>
      <c r="Z3000">
        <v>0</v>
      </c>
    </row>
    <row r="3001" spans="1:26">
      <c r="A3001" s="1">
        <v>2999</v>
      </c>
      <c r="B3001" t="str">
        <f>HYPERLINK("https://bugs.eclipse.org/bugs/show_bug.cgi?id=133488", "133488")</f>
        <v>133488</v>
      </c>
      <c r="C3001" t="s">
        <v>35</v>
      </c>
      <c r="D3001" t="s">
        <v>11</v>
      </c>
      <c r="E3001" t="s">
        <v>12</v>
      </c>
      <c r="F3001" t="s">
        <v>26</v>
      </c>
      <c r="L3001" t="s">
        <v>13763</v>
      </c>
      <c r="M3001" t="s">
        <v>13764</v>
      </c>
      <c r="N3001" t="s">
        <v>13763</v>
      </c>
      <c r="S3001" t="s">
        <v>13765</v>
      </c>
      <c r="T3001" t="s">
        <v>13766</v>
      </c>
      <c r="U3001" t="s">
        <v>13767</v>
      </c>
      <c r="V3001" t="s">
        <v>13764</v>
      </c>
      <c r="W3001" t="s">
        <v>49</v>
      </c>
      <c r="X3001" t="s">
        <v>13768</v>
      </c>
      <c r="Y3001">
        <v>0</v>
      </c>
      <c r="Z3001">
        <v>5.958333333333333</v>
      </c>
    </row>
    <row r="3002" spans="1:26">
      <c r="A3002" s="1">
        <v>3000</v>
      </c>
      <c r="B3002" t="str">
        <f>HYPERLINK("https://bugs.eclipse.org/bugs/show_bug.cgi?id=133504", "133504")</f>
        <v>133504</v>
      </c>
      <c r="C3002" t="s">
        <v>140</v>
      </c>
      <c r="D3002" t="s">
        <v>10</v>
      </c>
      <c r="E3002" t="s">
        <v>16</v>
      </c>
      <c r="F3002" t="s">
        <v>26</v>
      </c>
      <c r="L3002" t="s">
        <v>13769</v>
      </c>
      <c r="R3002" t="s">
        <v>13769</v>
      </c>
      <c r="S3002" t="s">
        <v>13770</v>
      </c>
      <c r="T3002" t="s">
        <v>13771</v>
      </c>
      <c r="U3002" t="s">
        <v>13772</v>
      </c>
      <c r="V3002" t="s">
        <v>13769</v>
      </c>
      <c r="W3002" t="s">
        <v>143</v>
      </c>
      <c r="X3002" t="s">
        <v>13773</v>
      </c>
      <c r="Y3002">
        <v>0</v>
      </c>
      <c r="Z3002">
        <v>1710</v>
      </c>
    </row>
    <row r="3003" spans="1:26">
      <c r="A3003" s="1">
        <v>3001</v>
      </c>
      <c r="B3003" t="str">
        <f>HYPERLINK("https://bugs.eclipse.org/bugs/show_bug.cgi?id=133520", "133520")</f>
        <v>133520</v>
      </c>
      <c r="C3003" t="s">
        <v>149</v>
      </c>
      <c r="D3003" t="s">
        <v>10</v>
      </c>
      <c r="E3003" t="s">
        <v>12</v>
      </c>
      <c r="F3003" t="s">
        <v>26</v>
      </c>
      <c r="L3003" t="s">
        <v>13774</v>
      </c>
      <c r="N3003" t="s">
        <v>13774</v>
      </c>
      <c r="T3003" t="s">
        <v>13775</v>
      </c>
      <c r="U3003" t="s">
        <v>13776</v>
      </c>
      <c r="V3003" t="s">
        <v>13774</v>
      </c>
      <c r="W3003" t="s">
        <v>2668</v>
      </c>
      <c r="X3003" t="s">
        <v>13777</v>
      </c>
      <c r="Y3003">
        <v>0</v>
      </c>
      <c r="Z3003">
        <v>6.958333333333333</v>
      </c>
    </row>
    <row r="3004" spans="1:26">
      <c r="A3004" s="1">
        <v>3002</v>
      </c>
      <c r="B3004" t="str">
        <f>HYPERLINK("https://bugs.eclipse.org/bugs/show_bug.cgi?id=133555", "133555")</f>
        <v>133555</v>
      </c>
      <c r="C3004" t="s">
        <v>149</v>
      </c>
      <c r="D3004" t="s">
        <v>10</v>
      </c>
      <c r="E3004" t="s">
        <v>12</v>
      </c>
      <c r="F3004" t="s">
        <v>26</v>
      </c>
      <c r="L3004" t="s">
        <v>13778</v>
      </c>
      <c r="N3004" t="s">
        <v>13778</v>
      </c>
      <c r="T3004" t="s">
        <v>13779</v>
      </c>
      <c r="U3004" t="s">
        <v>13780</v>
      </c>
      <c r="V3004" t="s">
        <v>13778</v>
      </c>
      <c r="W3004" t="s">
        <v>851</v>
      </c>
      <c r="X3004" t="s">
        <v>13781</v>
      </c>
      <c r="Y3004">
        <v>1</v>
      </c>
      <c r="Z3004">
        <v>29.958333333333329</v>
      </c>
    </row>
    <row r="3005" spans="1:26">
      <c r="A3005" s="1">
        <v>3003</v>
      </c>
      <c r="B3005" t="str">
        <f>HYPERLINK("https://bugs.eclipse.org/bugs/show_bug.cgi?id=133559", "133559")</f>
        <v>133559</v>
      </c>
      <c r="C3005" t="s">
        <v>191</v>
      </c>
      <c r="D3005" t="s">
        <v>192</v>
      </c>
      <c r="E3005" t="s">
        <v>14</v>
      </c>
      <c r="F3005" t="s">
        <v>26</v>
      </c>
      <c r="G3005" t="s">
        <v>13782</v>
      </c>
      <c r="P3005" t="s">
        <v>13783</v>
      </c>
      <c r="T3005" t="s">
        <v>13784</v>
      </c>
      <c r="U3005" t="s">
        <v>13785</v>
      </c>
      <c r="V3005" t="s">
        <v>13783</v>
      </c>
      <c r="W3005" t="s">
        <v>65</v>
      </c>
      <c r="X3005" t="s">
        <v>13786</v>
      </c>
      <c r="Y3005">
        <v>65.958333333333329</v>
      </c>
      <c r="Z3005">
        <v>5105.958333333333</v>
      </c>
    </row>
    <row r="3006" spans="1:26">
      <c r="A3006" s="1">
        <v>3004</v>
      </c>
      <c r="B3006" t="str">
        <f>HYPERLINK("https://bugs.eclipse.org/bugs/show_bug.cgi?id=133603", "133603")</f>
        <v>133603</v>
      </c>
      <c r="C3006" t="s">
        <v>35</v>
      </c>
      <c r="D3006" t="s">
        <v>11</v>
      </c>
      <c r="E3006" t="s">
        <v>12</v>
      </c>
      <c r="F3006" t="s">
        <v>26</v>
      </c>
      <c r="L3006" t="s">
        <v>13787</v>
      </c>
      <c r="M3006" t="s">
        <v>13788</v>
      </c>
      <c r="N3006" t="s">
        <v>13787</v>
      </c>
      <c r="T3006" t="s">
        <v>13789</v>
      </c>
      <c r="U3006" t="s">
        <v>13790</v>
      </c>
      <c r="V3006" t="s">
        <v>13788</v>
      </c>
      <c r="W3006" t="s">
        <v>1954</v>
      </c>
      <c r="X3006" t="s">
        <v>13791</v>
      </c>
      <c r="Y3006">
        <v>1</v>
      </c>
      <c r="Z3006">
        <v>2</v>
      </c>
    </row>
    <row r="3007" spans="1:26">
      <c r="A3007" s="1">
        <v>3005</v>
      </c>
      <c r="B3007" t="str">
        <f>HYPERLINK("https://bugs.eclipse.org/bugs/show_bug.cgi?id=133609", "133609")</f>
        <v>133609</v>
      </c>
      <c r="C3007" t="s">
        <v>149</v>
      </c>
      <c r="D3007" t="s">
        <v>10</v>
      </c>
      <c r="E3007" t="s">
        <v>12</v>
      </c>
      <c r="F3007" t="s">
        <v>26</v>
      </c>
      <c r="L3007" t="s">
        <v>13792</v>
      </c>
      <c r="N3007" t="s">
        <v>13792</v>
      </c>
      <c r="T3007" t="s">
        <v>13793</v>
      </c>
      <c r="U3007" t="s">
        <v>13794</v>
      </c>
      <c r="V3007" t="s">
        <v>13792</v>
      </c>
      <c r="W3007" t="s">
        <v>2668</v>
      </c>
      <c r="X3007" t="s">
        <v>13795</v>
      </c>
      <c r="Y3007">
        <v>1</v>
      </c>
      <c r="Z3007">
        <v>29.958333333333329</v>
      </c>
    </row>
    <row r="3008" spans="1:26">
      <c r="A3008" s="1">
        <v>3006</v>
      </c>
      <c r="B3008" t="str">
        <f>HYPERLINK("https://bugs.eclipse.org/bugs/show_bug.cgi?id=133614", "133614")</f>
        <v>133614</v>
      </c>
      <c r="C3008" t="s">
        <v>149</v>
      </c>
      <c r="D3008" t="s">
        <v>10</v>
      </c>
      <c r="E3008" t="s">
        <v>12</v>
      </c>
      <c r="F3008" t="s">
        <v>26</v>
      </c>
      <c r="L3008" t="s">
        <v>13796</v>
      </c>
      <c r="N3008" t="s">
        <v>13796</v>
      </c>
      <c r="T3008" t="s">
        <v>13797</v>
      </c>
      <c r="U3008" t="s">
        <v>13798</v>
      </c>
      <c r="V3008" t="s">
        <v>13796</v>
      </c>
      <c r="W3008" t="s">
        <v>49</v>
      </c>
      <c r="X3008" t="s">
        <v>13799</v>
      </c>
      <c r="Y3008">
        <v>1</v>
      </c>
      <c r="Z3008">
        <v>554.95833333333337</v>
      </c>
    </row>
    <row r="3009" spans="1:26">
      <c r="A3009" s="1">
        <v>3007</v>
      </c>
      <c r="B3009" t="str">
        <f>HYPERLINK("https://bugs.eclipse.org/bugs/show_bug.cgi?id=133618", "133618")</f>
        <v>133618</v>
      </c>
      <c r="C3009" t="s">
        <v>149</v>
      </c>
      <c r="D3009" t="s">
        <v>10</v>
      </c>
      <c r="E3009" t="s">
        <v>12</v>
      </c>
      <c r="F3009" t="s">
        <v>26</v>
      </c>
      <c r="L3009" t="s">
        <v>13800</v>
      </c>
      <c r="N3009" t="s">
        <v>13800</v>
      </c>
      <c r="T3009" t="s">
        <v>13801</v>
      </c>
      <c r="U3009" t="s">
        <v>13802</v>
      </c>
      <c r="V3009" t="s">
        <v>13803</v>
      </c>
      <c r="W3009" t="s">
        <v>2668</v>
      </c>
      <c r="X3009" t="s">
        <v>13804</v>
      </c>
      <c r="Y3009">
        <v>1</v>
      </c>
      <c r="Z3009">
        <v>7.958333333333333</v>
      </c>
    </row>
    <row r="3010" spans="1:26">
      <c r="A3010" s="1">
        <v>3008</v>
      </c>
      <c r="B3010" t="str">
        <f>HYPERLINK("https://bugs.eclipse.org/bugs/show_bug.cgi?id=133807", "133807")</f>
        <v>133807</v>
      </c>
      <c r="C3010" t="s">
        <v>35</v>
      </c>
      <c r="D3010" t="s">
        <v>11</v>
      </c>
      <c r="E3010" t="s">
        <v>12</v>
      </c>
      <c r="F3010" t="s">
        <v>26</v>
      </c>
      <c r="L3010" t="s">
        <v>13805</v>
      </c>
      <c r="M3010" t="s">
        <v>13806</v>
      </c>
      <c r="N3010" t="s">
        <v>13805</v>
      </c>
      <c r="T3010" t="s">
        <v>13807</v>
      </c>
      <c r="U3010" t="s">
        <v>13805</v>
      </c>
      <c r="V3010" t="s">
        <v>13806</v>
      </c>
      <c r="W3010" t="s">
        <v>49</v>
      </c>
      <c r="X3010" t="s">
        <v>13808</v>
      </c>
      <c r="Y3010">
        <v>0</v>
      </c>
      <c r="Z3010">
        <v>1</v>
      </c>
    </row>
    <row r="3011" spans="1:26">
      <c r="A3011" s="1">
        <v>3009</v>
      </c>
      <c r="B3011" t="str">
        <f>HYPERLINK("https://bugs.eclipse.org/bugs/show_bug.cgi?id=133824", "133824")</f>
        <v>133824</v>
      </c>
      <c r="C3011" t="s">
        <v>35</v>
      </c>
      <c r="D3011" t="s">
        <v>11</v>
      </c>
      <c r="E3011" t="s">
        <v>12</v>
      </c>
      <c r="F3011" t="s">
        <v>26</v>
      </c>
      <c r="L3011" t="s">
        <v>13809</v>
      </c>
      <c r="M3011" t="s">
        <v>13810</v>
      </c>
      <c r="N3011" t="s">
        <v>13809</v>
      </c>
      <c r="T3011" t="s">
        <v>13811</v>
      </c>
      <c r="U3011" t="s">
        <v>13812</v>
      </c>
      <c r="V3011" t="s">
        <v>13810</v>
      </c>
      <c r="W3011" t="s">
        <v>1954</v>
      </c>
      <c r="X3011" t="s">
        <v>13813</v>
      </c>
      <c r="Y3011">
        <v>0</v>
      </c>
      <c r="Z3011">
        <v>1</v>
      </c>
    </row>
    <row r="3012" spans="1:26">
      <c r="A3012" s="1">
        <v>3010</v>
      </c>
      <c r="B3012" t="str">
        <f>HYPERLINK("https://bugs.eclipse.org/bugs/show_bug.cgi?id=133891", "133891")</f>
        <v>133891</v>
      </c>
      <c r="C3012" t="s">
        <v>149</v>
      </c>
      <c r="D3012" t="s">
        <v>10</v>
      </c>
      <c r="E3012" t="s">
        <v>12</v>
      </c>
      <c r="F3012" t="s">
        <v>26</v>
      </c>
      <c r="L3012" t="s">
        <v>13814</v>
      </c>
      <c r="N3012" t="s">
        <v>13814</v>
      </c>
      <c r="T3012" t="s">
        <v>13815</v>
      </c>
      <c r="U3012" t="s">
        <v>13814</v>
      </c>
      <c r="V3012" t="s">
        <v>13814</v>
      </c>
      <c r="W3012" t="s">
        <v>2668</v>
      </c>
      <c r="X3012" t="s">
        <v>13816</v>
      </c>
      <c r="Y3012">
        <v>5.958333333333333</v>
      </c>
      <c r="Z3012">
        <v>5.958333333333333</v>
      </c>
    </row>
    <row r="3013" spans="1:26">
      <c r="A3013" s="1">
        <v>3011</v>
      </c>
      <c r="B3013" t="str">
        <f>HYPERLINK("https://bugs.eclipse.org/bugs/show_bug.cgi?id=134048", "134048")</f>
        <v>134048</v>
      </c>
      <c r="C3013" t="s">
        <v>149</v>
      </c>
      <c r="D3013" t="s">
        <v>10</v>
      </c>
      <c r="E3013" t="s">
        <v>12</v>
      </c>
      <c r="F3013" t="s">
        <v>26</v>
      </c>
      <c r="L3013" t="s">
        <v>13817</v>
      </c>
      <c r="N3013" t="s">
        <v>13817</v>
      </c>
      <c r="T3013" t="s">
        <v>13818</v>
      </c>
      <c r="U3013" t="s">
        <v>13817</v>
      </c>
      <c r="V3013" t="s">
        <v>13817</v>
      </c>
      <c r="W3013" t="s">
        <v>851</v>
      </c>
      <c r="X3013" t="s">
        <v>13819</v>
      </c>
      <c r="Y3013">
        <v>1</v>
      </c>
      <c r="Z3013">
        <v>1</v>
      </c>
    </row>
    <row r="3014" spans="1:26">
      <c r="A3014" s="1">
        <v>3012</v>
      </c>
      <c r="B3014" t="str">
        <f>HYPERLINK("https://bugs.eclipse.org/bugs/show_bug.cgi?id=134050", "134050")</f>
        <v>134050</v>
      </c>
      <c r="C3014" t="s">
        <v>191</v>
      </c>
      <c r="D3014" t="s">
        <v>192</v>
      </c>
      <c r="E3014" t="s">
        <v>14</v>
      </c>
      <c r="F3014" t="s">
        <v>26</v>
      </c>
      <c r="P3014" t="s">
        <v>13820</v>
      </c>
      <c r="T3014" t="s">
        <v>13821</v>
      </c>
      <c r="U3014" t="s">
        <v>13822</v>
      </c>
      <c r="V3014" t="s">
        <v>13820</v>
      </c>
      <c r="W3014" t="s">
        <v>65</v>
      </c>
      <c r="X3014" t="s">
        <v>13823</v>
      </c>
      <c r="Y3014">
        <v>4.958333333333333</v>
      </c>
      <c r="Z3014">
        <v>5051</v>
      </c>
    </row>
    <row r="3015" spans="1:26">
      <c r="A3015" s="1">
        <v>3013</v>
      </c>
      <c r="B3015" t="str">
        <f>HYPERLINK("https://bugs.eclipse.org/bugs/show_bug.cgi?id=134067", "134067")</f>
        <v>134067</v>
      </c>
      <c r="C3015" t="s">
        <v>191</v>
      </c>
      <c r="D3015" t="s">
        <v>192</v>
      </c>
      <c r="E3015" t="s">
        <v>14</v>
      </c>
      <c r="F3015" t="s">
        <v>26</v>
      </c>
      <c r="T3015" t="s">
        <v>13824</v>
      </c>
      <c r="U3015" t="s">
        <v>13825</v>
      </c>
      <c r="V3015" t="s">
        <v>13826</v>
      </c>
      <c r="W3015" t="s">
        <v>65</v>
      </c>
      <c r="X3015" t="s">
        <v>13827</v>
      </c>
      <c r="Y3015">
        <v>59.958333333333343</v>
      </c>
      <c r="Z3015">
        <v>4901.958333333333</v>
      </c>
    </row>
    <row r="3016" spans="1:26">
      <c r="A3016" s="1">
        <v>3014</v>
      </c>
      <c r="B3016" t="str">
        <f>HYPERLINK("https://bugs.eclipse.org/bugs/show_bug.cgi?id=134068", "134068")</f>
        <v>134068</v>
      </c>
      <c r="C3016" t="s">
        <v>149</v>
      </c>
      <c r="D3016" t="s">
        <v>10</v>
      </c>
      <c r="E3016" t="s">
        <v>12</v>
      </c>
      <c r="F3016" t="s">
        <v>26</v>
      </c>
      <c r="L3016" t="s">
        <v>13828</v>
      </c>
      <c r="N3016" t="s">
        <v>13828</v>
      </c>
      <c r="T3016" t="s">
        <v>13829</v>
      </c>
      <c r="U3016" t="s">
        <v>13828</v>
      </c>
      <c r="V3016" t="s">
        <v>13828</v>
      </c>
      <c r="W3016" t="s">
        <v>2668</v>
      </c>
      <c r="X3016" t="s">
        <v>13830</v>
      </c>
      <c r="Y3016">
        <v>4.958333333333333</v>
      </c>
      <c r="Z3016">
        <v>4.958333333333333</v>
      </c>
    </row>
    <row r="3017" spans="1:26">
      <c r="A3017" s="1">
        <v>3015</v>
      </c>
      <c r="B3017" t="str">
        <f>HYPERLINK("https://bugs.eclipse.org/bugs/show_bug.cgi?id=134072", "134072")</f>
        <v>134072</v>
      </c>
      <c r="C3017" t="s">
        <v>191</v>
      </c>
      <c r="D3017" t="s">
        <v>192</v>
      </c>
      <c r="E3017" t="s">
        <v>14</v>
      </c>
      <c r="F3017" t="s">
        <v>26</v>
      </c>
      <c r="P3017" t="s">
        <v>13831</v>
      </c>
      <c r="T3017" t="s">
        <v>13832</v>
      </c>
      <c r="U3017" t="s">
        <v>13833</v>
      </c>
      <c r="V3017" t="s">
        <v>13831</v>
      </c>
      <c r="W3017" t="s">
        <v>65</v>
      </c>
      <c r="X3017" t="s">
        <v>13834</v>
      </c>
      <c r="Y3017">
        <v>0</v>
      </c>
      <c r="Z3017">
        <v>5123.958333333333</v>
      </c>
    </row>
    <row r="3018" spans="1:26">
      <c r="A3018" s="1">
        <v>3016</v>
      </c>
      <c r="B3018" t="str">
        <f>HYPERLINK("https://bugs.eclipse.org/bugs/show_bug.cgi?id=134502", "134502")</f>
        <v>134502</v>
      </c>
      <c r="C3018" t="s">
        <v>995</v>
      </c>
      <c r="D3018" t="s">
        <v>192</v>
      </c>
      <c r="E3018" t="s">
        <v>12</v>
      </c>
      <c r="F3018" t="s">
        <v>26</v>
      </c>
      <c r="L3018" t="s">
        <v>13835</v>
      </c>
      <c r="N3018" t="s">
        <v>13835</v>
      </c>
      <c r="T3018" t="s">
        <v>13836</v>
      </c>
      <c r="U3018" t="s">
        <v>13837</v>
      </c>
      <c r="V3018" t="s">
        <v>13838</v>
      </c>
      <c r="W3018" t="s">
        <v>13839</v>
      </c>
      <c r="X3018" t="s">
        <v>13840</v>
      </c>
      <c r="Y3018">
        <v>38</v>
      </c>
      <c r="Z3018">
        <v>41</v>
      </c>
    </row>
    <row r="3019" spans="1:26">
      <c r="A3019" s="1">
        <v>3017</v>
      </c>
      <c r="B3019" t="str">
        <f>HYPERLINK("https://bugs.eclipse.org/bugs/show_bug.cgi?id=134523", "134523")</f>
        <v>134523</v>
      </c>
      <c r="C3019" t="s">
        <v>149</v>
      </c>
      <c r="D3019" t="s">
        <v>10</v>
      </c>
      <c r="E3019" t="s">
        <v>12</v>
      </c>
      <c r="F3019" t="s">
        <v>26</v>
      </c>
      <c r="L3019" t="s">
        <v>13841</v>
      </c>
      <c r="N3019" t="s">
        <v>13841</v>
      </c>
      <c r="T3019" t="s">
        <v>13842</v>
      </c>
      <c r="U3019" t="s">
        <v>13841</v>
      </c>
      <c r="V3019" t="s">
        <v>13841</v>
      </c>
      <c r="W3019" t="s">
        <v>1954</v>
      </c>
      <c r="X3019" t="s">
        <v>13843</v>
      </c>
      <c r="Y3019">
        <v>0</v>
      </c>
      <c r="Z3019">
        <v>0</v>
      </c>
    </row>
    <row r="3020" spans="1:26">
      <c r="A3020" s="1">
        <v>3018</v>
      </c>
      <c r="B3020" t="str">
        <f>HYPERLINK("https://bugs.eclipse.org/bugs/show_bug.cgi?id=134655", "134655")</f>
        <v>134655</v>
      </c>
      <c r="C3020" t="s">
        <v>149</v>
      </c>
      <c r="D3020" t="s">
        <v>10</v>
      </c>
      <c r="E3020" t="s">
        <v>12</v>
      </c>
      <c r="F3020" t="s">
        <v>26</v>
      </c>
      <c r="L3020" t="s">
        <v>13844</v>
      </c>
      <c r="N3020" t="s">
        <v>13844</v>
      </c>
      <c r="T3020" t="s">
        <v>13845</v>
      </c>
      <c r="U3020" t="s">
        <v>13846</v>
      </c>
      <c r="V3020" t="s">
        <v>13844</v>
      </c>
      <c r="W3020" t="s">
        <v>49</v>
      </c>
      <c r="X3020" t="s">
        <v>13847</v>
      </c>
      <c r="Y3020">
        <v>2</v>
      </c>
      <c r="Z3020">
        <v>2</v>
      </c>
    </row>
    <row r="3021" spans="1:26">
      <c r="A3021" s="1">
        <v>3019</v>
      </c>
      <c r="B3021" t="str">
        <f>HYPERLINK("https://bugs.eclipse.org/bugs/show_bug.cgi?id=134717", "134717")</f>
        <v>134717</v>
      </c>
      <c r="C3021" t="s">
        <v>4692</v>
      </c>
      <c r="D3021" t="s">
        <v>4692</v>
      </c>
      <c r="F3021" t="s">
        <v>26</v>
      </c>
      <c r="T3021" t="s">
        <v>13848</v>
      </c>
      <c r="U3021" t="s">
        <v>13849</v>
      </c>
      <c r="V3021" t="s">
        <v>13850</v>
      </c>
      <c r="W3021" t="s">
        <v>65</v>
      </c>
      <c r="X3021" t="s">
        <v>13851</v>
      </c>
      <c r="Y3021">
        <v>0</v>
      </c>
    </row>
    <row r="3022" spans="1:26">
      <c r="A3022" s="1">
        <v>3020</v>
      </c>
      <c r="B3022" t="str">
        <f>HYPERLINK("https://bugs.eclipse.org/bugs/show_bug.cgi?id=134721", "134721")</f>
        <v>134721</v>
      </c>
      <c r="C3022" t="s">
        <v>25</v>
      </c>
      <c r="D3022" t="s">
        <v>25</v>
      </c>
      <c r="F3022" t="s">
        <v>26</v>
      </c>
      <c r="T3022" t="s">
        <v>13852</v>
      </c>
      <c r="U3022" t="s">
        <v>13853</v>
      </c>
      <c r="V3022" t="s">
        <v>13854</v>
      </c>
      <c r="W3022" t="s">
        <v>851</v>
      </c>
      <c r="X3022" t="s">
        <v>13855</v>
      </c>
      <c r="Y3022">
        <v>1</v>
      </c>
    </row>
    <row r="3023" spans="1:26">
      <c r="A3023" s="1">
        <v>3021</v>
      </c>
      <c r="B3023" t="str">
        <f>HYPERLINK("https://bugs.eclipse.org/bugs/show_bug.cgi?id=134742", "134742")</f>
        <v>134742</v>
      </c>
      <c r="C3023" t="s">
        <v>149</v>
      </c>
      <c r="D3023" t="s">
        <v>10</v>
      </c>
      <c r="E3023" t="s">
        <v>12</v>
      </c>
      <c r="F3023" t="s">
        <v>26</v>
      </c>
      <c r="L3023" t="s">
        <v>13856</v>
      </c>
      <c r="N3023" t="s">
        <v>13856</v>
      </c>
      <c r="T3023" t="s">
        <v>13857</v>
      </c>
      <c r="U3023" t="s">
        <v>13858</v>
      </c>
      <c r="V3023" t="s">
        <v>13856</v>
      </c>
      <c r="W3023" t="s">
        <v>2668</v>
      </c>
      <c r="X3023" t="s">
        <v>13859</v>
      </c>
      <c r="Y3023">
        <v>0</v>
      </c>
      <c r="Z3023">
        <v>1</v>
      </c>
    </row>
    <row r="3024" spans="1:26">
      <c r="A3024" s="1">
        <v>3022</v>
      </c>
      <c r="B3024" t="str">
        <f>HYPERLINK("https://bugs.eclipse.org/bugs/show_bug.cgi?id=134761", "134761")</f>
        <v>134761</v>
      </c>
      <c r="C3024" t="s">
        <v>13860</v>
      </c>
      <c r="D3024" t="s">
        <v>10</v>
      </c>
      <c r="E3024" t="s">
        <v>15</v>
      </c>
      <c r="F3024" t="s">
        <v>26</v>
      </c>
      <c r="G3024" t="s">
        <v>13861</v>
      </c>
      <c r="L3024" t="s">
        <v>13862</v>
      </c>
      <c r="Q3024" t="s">
        <v>13862</v>
      </c>
      <c r="T3024" t="s">
        <v>13863</v>
      </c>
      <c r="U3024" t="s">
        <v>13864</v>
      </c>
      <c r="V3024" t="s">
        <v>13865</v>
      </c>
      <c r="W3024" t="s">
        <v>1373</v>
      </c>
      <c r="X3024" t="s">
        <v>13866</v>
      </c>
      <c r="Y3024">
        <v>0</v>
      </c>
      <c r="Z3024">
        <v>90</v>
      </c>
    </row>
    <row r="3025" spans="1:26">
      <c r="A3025" s="1">
        <v>3023</v>
      </c>
      <c r="B3025" t="str">
        <f>HYPERLINK("https://bugs.eclipse.org/bugs/show_bug.cgi?id=134881", "134881")</f>
        <v>134881</v>
      </c>
      <c r="C3025" t="s">
        <v>6430</v>
      </c>
      <c r="D3025" t="s">
        <v>10</v>
      </c>
      <c r="E3025" t="s">
        <v>15</v>
      </c>
      <c r="F3025" t="s">
        <v>26</v>
      </c>
      <c r="L3025" t="s">
        <v>13867</v>
      </c>
      <c r="Q3025" t="s">
        <v>13867</v>
      </c>
      <c r="T3025" t="s">
        <v>13868</v>
      </c>
      <c r="U3025" t="s">
        <v>13869</v>
      </c>
      <c r="V3025" t="s">
        <v>13867</v>
      </c>
      <c r="W3025" t="s">
        <v>49</v>
      </c>
      <c r="X3025" t="s">
        <v>13870</v>
      </c>
      <c r="Y3025">
        <v>0</v>
      </c>
      <c r="Z3025">
        <v>1</v>
      </c>
    </row>
    <row r="3026" spans="1:26">
      <c r="A3026" s="1">
        <v>3024</v>
      </c>
      <c r="B3026" t="str">
        <f>HYPERLINK("https://bugs.eclipse.org/bugs/show_bug.cgi?id=134978", "134978")</f>
        <v>134978</v>
      </c>
      <c r="C3026" t="s">
        <v>140</v>
      </c>
      <c r="D3026" t="s">
        <v>10</v>
      </c>
      <c r="E3026" t="s">
        <v>16</v>
      </c>
      <c r="F3026" t="s">
        <v>26</v>
      </c>
      <c r="L3026" t="s">
        <v>13871</v>
      </c>
      <c r="N3026" t="s">
        <v>13871</v>
      </c>
      <c r="R3026" t="s">
        <v>13872</v>
      </c>
      <c r="T3026" t="s">
        <v>13873</v>
      </c>
      <c r="U3026" t="s">
        <v>13874</v>
      </c>
      <c r="V3026" t="s">
        <v>13872</v>
      </c>
      <c r="W3026" t="s">
        <v>143</v>
      </c>
      <c r="X3026" t="s">
        <v>13875</v>
      </c>
      <c r="Y3026">
        <v>0</v>
      </c>
      <c r="Z3026">
        <v>2641</v>
      </c>
    </row>
    <row r="3027" spans="1:26">
      <c r="A3027" s="1">
        <v>3025</v>
      </c>
      <c r="B3027" t="str">
        <f>HYPERLINK("https://bugs.eclipse.org/bugs/show_bug.cgi?id=135053", "135053")</f>
        <v>135053</v>
      </c>
      <c r="C3027" t="s">
        <v>149</v>
      </c>
      <c r="D3027" t="s">
        <v>10</v>
      </c>
      <c r="E3027" t="s">
        <v>12</v>
      </c>
      <c r="F3027" t="s">
        <v>26</v>
      </c>
      <c r="L3027" t="s">
        <v>13876</v>
      </c>
      <c r="N3027" t="s">
        <v>13876</v>
      </c>
      <c r="T3027" t="s">
        <v>13877</v>
      </c>
      <c r="U3027" t="s">
        <v>13878</v>
      </c>
      <c r="V3027" t="s">
        <v>13876</v>
      </c>
      <c r="W3027" t="s">
        <v>86</v>
      </c>
      <c r="X3027" t="s">
        <v>13879</v>
      </c>
      <c r="Y3027">
        <v>2</v>
      </c>
      <c r="Z3027">
        <v>5</v>
      </c>
    </row>
    <row r="3028" spans="1:26">
      <c r="A3028" s="1">
        <v>3026</v>
      </c>
      <c r="B3028" t="str">
        <f>HYPERLINK("https://bugs.eclipse.org/bugs/show_bug.cgi?id=135057", "135057")</f>
        <v>135057</v>
      </c>
      <c r="C3028" t="s">
        <v>149</v>
      </c>
      <c r="D3028" t="s">
        <v>10</v>
      </c>
      <c r="E3028" t="s">
        <v>12</v>
      </c>
      <c r="F3028" t="s">
        <v>26</v>
      </c>
      <c r="G3028" t="s">
        <v>13880</v>
      </c>
      <c r="L3028" t="s">
        <v>13881</v>
      </c>
      <c r="N3028" t="s">
        <v>13881</v>
      </c>
      <c r="T3028" t="s">
        <v>13882</v>
      </c>
      <c r="U3028" t="s">
        <v>13883</v>
      </c>
      <c r="V3028" t="s">
        <v>13881</v>
      </c>
      <c r="W3028" t="s">
        <v>2668</v>
      </c>
      <c r="X3028" t="s">
        <v>13884</v>
      </c>
      <c r="Y3028">
        <v>0</v>
      </c>
      <c r="Z3028">
        <v>22</v>
      </c>
    </row>
    <row r="3029" spans="1:26">
      <c r="A3029" s="1">
        <v>3027</v>
      </c>
      <c r="B3029" t="str">
        <f>HYPERLINK("https://bugs.eclipse.org/bugs/show_bug.cgi?id=135091", "135091")</f>
        <v>135091</v>
      </c>
      <c r="C3029" t="s">
        <v>149</v>
      </c>
      <c r="D3029" t="s">
        <v>10</v>
      </c>
      <c r="E3029" t="s">
        <v>12</v>
      </c>
      <c r="F3029" t="s">
        <v>26</v>
      </c>
      <c r="G3029" t="s">
        <v>13885</v>
      </c>
      <c r="L3029" t="s">
        <v>13886</v>
      </c>
      <c r="N3029" t="s">
        <v>13886</v>
      </c>
      <c r="T3029" t="s">
        <v>13887</v>
      </c>
      <c r="U3029" t="s">
        <v>13888</v>
      </c>
      <c r="V3029" t="s">
        <v>13889</v>
      </c>
      <c r="W3029" t="s">
        <v>1954</v>
      </c>
      <c r="X3029" t="s">
        <v>13890</v>
      </c>
      <c r="Y3029">
        <v>1</v>
      </c>
      <c r="Z3029">
        <v>22</v>
      </c>
    </row>
    <row r="3030" spans="1:26">
      <c r="A3030" s="1">
        <v>3028</v>
      </c>
      <c r="B3030" t="str">
        <f>HYPERLINK("https://bugs.eclipse.org/bugs/show_bug.cgi?id=135115", "135115")</f>
        <v>135115</v>
      </c>
      <c r="C3030" t="s">
        <v>13891</v>
      </c>
      <c r="D3030" t="s">
        <v>10</v>
      </c>
      <c r="E3030" t="s">
        <v>15</v>
      </c>
      <c r="F3030" t="s">
        <v>26</v>
      </c>
      <c r="L3030" t="s">
        <v>13892</v>
      </c>
      <c r="Q3030" t="s">
        <v>13892</v>
      </c>
      <c r="T3030" t="s">
        <v>13893</v>
      </c>
      <c r="U3030" t="s">
        <v>13894</v>
      </c>
      <c r="V3030" t="s">
        <v>13892</v>
      </c>
      <c r="W3030" t="s">
        <v>851</v>
      </c>
      <c r="X3030" t="s">
        <v>13895</v>
      </c>
      <c r="Y3030">
        <v>0</v>
      </c>
      <c r="Z3030">
        <v>2</v>
      </c>
    </row>
    <row r="3031" spans="1:26">
      <c r="A3031" s="1">
        <v>3029</v>
      </c>
      <c r="B3031" t="str">
        <f>HYPERLINK("https://bugs.eclipse.org/bugs/show_bug.cgi?id=135117", "135117")</f>
        <v>135117</v>
      </c>
      <c r="C3031" t="s">
        <v>149</v>
      </c>
      <c r="D3031" t="s">
        <v>10</v>
      </c>
      <c r="E3031" t="s">
        <v>12</v>
      </c>
      <c r="F3031" t="s">
        <v>26</v>
      </c>
      <c r="G3031" t="s">
        <v>13896</v>
      </c>
      <c r="L3031" t="s">
        <v>13897</v>
      </c>
      <c r="N3031" t="s">
        <v>13897</v>
      </c>
      <c r="T3031" t="s">
        <v>13898</v>
      </c>
      <c r="U3031" t="s">
        <v>13899</v>
      </c>
      <c r="V3031" t="s">
        <v>13900</v>
      </c>
      <c r="W3031" t="s">
        <v>2668</v>
      </c>
      <c r="X3031" t="s">
        <v>13901</v>
      </c>
      <c r="Y3031">
        <v>2</v>
      </c>
      <c r="Z3031">
        <v>5</v>
      </c>
    </row>
    <row r="3032" spans="1:26">
      <c r="A3032" s="1">
        <v>3030</v>
      </c>
      <c r="B3032" t="str">
        <f>HYPERLINK("https://bugs.eclipse.org/bugs/show_bug.cgi?id=135134", "135134")</f>
        <v>135134</v>
      </c>
      <c r="C3032" t="s">
        <v>149</v>
      </c>
      <c r="D3032" t="s">
        <v>10</v>
      </c>
      <c r="E3032" t="s">
        <v>12</v>
      </c>
      <c r="F3032" t="s">
        <v>26</v>
      </c>
      <c r="L3032" t="s">
        <v>13902</v>
      </c>
      <c r="N3032" t="s">
        <v>13902</v>
      </c>
      <c r="S3032" t="s">
        <v>13903</v>
      </c>
      <c r="T3032" t="s">
        <v>13904</v>
      </c>
      <c r="U3032" t="s">
        <v>13905</v>
      </c>
      <c r="V3032" t="s">
        <v>13902</v>
      </c>
      <c r="W3032" t="s">
        <v>49</v>
      </c>
      <c r="X3032" t="s">
        <v>13906</v>
      </c>
      <c r="Y3032">
        <v>2</v>
      </c>
      <c r="Z3032">
        <v>5</v>
      </c>
    </row>
    <row r="3033" spans="1:26">
      <c r="A3033" s="1">
        <v>3031</v>
      </c>
      <c r="B3033" t="str">
        <f>HYPERLINK("https://bugs.eclipse.org/bugs/show_bug.cgi?id=135269", "135269")</f>
        <v>135269</v>
      </c>
      <c r="C3033" t="s">
        <v>149</v>
      </c>
      <c r="D3033" t="s">
        <v>10</v>
      </c>
      <c r="E3033" t="s">
        <v>12</v>
      </c>
      <c r="F3033" t="s">
        <v>26</v>
      </c>
      <c r="L3033" t="s">
        <v>13907</v>
      </c>
      <c r="N3033" t="s">
        <v>13907</v>
      </c>
      <c r="T3033" t="s">
        <v>13908</v>
      </c>
      <c r="U3033" t="s">
        <v>13909</v>
      </c>
      <c r="V3033" t="s">
        <v>13910</v>
      </c>
      <c r="W3033" t="s">
        <v>13911</v>
      </c>
      <c r="X3033" t="s">
        <v>13912</v>
      </c>
      <c r="Y3033">
        <v>0</v>
      </c>
      <c r="Z3033">
        <v>98</v>
      </c>
    </row>
    <row r="3034" spans="1:26">
      <c r="A3034" s="1">
        <v>3032</v>
      </c>
      <c r="B3034" t="str">
        <f>HYPERLINK("https://bugs.eclipse.org/bugs/show_bug.cgi?id=135277", "135277")</f>
        <v>135277</v>
      </c>
      <c r="C3034" t="s">
        <v>13913</v>
      </c>
      <c r="D3034" t="s">
        <v>10</v>
      </c>
      <c r="E3034" t="s">
        <v>15</v>
      </c>
      <c r="F3034" t="s">
        <v>26</v>
      </c>
      <c r="L3034" t="s">
        <v>13914</v>
      </c>
      <c r="Q3034" t="s">
        <v>13914</v>
      </c>
      <c r="T3034" t="s">
        <v>13915</v>
      </c>
      <c r="U3034" t="s">
        <v>13914</v>
      </c>
      <c r="V3034" t="s">
        <v>13914</v>
      </c>
      <c r="W3034" t="s">
        <v>49</v>
      </c>
      <c r="X3034" t="s">
        <v>13916</v>
      </c>
      <c r="Y3034">
        <v>0</v>
      </c>
      <c r="Z3034">
        <v>0</v>
      </c>
    </row>
    <row r="3035" spans="1:26">
      <c r="A3035" s="1">
        <v>3033</v>
      </c>
      <c r="B3035" t="str">
        <f>HYPERLINK("https://bugs.eclipse.org/bugs/show_bug.cgi?id=135279", "135279")</f>
        <v>135279</v>
      </c>
      <c r="C3035" t="s">
        <v>149</v>
      </c>
      <c r="D3035" t="s">
        <v>10</v>
      </c>
      <c r="E3035" t="s">
        <v>12</v>
      </c>
      <c r="F3035" t="s">
        <v>26</v>
      </c>
      <c r="G3035" t="s">
        <v>13917</v>
      </c>
      <c r="L3035" t="s">
        <v>13918</v>
      </c>
      <c r="N3035" t="s">
        <v>13918</v>
      </c>
      <c r="T3035" t="s">
        <v>13919</v>
      </c>
      <c r="U3035" t="s">
        <v>13920</v>
      </c>
      <c r="V3035" t="s">
        <v>13918</v>
      </c>
      <c r="W3035" t="s">
        <v>1954</v>
      </c>
      <c r="X3035" t="s">
        <v>13921</v>
      </c>
      <c r="Y3035">
        <v>0</v>
      </c>
      <c r="Z3035">
        <v>7</v>
      </c>
    </row>
    <row r="3036" spans="1:26">
      <c r="A3036" s="1">
        <v>3034</v>
      </c>
      <c r="B3036" t="str">
        <f>HYPERLINK("https://bugs.eclipse.org/bugs/show_bug.cgi?id=135326", "135326")</f>
        <v>135326</v>
      </c>
      <c r="C3036" t="s">
        <v>149</v>
      </c>
      <c r="D3036" t="s">
        <v>10</v>
      </c>
      <c r="E3036" t="s">
        <v>12</v>
      </c>
      <c r="F3036" t="s">
        <v>26</v>
      </c>
      <c r="L3036" t="s">
        <v>13922</v>
      </c>
      <c r="N3036" t="s">
        <v>13922</v>
      </c>
      <c r="T3036" t="s">
        <v>13923</v>
      </c>
      <c r="U3036" t="s">
        <v>13922</v>
      </c>
      <c r="V3036" t="s">
        <v>13922</v>
      </c>
      <c r="W3036" t="s">
        <v>2668</v>
      </c>
      <c r="X3036" t="s">
        <v>13924</v>
      </c>
      <c r="Y3036">
        <v>1</v>
      </c>
      <c r="Z3036">
        <v>1</v>
      </c>
    </row>
    <row r="3037" spans="1:26">
      <c r="A3037" s="1">
        <v>3035</v>
      </c>
      <c r="B3037" t="str">
        <f>HYPERLINK("https://bugs.eclipse.org/bugs/show_bug.cgi?id=135522", "135522")</f>
        <v>135522</v>
      </c>
      <c r="C3037" t="s">
        <v>25</v>
      </c>
      <c r="D3037" t="s">
        <v>25</v>
      </c>
      <c r="F3037" t="s">
        <v>26</v>
      </c>
      <c r="G3037" t="s">
        <v>13925</v>
      </c>
      <c r="T3037" t="s">
        <v>13926</v>
      </c>
      <c r="U3037" t="s">
        <v>13927</v>
      </c>
      <c r="V3037" t="s">
        <v>13928</v>
      </c>
      <c r="W3037" t="s">
        <v>13929</v>
      </c>
      <c r="X3037" t="s">
        <v>13930</v>
      </c>
      <c r="Y3037">
        <v>0</v>
      </c>
    </row>
    <row r="3038" spans="1:26">
      <c r="A3038" s="1">
        <v>3036</v>
      </c>
      <c r="B3038" t="str">
        <f>HYPERLINK("https://bugs.eclipse.org/bugs/show_bug.cgi?id=135560", "135560")</f>
        <v>135560</v>
      </c>
      <c r="C3038" t="s">
        <v>149</v>
      </c>
      <c r="D3038" t="s">
        <v>10</v>
      </c>
      <c r="E3038" t="s">
        <v>12</v>
      </c>
      <c r="F3038" t="s">
        <v>26</v>
      </c>
      <c r="L3038" t="s">
        <v>13931</v>
      </c>
      <c r="N3038" t="s">
        <v>13931</v>
      </c>
      <c r="T3038" t="s">
        <v>13932</v>
      </c>
      <c r="U3038" t="s">
        <v>13933</v>
      </c>
      <c r="V3038" t="s">
        <v>13931</v>
      </c>
      <c r="W3038" t="s">
        <v>2668</v>
      </c>
      <c r="X3038" t="s">
        <v>13934</v>
      </c>
      <c r="Y3038">
        <v>2</v>
      </c>
      <c r="Z3038">
        <v>5</v>
      </c>
    </row>
    <row r="3039" spans="1:26">
      <c r="A3039" s="1">
        <v>3037</v>
      </c>
      <c r="B3039" t="str">
        <f>HYPERLINK("https://bugs.eclipse.org/bugs/show_bug.cgi?id=135587", "135587")</f>
        <v>135587</v>
      </c>
      <c r="C3039" t="s">
        <v>8439</v>
      </c>
      <c r="D3039" t="s">
        <v>192</v>
      </c>
      <c r="E3039" t="s">
        <v>13</v>
      </c>
      <c r="F3039" t="s">
        <v>26</v>
      </c>
      <c r="L3039" t="s">
        <v>13935</v>
      </c>
      <c r="O3039" t="s">
        <v>13935</v>
      </c>
      <c r="T3039" t="s">
        <v>13936</v>
      </c>
      <c r="U3039" t="s">
        <v>13937</v>
      </c>
      <c r="V3039" t="s">
        <v>13938</v>
      </c>
      <c r="W3039" t="s">
        <v>143</v>
      </c>
      <c r="X3039" t="s">
        <v>13939</v>
      </c>
      <c r="Y3039">
        <v>0</v>
      </c>
      <c r="Z3039">
        <v>35</v>
      </c>
    </row>
    <row r="3040" spans="1:26">
      <c r="A3040" s="1">
        <v>3038</v>
      </c>
      <c r="B3040" t="str">
        <f>HYPERLINK("https://bugs.eclipse.org/bugs/show_bug.cgi?id=135695", "135695")</f>
        <v>135695</v>
      </c>
      <c r="C3040" t="s">
        <v>13940</v>
      </c>
      <c r="D3040" t="s">
        <v>10</v>
      </c>
      <c r="E3040" t="s">
        <v>15</v>
      </c>
      <c r="F3040" t="s">
        <v>26</v>
      </c>
      <c r="L3040" t="s">
        <v>13900</v>
      </c>
      <c r="Q3040" t="s">
        <v>13900</v>
      </c>
      <c r="T3040" t="s">
        <v>13941</v>
      </c>
      <c r="U3040" t="s">
        <v>13942</v>
      </c>
      <c r="V3040" t="s">
        <v>13900</v>
      </c>
      <c r="W3040" t="s">
        <v>2668</v>
      </c>
      <c r="X3040" t="s">
        <v>13943</v>
      </c>
      <c r="Y3040">
        <v>2</v>
      </c>
      <c r="Z3040">
        <v>2</v>
      </c>
    </row>
    <row r="3041" spans="1:26">
      <c r="A3041" s="1">
        <v>3039</v>
      </c>
      <c r="B3041" t="str">
        <f>HYPERLINK("https://bugs.eclipse.org/bugs/show_bug.cgi?id=135697", "135697")</f>
        <v>135697</v>
      </c>
      <c r="C3041" t="s">
        <v>149</v>
      </c>
      <c r="D3041" t="s">
        <v>10</v>
      </c>
      <c r="E3041" t="s">
        <v>12</v>
      </c>
      <c r="F3041" t="s">
        <v>26</v>
      </c>
      <c r="L3041" t="s">
        <v>13944</v>
      </c>
      <c r="N3041" t="s">
        <v>13944</v>
      </c>
      <c r="T3041" t="s">
        <v>13945</v>
      </c>
      <c r="U3041" t="s">
        <v>13946</v>
      </c>
      <c r="V3041" t="s">
        <v>13944</v>
      </c>
      <c r="W3041" t="s">
        <v>2668</v>
      </c>
      <c r="X3041" t="s">
        <v>13947</v>
      </c>
      <c r="Y3041">
        <v>2</v>
      </c>
      <c r="Z3041">
        <v>2</v>
      </c>
    </row>
    <row r="3042" spans="1:26">
      <c r="A3042" s="1">
        <v>3040</v>
      </c>
      <c r="B3042" t="str">
        <f>HYPERLINK("https://bugs.eclipse.org/bugs/show_bug.cgi?id=135812", "135812")</f>
        <v>135812</v>
      </c>
      <c r="C3042" t="s">
        <v>149</v>
      </c>
      <c r="D3042" t="s">
        <v>10</v>
      </c>
      <c r="E3042" t="s">
        <v>12</v>
      </c>
      <c r="F3042" t="s">
        <v>26</v>
      </c>
      <c r="L3042" t="s">
        <v>13948</v>
      </c>
      <c r="N3042" t="s">
        <v>13948</v>
      </c>
      <c r="T3042" t="s">
        <v>13949</v>
      </c>
      <c r="U3042" t="s">
        <v>13950</v>
      </c>
      <c r="V3042" t="s">
        <v>13948</v>
      </c>
      <c r="W3042" t="s">
        <v>851</v>
      </c>
      <c r="X3042" t="s">
        <v>13951</v>
      </c>
      <c r="Y3042">
        <v>0</v>
      </c>
      <c r="Z3042">
        <v>396</v>
      </c>
    </row>
    <row r="3043" spans="1:26">
      <c r="A3043" s="1">
        <v>3041</v>
      </c>
      <c r="B3043" t="str">
        <f>HYPERLINK("https://bugs.eclipse.org/bugs/show_bug.cgi?id=135816", "135816")</f>
        <v>135816</v>
      </c>
      <c r="C3043" t="s">
        <v>149</v>
      </c>
      <c r="D3043" t="s">
        <v>10</v>
      </c>
      <c r="E3043" t="s">
        <v>12</v>
      </c>
      <c r="F3043" t="s">
        <v>26</v>
      </c>
      <c r="L3043" t="s">
        <v>13952</v>
      </c>
      <c r="N3043" t="s">
        <v>13952</v>
      </c>
      <c r="T3043" t="s">
        <v>13953</v>
      </c>
      <c r="U3043" t="s">
        <v>13954</v>
      </c>
      <c r="V3043" t="s">
        <v>13952</v>
      </c>
      <c r="W3043" t="s">
        <v>851</v>
      </c>
      <c r="X3043" t="s">
        <v>13955</v>
      </c>
      <c r="Y3043">
        <v>0</v>
      </c>
      <c r="Z3043">
        <v>17</v>
      </c>
    </row>
    <row r="3044" spans="1:26">
      <c r="A3044" s="1">
        <v>3042</v>
      </c>
      <c r="B3044" t="str">
        <f>HYPERLINK("https://bugs.eclipse.org/bugs/show_bug.cgi?id=136312", "136312")</f>
        <v>136312</v>
      </c>
      <c r="C3044" t="s">
        <v>149</v>
      </c>
      <c r="D3044" t="s">
        <v>10</v>
      </c>
      <c r="E3044" t="s">
        <v>12</v>
      </c>
      <c r="F3044" t="s">
        <v>26</v>
      </c>
      <c r="L3044" t="s">
        <v>13956</v>
      </c>
      <c r="N3044" t="s">
        <v>13956</v>
      </c>
      <c r="T3044" t="s">
        <v>13957</v>
      </c>
      <c r="U3044" t="s">
        <v>13958</v>
      </c>
      <c r="V3044" t="s">
        <v>13956</v>
      </c>
      <c r="W3044" t="s">
        <v>2668</v>
      </c>
      <c r="X3044" t="s">
        <v>13959</v>
      </c>
      <c r="Y3044">
        <v>0</v>
      </c>
      <c r="Z3044">
        <v>6</v>
      </c>
    </row>
    <row r="3045" spans="1:26">
      <c r="A3045" s="1">
        <v>3043</v>
      </c>
      <c r="B3045" t="str">
        <f>HYPERLINK("https://bugs.eclipse.org/bugs/show_bug.cgi?id=136683", "136683")</f>
        <v>136683</v>
      </c>
      <c r="C3045" t="s">
        <v>995</v>
      </c>
      <c r="D3045" t="s">
        <v>192</v>
      </c>
      <c r="E3045" t="s">
        <v>12</v>
      </c>
      <c r="F3045" t="s">
        <v>26</v>
      </c>
      <c r="L3045" t="s">
        <v>13960</v>
      </c>
      <c r="N3045" t="s">
        <v>13960</v>
      </c>
      <c r="T3045" t="s">
        <v>13961</v>
      </c>
      <c r="U3045" t="s">
        <v>13962</v>
      </c>
      <c r="V3045" t="s">
        <v>13963</v>
      </c>
      <c r="W3045" t="s">
        <v>13964</v>
      </c>
      <c r="X3045" t="s">
        <v>13965</v>
      </c>
      <c r="Y3045">
        <v>0</v>
      </c>
      <c r="Z3045">
        <v>0</v>
      </c>
    </row>
    <row r="3046" spans="1:26">
      <c r="A3046" s="1">
        <v>3044</v>
      </c>
      <c r="B3046" t="str">
        <f>HYPERLINK("https://bugs.eclipse.org/bugs/show_bug.cgi?id=136724", "136724")</f>
        <v>136724</v>
      </c>
      <c r="C3046" t="s">
        <v>35</v>
      </c>
      <c r="D3046" t="s">
        <v>11</v>
      </c>
      <c r="E3046" t="s">
        <v>12</v>
      </c>
      <c r="F3046" t="s">
        <v>26</v>
      </c>
      <c r="G3046" t="s">
        <v>13966</v>
      </c>
      <c r="L3046" t="s">
        <v>13967</v>
      </c>
      <c r="M3046" t="s">
        <v>13968</v>
      </c>
      <c r="N3046" t="s">
        <v>13967</v>
      </c>
      <c r="S3046" t="s">
        <v>13969</v>
      </c>
      <c r="T3046" t="s">
        <v>13970</v>
      </c>
      <c r="U3046" t="s">
        <v>13971</v>
      </c>
      <c r="V3046" t="s">
        <v>13968</v>
      </c>
      <c r="W3046" t="s">
        <v>1954</v>
      </c>
      <c r="X3046" t="s">
        <v>13972</v>
      </c>
      <c r="Y3046">
        <v>0</v>
      </c>
      <c r="Z3046">
        <v>36</v>
      </c>
    </row>
    <row r="3047" spans="1:26">
      <c r="A3047" s="1">
        <v>3045</v>
      </c>
      <c r="B3047" t="str">
        <f>HYPERLINK("https://bugs.eclipse.org/bugs/show_bug.cgi?id=136746", "136746")</f>
        <v>136746</v>
      </c>
      <c r="C3047" t="s">
        <v>35</v>
      </c>
      <c r="D3047" t="s">
        <v>11</v>
      </c>
      <c r="E3047" t="s">
        <v>12</v>
      </c>
      <c r="F3047" t="s">
        <v>26</v>
      </c>
      <c r="L3047" t="s">
        <v>13973</v>
      </c>
      <c r="M3047" t="s">
        <v>13974</v>
      </c>
      <c r="N3047" t="s">
        <v>13973</v>
      </c>
      <c r="T3047" t="s">
        <v>13975</v>
      </c>
      <c r="U3047" t="s">
        <v>13976</v>
      </c>
      <c r="V3047" t="s">
        <v>13974</v>
      </c>
      <c r="W3047" t="s">
        <v>143</v>
      </c>
      <c r="X3047" t="s">
        <v>13977</v>
      </c>
      <c r="Y3047">
        <v>0</v>
      </c>
      <c r="Z3047">
        <v>28</v>
      </c>
    </row>
    <row r="3048" spans="1:26">
      <c r="A3048" s="1">
        <v>3046</v>
      </c>
      <c r="B3048" t="str">
        <f>HYPERLINK("https://bugs.eclipse.org/bugs/show_bug.cgi?id=136793", "136793")</f>
        <v>136793</v>
      </c>
      <c r="C3048" t="s">
        <v>140</v>
      </c>
      <c r="D3048" t="s">
        <v>10</v>
      </c>
      <c r="E3048" t="s">
        <v>16</v>
      </c>
      <c r="F3048" t="s">
        <v>26</v>
      </c>
      <c r="L3048" t="s">
        <v>13978</v>
      </c>
      <c r="R3048" t="s">
        <v>13978</v>
      </c>
      <c r="T3048" t="s">
        <v>13979</v>
      </c>
      <c r="U3048" t="s">
        <v>13980</v>
      </c>
      <c r="V3048" t="s">
        <v>13978</v>
      </c>
      <c r="W3048" t="s">
        <v>2668</v>
      </c>
      <c r="X3048" t="s">
        <v>13981</v>
      </c>
      <c r="Y3048">
        <v>0</v>
      </c>
      <c r="Z3048">
        <v>4</v>
      </c>
    </row>
    <row r="3049" spans="1:26">
      <c r="A3049" s="1">
        <v>3047</v>
      </c>
      <c r="B3049" t="str">
        <f>HYPERLINK("https://bugs.eclipse.org/bugs/show_bug.cgi?id=136911", "136911")</f>
        <v>136911</v>
      </c>
      <c r="C3049" t="s">
        <v>149</v>
      </c>
      <c r="D3049" t="s">
        <v>10</v>
      </c>
      <c r="E3049" t="s">
        <v>12</v>
      </c>
      <c r="F3049" t="s">
        <v>26</v>
      </c>
      <c r="L3049" t="s">
        <v>13982</v>
      </c>
      <c r="N3049" t="s">
        <v>13982</v>
      </c>
      <c r="T3049" t="s">
        <v>13983</v>
      </c>
      <c r="U3049" t="s">
        <v>13984</v>
      </c>
      <c r="V3049" t="s">
        <v>13982</v>
      </c>
      <c r="W3049" t="s">
        <v>49</v>
      </c>
      <c r="X3049" t="s">
        <v>13985</v>
      </c>
      <c r="Y3049">
        <v>0</v>
      </c>
      <c r="Z3049">
        <v>571.04166666666663</v>
      </c>
    </row>
    <row r="3050" spans="1:26">
      <c r="A3050" s="1">
        <v>3048</v>
      </c>
      <c r="B3050" t="str">
        <f>HYPERLINK("https://bugs.eclipse.org/bugs/show_bug.cgi?id=137219", "137219")</f>
        <v>137219</v>
      </c>
      <c r="C3050" t="s">
        <v>56</v>
      </c>
      <c r="D3050" t="s">
        <v>10</v>
      </c>
      <c r="E3050" t="s">
        <v>14</v>
      </c>
      <c r="F3050" t="s">
        <v>26</v>
      </c>
      <c r="L3050" t="s">
        <v>13986</v>
      </c>
      <c r="P3050" t="s">
        <v>13986</v>
      </c>
      <c r="T3050" t="s">
        <v>13987</v>
      </c>
      <c r="U3050" t="s">
        <v>13988</v>
      </c>
      <c r="V3050" t="s">
        <v>13986</v>
      </c>
      <c r="W3050" t="s">
        <v>143</v>
      </c>
      <c r="X3050" t="s">
        <v>13989</v>
      </c>
      <c r="Y3050">
        <v>0</v>
      </c>
      <c r="Z3050">
        <v>1022.041666666667</v>
      </c>
    </row>
    <row r="3051" spans="1:26">
      <c r="A3051" s="1">
        <v>3049</v>
      </c>
      <c r="B3051" t="str">
        <f>HYPERLINK("https://bugs.eclipse.org/bugs/show_bug.cgi?id=137363", "137363")</f>
        <v>137363</v>
      </c>
      <c r="C3051" t="s">
        <v>149</v>
      </c>
      <c r="D3051" t="s">
        <v>10</v>
      </c>
      <c r="E3051" t="s">
        <v>12</v>
      </c>
      <c r="F3051" t="s">
        <v>26</v>
      </c>
      <c r="L3051" t="s">
        <v>13990</v>
      </c>
      <c r="N3051" t="s">
        <v>13990</v>
      </c>
      <c r="T3051" t="s">
        <v>13991</v>
      </c>
      <c r="U3051" t="s">
        <v>13992</v>
      </c>
      <c r="V3051" t="s">
        <v>13990</v>
      </c>
      <c r="W3051" t="s">
        <v>49</v>
      </c>
      <c r="X3051" t="s">
        <v>13993</v>
      </c>
      <c r="Y3051">
        <v>0</v>
      </c>
      <c r="Z3051">
        <v>107</v>
      </c>
    </row>
    <row r="3052" spans="1:26">
      <c r="A3052" s="1">
        <v>3050</v>
      </c>
      <c r="B3052" t="str">
        <f>HYPERLINK("https://bugs.eclipse.org/bugs/show_bug.cgi?id=137390", "137390")</f>
        <v>137390</v>
      </c>
      <c r="C3052" t="s">
        <v>13994</v>
      </c>
      <c r="D3052" t="s">
        <v>10</v>
      </c>
      <c r="E3052" t="s">
        <v>15</v>
      </c>
      <c r="F3052" t="s">
        <v>26</v>
      </c>
      <c r="L3052" t="s">
        <v>13889</v>
      </c>
      <c r="Q3052" t="s">
        <v>13889</v>
      </c>
      <c r="T3052" t="s">
        <v>13995</v>
      </c>
      <c r="U3052" t="s">
        <v>13996</v>
      </c>
      <c r="V3052" t="s">
        <v>13889</v>
      </c>
      <c r="W3052" t="s">
        <v>1954</v>
      </c>
      <c r="X3052" t="s">
        <v>13997</v>
      </c>
      <c r="Y3052">
        <v>1</v>
      </c>
      <c r="Z3052">
        <v>9</v>
      </c>
    </row>
    <row r="3053" spans="1:26">
      <c r="A3053" s="1">
        <v>3051</v>
      </c>
      <c r="B3053" t="str">
        <f>HYPERLINK("https://bugs.eclipse.org/bugs/show_bug.cgi?id=137401", "137401")</f>
        <v>137401</v>
      </c>
      <c r="C3053" t="s">
        <v>25</v>
      </c>
      <c r="D3053" t="s">
        <v>25</v>
      </c>
      <c r="F3053" t="s">
        <v>26</v>
      </c>
      <c r="T3053" t="s">
        <v>13998</v>
      </c>
      <c r="U3053" t="s">
        <v>13999</v>
      </c>
      <c r="V3053" t="s">
        <v>14000</v>
      </c>
      <c r="W3053" t="s">
        <v>851</v>
      </c>
      <c r="X3053" t="s">
        <v>14001</v>
      </c>
      <c r="Y3053">
        <v>1</v>
      </c>
    </row>
    <row r="3054" spans="1:26">
      <c r="A3054" s="1">
        <v>3052</v>
      </c>
      <c r="B3054" t="str">
        <f>HYPERLINK("https://bugs.eclipse.org/bugs/show_bug.cgi?id=137704", "137704")</f>
        <v>137704</v>
      </c>
      <c r="C3054" t="s">
        <v>88</v>
      </c>
      <c r="D3054" t="s">
        <v>10</v>
      </c>
      <c r="E3054" t="s">
        <v>13</v>
      </c>
      <c r="F3054" t="s">
        <v>26</v>
      </c>
      <c r="L3054" t="s">
        <v>14002</v>
      </c>
      <c r="O3054" t="s">
        <v>14003</v>
      </c>
      <c r="T3054" t="s">
        <v>14004</v>
      </c>
      <c r="U3054" t="s">
        <v>14005</v>
      </c>
      <c r="V3054" t="s">
        <v>14003</v>
      </c>
      <c r="W3054" t="s">
        <v>75</v>
      </c>
      <c r="X3054" t="s">
        <v>14006</v>
      </c>
      <c r="Y3054">
        <v>0</v>
      </c>
      <c r="Z3054">
        <v>1228</v>
      </c>
    </row>
    <row r="3055" spans="1:26">
      <c r="A3055" s="1">
        <v>3053</v>
      </c>
      <c r="B3055" t="str">
        <f>HYPERLINK("https://bugs.eclipse.org/bugs/show_bug.cgi?id=137756", "137756")</f>
        <v>137756</v>
      </c>
      <c r="C3055" t="s">
        <v>149</v>
      </c>
      <c r="D3055" t="s">
        <v>10</v>
      </c>
      <c r="E3055" t="s">
        <v>12</v>
      </c>
      <c r="F3055" t="s">
        <v>26</v>
      </c>
      <c r="L3055" t="s">
        <v>14007</v>
      </c>
      <c r="N3055" t="s">
        <v>14007</v>
      </c>
      <c r="T3055" t="s">
        <v>14008</v>
      </c>
      <c r="U3055" t="s">
        <v>14009</v>
      </c>
      <c r="V3055" t="s">
        <v>14007</v>
      </c>
      <c r="W3055" t="s">
        <v>49</v>
      </c>
      <c r="X3055" t="s">
        <v>14010</v>
      </c>
      <c r="Y3055">
        <v>0</v>
      </c>
      <c r="Z3055">
        <v>3</v>
      </c>
    </row>
    <row r="3056" spans="1:26">
      <c r="A3056" s="1">
        <v>3054</v>
      </c>
      <c r="B3056" t="str">
        <f>HYPERLINK("https://bugs.eclipse.org/bugs/show_bug.cgi?id=137960", "137960")</f>
        <v>137960</v>
      </c>
      <c r="C3056" t="s">
        <v>191</v>
      </c>
      <c r="D3056" t="s">
        <v>192</v>
      </c>
      <c r="E3056" t="s">
        <v>14</v>
      </c>
      <c r="F3056" t="s">
        <v>26</v>
      </c>
      <c r="T3056" t="s">
        <v>14011</v>
      </c>
      <c r="U3056" t="s">
        <v>14012</v>
      </c>
      <c r="V3056" t="s">
        <v>14013</v>
      </c>
      <c r="W3056" t="s">
        <v>65</v>
      </c>
      <c r="X3056" t="s">
        <v>14014</v>
      </c>
      <c r="Y3056">
        <v>2</v>
      </c>
      <c r="Z3056">
        <v>4594.041666666667</v>
      </c>
    </row>
    <row r="3057" spans="1:26">
      <c r="A3057" s="1">
        <v>3055</v>
      </c>
      <c r="B3057" t="str">
        <f>HYPERLINK("https://bugs.eclipse.org/bugs/show_bug.cgi?id=138320", "138320")</f>
        <v>138320</v>
      </c>
      <c r="C3057" t="s">
        <v>35</v>
      </c>
      <c r="D3057" t="s">
        <v>11</v>
      </c>
      <c r="E3057" t="s">
        <v>12</v>
      </c>
      <c r="F3057" t="s">
        <v>26</v>
      </c>
      <c r="L3057" t="s">
        <v>14015</v>
      </c>
      <c r="M3057" t="s">
        <v>14016</v>
      </c>
      <c r="N3057" t="s">
        <v>14015</v>
      </c>
      <c r="T3057" t="s">
        <v>14017</v>
      </c>
      <c r="U3057" t="s">
        <v>14018</v>
      </c>
      <c r="V3057" t="s">
        <v>14016</v>
      </c>
      <c r="W3057" t="s">
        <v>851</v>
      </c>
      <c r="X3057" t="s">
        <v>14019</v>
      </c>
      <c r="Y3057">
        <v>1</v>
      </c>
      <c r="Z3057">
        <v>17</v>
      </c>
    </row>
    <row r="3058" spans="1:26">
      <c r="A3058" s="1">
        <v>3056</v>
      </c>
      <c r="B3058" t="str">
        <f>HYPERLINK("https://bugs.eclipse.org/bugs/show_bug.cgi?id=138669", "138669")</f>
        <v>138669</v>
      </c>
      <c r="C3058" t="s">
        <v>140</v>
      </c>
      <c r="D3058" t="s">
        <v>10</v>
      </c>
      <c r="E3058" t="s">
        <v>16</v>
      </c>
      <c r="F3058" t="s">
        <v>26</v>
      </c>
      <c r="L3058" t="s">
        <v>14020</v>
      </c>
      <c r="R3058" t="s">
        <v>14020</v>
      </c>
      <c r="T3058" t="s">
        <v>14021</v>
      </c>
      <c r="U3058" t="s">
        <v>14022</v>
      </c>
      <c r="V3058" t="s">
        <v>14020</v>
      </c>
      <c r="W3058" t="s">
        <v>851</v>
      </c>
      <c r="X3058" t="s">
        <v>14023</v>
      </c>
      <c r="Y3058">
        <v>1</v>
      </c>
      <c r="Z3058">
        <v>1</v>
      </c>
    </row>
    <row r="3059" spans="1:26">
      <c r="A3059" s="1">
        <v>3057</v>
      </c>
      <c r="B3059" t="str">
        <f>HYPERLINK("https://bugs.eclipse.org/bugs/show_bug.cgi?id=138855", "138855")</f>
        <v>138855</v>
      </c>
      <c r="C3059" t="s">
        <v>149</v>
      </c>
      <c r="D3059" t="s">
        <v>10</v>
      </c>
      <c r="E3059" t="s">
        <v>12</v>
      </c>
      <c r="F3059" t="s">
        <v>26</v>
      </c>
      <c r="L3059" t="s">
        <v>14024</v>
      </c>
      <c r="N3059" t="s">
        <v>14024</v>
      </c>
      <c r="T3059" t="s">
        <v>14025</v>
      </c>
      <c r="U3059" t="s">
        <v>14026</v>
      </c>
      <c r="V3059" t="s">
        <v>14024</v>
      </c>
      <c r="W3059" t="s">
        <v>2668</v>
      </c>
      <c r="X3059" t="s">
        <v>14027</v>
      </c>
      <c r="Y3059">
        <v>0</v>
      </c>
      <c r="Z3059">
        <v>0</v>
      </c>
    </row>
    <row r="3060" spans="1:26">
      <c r="A3060" s="1">
        <v>3058</v>
      </c>
      <c r="B3060" t="str">
        <f>HYPERLINK("https://bugs.eclipse.org/bugs/show_bug.cgi?id=138865", "138865")</f>
        <v>138865</v>
      </c>
      <c r="C3060" t="s">
        <v>35</v>
      </c>
      <c r="D3060" t="s">
        <v>11</v>
      </c>
      <c r="E3060" t="s">
        <v>12</v>
      </c>
      <c r="F3060" t="s">
        <v>26</v>
      </c>
      <c r="L3060" t="s">
        <v>14028</v>
      </c>
      <c r="M3060" t="s">
        <v>14029</v>
      </c>
      <c r="N3060" t="s">
        <v>14028</v>
      </c>
      <c r="T3060" t="s">
        <v>14030</v>
      </c>
      <c r="U3060" t="s">
        <v>14031</v>
      </c>
      <c r="V3060" t="s">
        <v>14029</v>
      </c>
      <c r="W3060" t="s">
        <v>1954</v>
      </c>
      <c r="X3060" t="s">
        <v>14032</v>
      </c>
      <c r="Y3060">
        <v>0</v>
      </c>
      <c r="Z3060">
        <v>104</v>
      </c>
    </row>
    <row r="3061" spans="1:26">
      <c r="A3061" s="1">
        <v>3059</v>
      </c>
      <c r="B3061" t="str">
        <f>HYPERLINK("https://bugs.eclipse.org/bugs/show_bug.cgi?id=138868", "138868")</f>
        <v>138868</v>
      </c>
      <c r="C3061" t="s">
        <v>25</v>
      </c>
      <c r="D3061" t="s">
        <v>25</v>
      </c>
      <c r="F3061" t="s">
        <v>26</v>
      </c>
      <c r="T3061" t="s">
        <v>14033</v>
      </c>
      <c r="U3061" t="s">
        <v>14034</v>
      </c>
      <c r="V3061" t="s">
        <v>14035</v>
      </c>
      <c r="W3061" t="s">
        <v>143</v>
      </c>
      <c r="X3061" t="s">
        <v>14036</v>
      </c>
      <c r="Y3061">
        <v>0</v>
      </c>
    </row>
    <row r="3062" spans="1:26">
      <c r="A3062" s="1">
        <v>3060</v>
      </c>
      <c r="B3062" t="str">
        <f>HYPERLINK("https://bugs.eclipse.org/bugs/show_bug.cgi?id=138875", "138875")</f>
        <v>138875</v>
      </c>
      <c r="C3062" t="s">
        <v>35</v>
      </c>
      <c r="D3062" t="s">
        <v>11</v>
      </c>
      <c r="E3062" t="s">
        <v>12</v>
      </c>
      <c r="F3062" t="s">
        <v>26</v>
      </c>
      <c r="L3062" t="s">
        <v>14037</v>
      </c>
      <c r="M3062" t="s">
        <v>14038</v>
      </c>
      <c r="N3062" t="s">
        <v>14037</v>
      </c>
      <c r="T3062" t="s">
        <v>14039</v>
      </c>
      <c r="U3062" t="s">
        <v>14040</v>
      </c>
      <c r="V3062" t="s">
        <v>14038</v>
      </c>
      <c r="W3062" t="s">
        <v>14041</v>
      </c>
      <c r="X3062" t="s">
        <v>14042</v>
      </c>
      <c r="Y3062">
        <v>0</v>
      </c>
      <c r="Z3062">
        <v>12</v>
      </c>
    </row>
    <row r="3063" spans="1:26">
      <c r="A3063" s="1">
        <v>3061</v>
      </c>
      <c r="B3063" t="str">
        <f>HYPERLINK("https://bugs.eclipse.org/bugs/show_bug.cgi?id=138880", "138880")</f>
        <v>138880</v>
      </c>
      <c r="C3063" t="s">
        <v>35</v>
      </c>
      <c r="D3063" t="s">
        <v>11</v>
      </c>
      <c r="E3063" t="s">
        <v>12</v>
      </c>
      <c r="F3063" t="s">
        <v>26</v>
      </c>
      <c r="L3063" t="s">
        <v>14043</v>
      </c>
      <c r="M3063" t="s">
        <v>14044</v>
      </c>
      <c r="N3063" t="s">
        <v>14043</v>
      </c>
      <c r="T3063" t="s">
        <v>14045</v>
      </c>
      <c r="U3063" t="s">
        <v>14046</v>
      </c>
      <c r="V3063" t="s">
        <v>14044</v>
      </c>
      <c r="W3063" t="s">
        <v>14041</v>
      </c>
      <c r="X3063" t="s">
        <v>14047</v>
      </c>
      <c r="Y3063">
        <v>0</v>
      </c>
      <c r="Z3063">
        <v>12</v>
      </c>
    </row>
    <row r="3064" spans="1:26">
      <c r="A3064" s="1">
        <v>3062</v>
      </c>
      <c r="B3064" t="str">
        <f>HYPERLINK("https://bugs.eclipse.org/bugs/show_bug.cgi?id=138908", "138908")</f>
        <v>138908</v>
      </c>
      <c r="C3064" t="s">
        <v>14048</v>
      </c>
      <c r="D3064" t="s">
        <v>11</v>
      </c>
      <c r="E3064" t="s">
        <v>13</v>
      </c>
      <c r="F3064" t="s">
        <v>26</v>
      </c>
      <c r="L3064" t="s">
        <v>14049</v>
      </c>
      <c r="M3064" t="s">
        <v>14050</v>
      </c>
      <c r="O3064" t="s">
        <v>14049</v>
      </c>
      <c r="T3064" t="s">
        <v>14051</v>
      </c>
      <c r="U3064" t="s">
        <v>14049</v>
      </c>
      <c r="V3064" t="s">
        <v>14050</v>
      </c>
      <c r="W3064" t="s">
        <v>14041</v>
      </c>
      <c r="X3064" t="s">
        <v>14052</v>
      </c>
      <c r="Y3064">
        <v>0</v>
      </c>
      <c r="Z3064">
        <v>12</v>
      </c>
    </row>
    <row r="3065" spans="1:26">
      <c r="A3065" s="1">
        <v>3063</v>
      </c>
      <c r="B3065" t="str">
        <f>HYPERLINK("https://bugs.eclipse.org/bugs/show_bug.cgi?id=138911", "138911")</f>
        <v>138911</v>
      </c>
      <c r="C3065" t="s">
        <v>35</v>
      </c>
      <c r="D3065" t="s">
        <v>11</v>
      </c>
      <c r="E3065" t="s">
        <v>12</v>
      </c>
      <c r="F3065" t="s">
        <v>26</v>
      </c>
      <c r="L3065" t="s">
        <v>14053</v>
      </c>
      <c r="M3065" t="s">
        <v>14054</v>
      </c>
      <c r="N3065" t="s">
        <v>14053</v>
      </c>
      <c r="T3065" t="s">
        <v>14055</v>
      </c>
      <c r="U3065" t="s">
        <v>14056</v>
      </c>
      <c r="V3065" t="s">
        <v>14054</v>
      </c>
      <c r="W3065" t="s">
        <v>14041</v>
      </c>
      <c r="X3065" t="s">
        <v>14057</v>
      </c>
      <c r="Y3065">
        <v>0</v>
      </c>
      <c r="Z3065">
        <v>12</v>
      </c>
    </row>
    <row r="3066" spans="1:26">
      <c r="A3066" s="1">
        <v>3064</v>
      </c>
      <c r="B3066" t="str">
        <f>HYPERLINK("https://bugs.eclipse.org/bugs/show_bug.cgi?id=138924", "138924")</f>
        <v>138924</v>
      </c>
      <c r="C3066" t="s">
        <v>25</v>
      </c>
      <c r="D3066" t="s">
        <v>25</v>
      </c>
      <c r="F3066" t="s">
        <v>26</v>
      </c>
      <c r="T3066" t="s">
        <v>14058</v>
      </c>
      <c r="U3066" t="s">
        <v>14059</v>
      </c>
      <c r="V3066" t="s">
        <v>14060</v>
      </c>
      <c r="W3066" t="s">
        <v>49</v>
      </c>
      <c r="X3066" t="s">
        <v>14061</v>
      </c>
      <c r="Y3066">
        <v>0</v>
      </c>
    </row>
    <row r="3067" spans="1:26">
      <c r="A3067" s="1">
        <v>3065</v>
      </c>
      <c r="B3067" t="str">
        <f>HYPERLINK("https://bugs.eclipse.org/bugs/show_bug.cgi?id=138928", "138928")</f>
        <v>138928</v>
      </c>
      <c r="C3067" t="s">
        <v>35</v>
      </c>
      <c r="D3067" t="s">
        <v>11</v>
      </c>
      <c r="E3067" t="s">
        <v>12</v>
      </c>
      <c r="F3067" t="s">
        <v>26</v>
      </c>
      <c r="L3067" t="s">
        <v>14062</v>
      </c>
      <c r="M3067" t="s">
        <v>14063</v>
      </c>
      <c r="N3067" t="s">
        <v>14062</v>
      </c>
      <c r="T3067" t="s">
        <v>14064</v>
      </c>
      <c r="U3067" t="s">
        <v>14065</v>
      </c>
      <c r="V3067" t="s">
        <v>14063</v>
      </c>
      <c r="W3067" t="s">
        <v>143</v>
      </c>
      <c r="X3067" t="s">
        <v>14066</v>
      </c>
      <c r="Y3067">
        <v>0</v>
      </c>
      <c r="Z3067">
        <v>15</v>
      </c>
    </row>
    <row r="3068" spans="1:26">
      <c r="A3068" s="1">
        <v>3066</v>
      </c>
      <c r="B3068" t="str">
        <f>HYPERLINK("https://bugs.eclipse.org/bugs/show_bug.cgi?id=138930", "138930")</f>
        <v>138930</v>
      </c>
      <c r="C3068" t="s">
        <v>35</v>
      </c>
      <c r="D3068" t="s">
        <v>11</v>
      </c>
      <c r="E3068" t="s">
        <v>12</v>
      </c>
      <c r="F3068" t="s">
        <v>26</v>
      </c>
      <c r="L3068" t="s">
        <v>14067</v>
      </c>
      <c r="M3068" t="s">
        <v>14068</v>
      </c>
      <c r="N3068" t="s">
        <v>14067</v>
      </c>
      <c r="T3068" t="s">
        <v>14069</v>
      </c>
      <c r="U3068" t="s">
        <v>14070</v>
      </c>
      <c r="V3068" t="s">
        <v>14068</v>
      </c>
      <c r="W3068" t="s">
        <v>14041</v>
      </c>
      <c r="X3068" t="s">
        <v>14071</v>
      </c>
      <c r="Y3068">
        <v>0</v>
      </c>
      <c r="Z3068">
        <v>12</v>
      </c>
    </row>
    <row r="3069" spans="1:26">
      <c r="A3069" s="1">
        <v>3067</v>
      </c>
      <c r="B3069" t="str">
        <f>HYPERLINK("https://bugs.eclipse.org/bugs/show_bug.cgi?id=138944", "138944")</f>
        <v>138944</v>
      </c>
      <c r="C3069" t="s">
        <v>35</v>
      </c>
      <c r="D3069" t="s">
        <v>11</v>
      </c>
      <c r="E3069" t="s">
        <v>12</v>
      </c>
      <c r="F3069" t="s">
        <v>26</v>
      </c>
      <c r="L3069" t="s">
        <v>14072</v>
      </c>
      <c r="M3069" t="s">
        <v>14073</v>
      </c>
      <c r="N3069" t="s">
        <v>14072</v>
      </c>
      <c r="T3069" t="s">
        <v>14074</v>
      </c>
      <c r="U3069" t="s">
        <v>14075</v>
      </c>
      <c r="V3069" t="s">
        <v>14073</v>
      </c>
      <c r="W3069" t="s">
        <v>143</v>
      </c>
      <c r="X3069" t="s">
        <v>14076</v>
      </c>
      <c r="Y3069">
        <v>0</v>
      </c>
      <c r="Z3069">
        <v>14</v>
      </c>
    </row>
    <row r="3070" spans="1:26">
      <c r="A3070" s="1">
        <v>3068</v>
      </c>
      <c r="B3070" t="str">
        <f>HYPERLINK("https://bugs.eclipse.org/bugs/show_bug.cgi?id=138952", "138952")</f>
        <v>138952</v>
      </c>
      <c r="C3070" t="s">
        <v>25</v>
      </c>
      <c r="D3070" t="s">
        <v>25</v>
      </c>
      <c r="F3070" t="s">
        <v>26</v>
      </c>
      <c r="T3070" t="s">
        <v>14077</v>
      </c>
      <c r="U3070" t="s">
        <v>14078</v>
      </c>
      <c r="V3070" t="s">
        <v>14079</v>
      </c>
      <c r="W3070" t="s">
        <v>6360</v>
      </c>
      <c r="X3070" t="s">
        <v>14080</v>
      </c>
      <c r="Y3070">
        <v>0</v>
      </c>
    </row>
    <row r="3071" spans="1:26">
      <c r="A3071" s="1">
        <v>3069</v>
      </c>
      <c r="B3071" t="str">
        <f>HYPERLINK("https://bugs.eclipse.org/bugs/show_bug.cgi?id=138972", "138972")</f>
        <v>138972</v>
      </c>
      <c r="C3071" t="s">
        <v>35</v>
      </c>
      <c r="D3071" t="s">
        <v>11</v>
      </c>
      <c r="E3071" t="s">
        <v>12</v>
      </c>
      <c r="F3071" t="s">
        <v>26</v>
      </c>
      <c r="L3071" t="s">
        <v>14081</v>
      </c>
      <c r="M3071" t="s">
        <v>14082</v>
      </c>
      <c r="N3071" t="s">
        <v>14081</v>
      </c>
      <c r="T3071" t="s">
        <v>14083</v>
      </c>
      <c r="U3071" t="s">
        <v>14084</v>
      </c>
      <c r="V3071" t="s">
        <v>14082</v>
      </c>
      <c r="W3071" t="s">
        <v>1954</v>
      </c>
      <c r="X3071" t="s">
        <v>14085</v>
      </c>
      <c r="Y3071">
        <v>0</v>
      </c>
      <c r="Z3071">
        <v>18</v>
      </c>
    </row>
    <row r="3072" spans="1:26">
      <c r="A3072" s="1">
        <v>3070</v>
      </c>
      <c r="B3072" t="str">
        <f>HYPERLINK("https://bugs.eclipse.org/bugs/show_bug.cgi?id=138996", "138996")</f>
        <v>138996</v>
      </c>
      <c r="C3072" t="s">
        <v>140</v>
      </c>
      <c r="D3072" t="s">
        <v>10</v>
      </c>
      <c r="E3072" t="s">
        <v>16</v>
      </c>
      <c r="F3072" t="s">
        <v>26</v>
      </c>
      <c r="L3072" t="s">
        <v>14086</v>
      </c>
      <c r="R3072" t="s">
        <v>14086</v>
      </c>
      <c r="T3072" t="s">
        <v>14087</v>
      </c>
      <c r="U3072" t="s">
        <v>14088</v>
      </c>
      <c r="V3072" t="s">
        <v>14086</v>
      </c>
      <c r="W3072" t="s">
        <v>14041</v>
      </c>
      <c r="X3072" t="s">
        <v>14089</v>
      </c>
      <c r="Y3072">
        <v>0</v>
      </c>
      <c r="Z3072">
        <v>8</v>
      </c>
    </row>
    <row r="3073" spans="1:26">
      <c r="A3073" s="1">
        <v>3071</v>
      </c>
      <c r="B3073" t="str">
        <f>HYPERLINK("https://bugs.eclipse.org/bugs/show_bug.cgi?id=139007", "139007")</f>
        <v>139007</v>
      </c>
      <c r="C3073" t="s">
        <v>35</v>
      </c>
      <c r="D3073" t="s">
        <v>11</v>
      </c>
      <c r="E3073" t="s">
        <v>12</v>
      </c>
      <c r="F3073" t="s">
        <v>26</v>
      </c>
      <c r="L3073" t="s">
        <v>14090</v>
      </c>
      <c r="M3073" t="s">
        <v>14091</v>
      </c>
      <c r="N3073" t="s">
        <v>14090</v>
      </c>
      <c r="T3073" t="s">
        <v>14092</v>
      </c>
      <c r="U3073" t="s">
        <v>14093</v>
      </c>
      <c r="V3073" t="s">
        <v>14091</v>
      </c>
      <c r="W3073" t="s">
        <v>1954</v>
      </c>
      <c r="X3073" t="s">
        <v>14094</v>
      </c>
      <c r="Y3073">
        <v>0</v>
      </c>
      <c r="Z3073">
        <v>104</v>
      </c>
    </row>
    <row r="3074" spans="1:26">
      <c r="A3074" s="1">
        <v>3072</v>
      </c>
      <c r="B3074" t="str">
        <f>HYPERLINK("https://bugs.eclipse.org/bugs/show_bug.cgi?id=139142", "139142")</f>
        <v>139142</v>
      </c>
      <c r="C3074" t="s">
        <v>35</v>
      </c>
      <c r="D3074" t="s">
        <v>11</v>
      </c>
      <c r="E3074" t="s">
        <v>12</v>
      </c>
      <c r="F3074" t="s">
        <v>26</v>
      </c>
      <c r="L3074" t="s">
        <v>14095</v>
      </c>
      <c r="M3074" t="s">
        <v>14096</v>
      </c>
      <c r="N3074" t="s">
        <v>14095</v>
      </c>
      <c r="T3074" t="s">
        <v>14097</v>
      </c>
      <c r="U3074" t="s">
        <v>14098</v>
      </c>
      <c r="V3074" t="s">
        <v>14096</v>
      </c>
      <c r="W3074" t="s">
        <v>1954</v>
      </c>
      <c r="X3074" t="s">
        <v>14099</v>
      </c>
      <c r="Y3074">
        <v>0</v>
      </c>
      <c r="Z3074">
        <v>103</v>
      </c>
    </row>
    <row r="3075" spans="1:26">
      <c r="A3075" s="1">
        <v>3073</v>
      </c>
      <c r="B3075" t="str">
        <f>HYPERLINK("https://bugs.eclipse.org/bugs/show_bug.cgi?id=139144", "139144")</f>
        <v>139144</v>
      </c>
      <c r="C3075" t="s">
        <v>191</v>
      </c>
      <c r="D3075" t="s">
        <v>192</v>
      </c>
      <c r="E3075" t="s">
        <v>14</v>
      </c>
      <c r="F3075" t="s">
        <v>26</v>
      </c>
      <c r="G3075" t="s">
        <v>14100</v>
      </c>
      <c r="P3075" t="s">
        <v>14101</v>
      </c>
      <c r="T3075" t="s">
        <v>14102</v>
      </c>
      <c r="U3075" t="s">
        <v>14103</v>
      </c>
      <c r="V3075" t="s">
        <v>14101</v>
      </c>
      <c r="W3075" t="s">
        <v>65</v>
      </c>
      <c r="X3075" t="s">
        <v>14104</v>
      </c>
      <c r="Y3075">
        <v>0</v>
      </c>
      <c r="Z3075">
        <v>5116</v>
      </c>
    </row>
    <row r="3076" spans="1:26">
      <c r="A3076" s="1">
        <v>3074</v>
      </c>
      <c r="B3076" t="str">
        <f>HYPERLINK("https://bugs.eclipse.org/bugs/show_bug.cgi?id=139181", "139181")</f>
        <v>139181</v>
      </c>
      <c r="C3076" t="s">
        <v>191</v>
      </c>
      <c r="D3076" t="s">
        <v>192</v>
      </c>
      <c r="E3076" t="s">
        <v>14</v>
      </c>
      <c r="F3076" t="s">
        <v>26</v>
      </c>
      <c r="T3076" t="s">
        <v>14105</v>
      </c>
      <c r="U3076" t="s">
        <v>14106</v>
      </c>
      <c r="V3076" t="s">
        <v>14107</v>
      </c>
      <c r="W3076" t="s">
        <v>65</v>
      </c>
      <c r="X3076" t="s">
        <v>14108</v>
      </c>
      <c r="Y3076">
        <v>4</v>
      </c>
      <c r="Z3076">
        <v>4959.041666666667</v>
      </c>
    </row>
    <row r="3077" spans="1:26">
      <c r="A3077" s="1">
        <v>3075</v>
      </c>
      <c r="B3077" t="str">
        <f>HYPERLINK("https://bugs.eclipse.org/bugs/show_bug.cgi?id=139197", "139197")</f>
        <v>139197</v>
      </c>
      <c r="C3077" t="s">
        <v>35</v>
      </c>
      <c r="D3077" t="s">
        <v>11</v>
      </c>
      <c r="E3077" t="s">
        <v>12</v>
      </c>
      <c r="F3077" t="s">
        <v>26</v>
      </c>
      <c r="G3077" t="s">
        <v>14109</v>
      </c>
      <c r="L3077" t="s">
        <v>14110</v>
      </c>
      <c r="M3077" t="s">
        <v>14111</v>
      </c>
      <c r="N3077" t="s">
        <v>14110</v>
      </c>
      <c r="T3077" t="s">
        <v>14112</v>
      </c>
      <c r="U3077" t="s">
        <v>14113</v>
      </c>
      <c r="V3077" t="s">
        <v>14111</v>
      </c>
      <c r="W3077" t="s">
        <v>14114</v>
      </c>
      <c r="X3077" t="s">
        <v>14115</v>
      </c>
      <c r="Y3077">
        <v>5</v>
      </c>
      <c r="Z3077">
        <v>1600</v>
      </c>
    </row>
    <row r="3078" spans="1:26">
      <c r="A3078" s="1">
        <v>3076</v>
      </c>
      <c r="B3078" t="str">
        <f>HYPERLINK("https://bugs.eclipse.org/bugs/show_bug.cgi?id=139198", "139198")</f>
        <v>139198</v>
      </c>
      <c r="C3078" t="s">
        <v>14116</v>
      </c>
      <c r="D3078" t="s">
        <v>10</v>
      </c>
      <c r="E3078" t="s">
        <v>15</v>
      </c>
      <c r="F3078" t="s">
        <v>26</v>
      </c>
      <c r="L3078" t="s">
        <v>14117</v>
      </c>
      <c r="Q3078" t="s">
        <v>14117</v>
      </c>
      <c r="T3078" t="s">
        <v>14118</v>
      </c>
      <c r="U3078" t="s">
        <v>14119</v>
      </c>
      <c r="V3078" t="s">
        <v>14117</v>
      </c>
      <c r="W3078" t="s">
        <v>1954</v>
      </c>
      <c r="X3078" t="s">
        <v>14120</v>
      </c>
      <c r="Y3078">
        <v>5</v>
      </c>
      <c r="Z3078">
        <v>55</v>
      </c>
    </row>
    <row r="3079" spans="1:26">
      <c r="A3079" s="1">
        <v>3077</v>
      </c>
      <c r="B3079" t="str">
        <f>HYPERLINK("https://bugs.eclipse.org/bugs/show_bug.cgi?id=139231", "139231")</f>
        <v>139231</v>
      </c>
      <c r="C3079" t="s">
        <v>149</v>
      </c>
      <c r="D3079" t="s">
        <v>10</v>
      </c>
      <c r="E3079" t="s">
        <v>12</v>
      </c>
      <c r="F3079" t="s">
        <v>26</v>
      </c>
      <c r="G3079" t="s">
        <v>14121</v>
      </c>
      <c r="L3079" t="s">
        <v>14122</v>
      </c>
      <c r="N3079" t="s">
        <v>14122</v>
      </c>
      <c r="T3079" t="s">
        <v>14123</v>
      </c>
      <c r="U3079" t="s">
        <v>14124</v>
      </c>
      <c r="V3079" t="s">
        <v>14122</v>
      </c>
      <c r="W3079" t="s">
        <v>2777</v>
      </c>
      <c r="X3079" t="s">
        <v>14125</v>
      </c>
      <c r="Y3079">
        <v>0</v>
      </c>
      <c r="Z3079">
        <v>2012</v>
      </c>
    </row>
    <row r="3080" spans="1:26">
      <c r="A3080" s="1">
        <v>3078</v>
      </c>
      <c r="B3080" t="str">
        <f>HYPERLINK("https://bugs.eclipse.org/bugs/show_bug.cgi?id=139381", "139381")</f>
        <v>139381</v>
      </c>
      <c r="C3080" t="s">
        <v>35</v>
      </c>
      <c r="D3080" t="s">
        <v>11</v>
      </c>
      <c r="E3080" t="s">
        <v>12</v>
      </c>
      <c r="F3080" t="s">
        <v>26</v>
      </c>
      <c r="L3080" t="s">
        <v>14126</v>
      </c>
      <c r="M3080" t="s">
        <v>14127</v>
      </c>
      <c r="N3080" t="s">
        <v>14126</v>
      </c>
      <c r="T3080" t="s">
        <v>14128</v>
      </c>
      <c r="U3080" t="s">
        <v>14129</v>
      </c>
      <c r="V3080" t="s">
        <v>14127</v>
      </c>
      <c r="W3080" t="s">
        <v>143</v>
      </c>
      <c r="X3080" t="s">
        <v>14130</v>
      </c>
      <c r="Y3080">
        <v>0</v>
      </c>
      <c r="Z3080">
        <v>12</v>
      </c>
    </row>
    <row r="3081" spans="1:26">
      <c r="A3081" s="1">
        <v>3079</v>
      </c>
      <c r="B3081" t="str">
        <f>HYPERLINK("https://bugs.eclipse.org/bugs/show_bug.cgi?id=139506", "139506")</f>
        <v>139506</v>
      </c>
      <c r="C3081" t="s">
        <v>191</v>
      </c>
      <c r="D3081" t="s">
        <v>192</v>
      </c>
      <c r="E3081" t="s">
        <v>14</v>
      </c>
      <c r="F3081" t="s">
        <v>26</v>
      </c>
      <c r="P3081" t="s">
        <v>14131</v>
      </c>
      <c r="T3081" t="s">
        <v>14132</v>
      </c>
      <c r="U3081" t="s">
        <v>14133</v>
      </c>
      <c r="V3081" t="s">
        <v>14131</v>
      </c>
      <c r="W3081" t="s">
        <v>65</v>
      </c>
      <c r="X3081" t="s">
        <v>14134</v>
      </c>
      <c r="Y3081">
        <v>0</v>
      </c>
      <c r="Z3081">
        <v>5035.041666666667</v>
      </c>
    </row>
    <row r="3082" spans="1:26">
      <c r="A3082" s="1">
        <v>3080</v>
      </c>
      <c r="B3082" t="str">
        <f>HYPERLINK("https://bugs.eclipse.org/bugs/show_bug.cgi?id=139639", "139639")</f>
        <v>139639</v>
      </c>
      <c r="C3082" t="s">
        <v>35</v>
      </c>
      <c r="D3082" t="s">
        <v>11</v>
      </c>
      <c r="E3082" t="s">
        <v>12</v>
      </c>
      <c r="F3082" t="s">
        <v>26</v>
      </c>
      <c r="L3082" t="s">
        <v>14135</v>
      </c>
      <c r="M3082" t="s">
        <v>14136</v>
      </c>
      <c r="N3082" t="s">
        <v>14135</v>
      </c>
      <c r="T3082" t="s">
        <v>14137</v>
      </c>
      <c r="U3082" t="s">
        <v>14138</v>
      </c>
      <c r="V3082" t="s">
        <v>14136</v>
      </c>
      <c r="W3082" t="s">
        <v>851</v>
      </c>
      <c r="X3082" t="s">
        <v>14139</v>
      </c>
      <c r="Y3082">
        <v>2</v>
      </c>
      <c r="Z3082">
        <v>7</v>
      </c>
    </row>
    <row r="3083" spans="1:26">
      <c r="A3083" s="1">
        <v>3081</v>
      </c>
      <c r="B3083" t="str">
        <f>HYPERLINK("https://bugs.eclipse.org/bugs/show_bug.cgi?id=139672", "139672")</f>
        <v>139672</v>
      </c>
      <c r="C3083" t="s">
        <v>14140</v>
      </c>
      <c r="D3083" t="s">
        <v>10</v>
      </c>
      <c r="E3083" t="s">
        <v>15</v>
      </c>
      <c r="F3083" t="s">
        <v>26</v>
      </c>
      <c r="L3083" t="s">
        <v>14141</v>
      </c>
      <c r="P3083" t="s">
        <v>14141</v>
      </c>
      <c r="Q3083" t="s">
        <v>14142</v>
      </c>
      <c r="T3083" t="s">
        <v>14143</v>
      </c>
      <c r="U3083" t="s">
        <v>14144</v>
      </c>
      <c r="V3083" t="s">
        <v>14142</v>
      </c>
      <c r="W3083" t="s">
        <v>851</v>
      </c>
      <c r="X3083" t="s">
        <v>14145</v>
      </c>
      <c r="Y3083">
        <v>2</v>
      </c>
      <c r="Z3083">
        <v>1183</v>
      </c>
    </row>
    <row r="3084" spans="1:26">
      <c r="A3084" s="1">
        <v>3082</v>
      </c>
      <c r="B3084" t="str">
        <f>HYPERLINK("https://bugs.eclipse.org/bugs/show_bug.cgi?id=139677", "139677")</f>
        <v>139677</v>
      </c>
      <c r="C3084" t="s">
        <v>35</v>
      </c>
      <c r="D3084" t="s">
        <v>11</v>
      </c>
      <c r="E3084" t="s">
        <v>12</v>
      </c>
      <c r="F3084" t="s">
        <v>26</v>
      </c>
      <c r="L3084" t="s">
        <v>14146</v>
      </c>
      <c r="M3084" t="s">
        <v>14147</v>
      </c>
      <c r="N3084" t="s">
        <v>14146</v>
      </c>
      <c r="T3084" t="s">
        <v>14148</v>
      </c>
      <c r="U3084" t="s">
        <v>14149</v>
      </c>
      <c r="V3084" t="s">
        <v>14147</v>
      </c>
      <c r="W3084" t="s">
        <v>143</v>
      </c>
      <c r="X3084" t="s">
        <v>14150</v>
      </c>
      <c r="Y3084">
        <v>0</v>
      </c>
      <c r="Z3084">
        <v>8</v>
      </c>
    </row>
    <row r="3085" spans="1:26">
      <c r="A3085" s="1">
        <v>3083</v>
      </c>
      <c r="B3085" t="str">
        <f>HYPERLINK("https://bugs.eclipse.org/bugs/show_bug.cgi?id=139719", "139719")</f>
        <v>139719</v>
      </c>
      <c r="C3085" t="s">
        <v>25</v>
      </c>
      <c r="D3085" t="s">
        <v>25</v>
      </c>
      <c r="F3085" t="s">
        <v>26</v>
      </c>
      <c r="G3085" t="s">
        <v>14151</v>
      </c>
      <c r="T3085" t="s">
        <v>14152</v>
      </c>
      <c r="U3085" t="s">
        <v>14153</v>
      </c>
      <c r="V3085" t="s">
        <v>14154</v>
      </c>
      <c r="W3085" t="s">
        <v>143</v>
      </c>
      <c r="X3085" t="s">
        <v>14155</v>
      </c>
      <c r="Y3085">
        <v>1</v>
      </c>
    </row>
    <row r="3086" spans="1:26">
      <c r="A3086" s="1">
        <v>3084</v>
      </c>
      <c r="B3086" t="str">
        <f>HYPERLINK("https://bugs.eclipse.org/bugs/show_bug.cgi?id=139730", "139730")</f>
        <v>139730</v>
      </c>
      <c r="C3086" t="s">
        <v>149</v>
      </c>
      <c r="D3086" t="s">
        <v>10</v>
      </c>
      <c r="E3086" t="s">
        <v>12</v>
      </c>
      <c r="F3086" t="s">
        <v>26</v>
      </c>
      <c r="L3086" t="s">
        <v>14156</v>
      </c>
      <c r="N3086" t="s">
        <v>14156</v>
      </c>
      <c r="T3086" t="s">
        <v>14157</v>
      </c>
      <c r="U3086" t="s">
        <v>14158</v>
      </c>
      <c r="V3086" t="s">
        <v>14159</v>
      </c>
      <c r="W3086" t="s">
        <v>14160</v>
      </c>
      <c r="X3086" t="s">
        <v>14161</v>
      </c>
      <c r="Y3086">
        <v>1</v>
      </c>
      <c r="Z3086">
        <v>80</v>
      </c>
    </row>
    <row r="3087" spans="1:26">
      <c r="A3087" s="1">
        <v>3085</v>
      </c>
      <c r="B3087" t="str">
        <f>HYPERLINK("https://bugs.eclipse.org/bugs/show_bug.cgi?id=139741", "139741")</f>
        <v>139741</v>
      </c>
      <c r="C3087" t="s">
        <v>35</v>
      </c>
      <c r="D3087" t="s">
        <v>11</v>
      </c>
      <c r="E3087" t="s">
        <v>12</v>
      </c>
      <c r="F3087" t="s">
        <v>26</v>
      </c>
      <c r="L3087" t="s">
        <v>14162</v>
      </c>
      <c r="M3087" t="s">
        <v>14163</v>
      </c>
      <c r="N3087" t="s">
        <v>14162</v>
      </c>
      <c r="T3087" t="s">
        <v>14164</v>
      </c>
      <c r="U3087" t="s">
        <v>14165</v>
      </c>
      <c r="V3087" t="s">
        <v>14163</v>
      </c>
      <c r="W3087" t="s">
        <v>143</v>
      </c>
      <c r="X3087" t="s">
        <v>14166</v>
      </c>
      <c r="Y3087">
        <v>0</v>
      </c>
      <c r="Z3087">
        <v>8</v>
      </c>
    </row>
    <row r="3088" spans="1:26">
      <c r="A3088" s="1">
        <v>3086</v>
      </c>
      <c r="B3088" t="str">
        <f>HYPERLINK("https://bugs.eclipse.org/bugs/show_bug.cgi?id=139773", "139773")</f>
        <v>139773</v>
      </c>
      <c r="C3088" t="s">
        <v>88</v>
      </c>
      <c r="D3088" t="s">
        <v>10</v>
      </c>
      <c r="E3088" t="s">
        <v>13</v>
      </c>
      <c r="F3088" t="s">
        <v>26</v>
      </c>
      <c r="L3088" t="s">
        <v>14167</v>
      </c>
      <c r="O3088" t="s">
        <v>14167</v>
      </c>
      <c r="T3088" t="s">
        <v>14168</v>
      </c>
      <c r="U3088" t="s">
        <v>14167</v>
      </c>
      <c r="V3088" t="s">
        <v>14169</v>
      </c>
      <c r="W3088" t="s">
        <v>143</v>
      </c>
      <c r="X3088" t="s">
        <v>14170</v>
      </c>
      <c r="Y3088">
        <v>0</v>
      </c>
      <c r="Z3088">
        <v>0</v>
      </c>
    </row>
    <row r="3089" spans="1:26">
      <c r="A3089" s="1">
        <v>3087</v>
      </c>
      <c r="B3089" t="str">
        <f>HYPERLINK("https://bugs.eclipse.org/bugs/show_bug.cgi?id=139969", "139969")</f>
        <v>139969</v>
      </c>
      <c r="C3089" t="s">
        <v>14171</v>
      </c>
      <c r="D3089" t="s">
        <v>10</v>
      </c>
      <c r="E3089" t="s">
        <v>15</v>
      </c>
      <c r="F3089" t="s">
        <v>26</v>
      </c>
      <c r="G3089" t="s">
        <v>14172</v>
      </c>
      <c r="L3089" t="s">
        <v>14173</v>
      </c>
      <c r="Q3089" t="s">
        <v>14173</v>
      </c>
      <c r="T3089" t="s">
        <v>14174</v>
      </c>
      <c r="U3089" t="s">
        <v>14175</v>
      </c>
      <c r="V3089" t="s">
        <v>14176</v>
      </c>
      <c r="W3089" t="s">
        <v>143</v>
      </c>
      <c r="X3089" t="s">
        <v>14177</v>
      </c>
      <c r="Y3089">
        <v>0</v>
      </c>
      <c r="Z3089">
        <v>0</v>
      </c>
    </row>
    <row r="3090" spans="1:26">
      <c r="A3090" s="1">
        <v>3088</v>
      </c>
      <c r="B3090" t="str">
        <f>HYPERLINK("https://bugs.eclipse.org/bugs/show_bug.cgi?id=139979", "139979")</f>
        <v>139979</v>
      </c>
      <c r="C3090" t="s">
        <v>88</v>
      </c>
      <c r="D3090" t="s">
        <v>10</v>
      </c>
      <c r="E3090" t="s">
        <v>13</v>
      </c>
      <c r="F3090" t="s">
        <v>26</v>
      </c>
      <c r="L3090" t="s">
        <v>14178</v>
      </c>
      <c r="O3090" t="s">
        <v>14178</v>
      </c>
      <c r="T3090" t="s">
        <v>14179</v>
      </c>
      <c r="U3090" t="s">
        <v>14180</v>
      </c>
      <c r="V3090" t="s">
        <v>14178</v>
      </c>
      <c r="W3090" t="s">
        <v>86</v>
      </c>
      <c r="X3090" t="s">
        <v>14181</v>
      </c>
      <c r="Y3090">
        <v>0</v>
      </c>
      <c r="Z3090">
        <v>0</v>
      </c>
    </row>
    <row r="3091" spans="1:26">
      <c r="A3091" s="1">
        <v>3089</v>
      </c>
      <c r="B3091" t="str">
        <f>HYPERLINK("https://bugs.eclipse.org/bugs/show_bug.cgi?id=139999", "139999")</f>
        <v>139999</v>
      </c>
      <c r="C3091" t="s">
        <v>14182</v>
      </c>
      <c r="D3091" t="s">
        <v>10</v>
      </c>
      <c r="E3091" t="s">
        <v>15</v>
      </c>
      <c r="F3091" t="s">
        <v>26</v>
      </c>
      <c r="L3091" t="s">
        <v>14183</v>
      </c>
      <c r="Q3091" t="s">
        <v>14183</v>
      </c>
      <c r="T3091" t="s">
        <v>14184</v>
      </c>
      <c r="U3091" t="s">
        <v>14185</v>
      </c>
      <c r="V3091" t="s">
        <v>14183</v>
      </c>
      <c r="W3091" t="s">
        <v>143</v>
      </c>
      <c r="X3091" t="s">
        <v>14186</v>
      </c>
      <c r="Y3091">
        <v>0</v>
      </c>
      <c r="Z3091">
        <v>0</v>
      </c>
    </row>
    <row r="3092" spans="1:26">
      <c r="A3092" s="1">
        <v>3090</v>
      </c>
      <c r="B3092" t="str">
        <f>HYPERLINK("https://bugs.eclipse.org/bugs/show_bug.cgi?id=140124", "140124")</f>
        <v>140124</v>
      </c>
      <c r="C3092" t="s">
        <v>140</v>
      </c>
      <c r="D3092" t="s">
        <v>10</v>
      </c>
      <c r="E3092" t="s">
        <v>16</v>
      </c>
      <c r="F3092" t="s">
        <v>26</v>
      </c>
      <c r="L3092" t="s">
        <v>14187</v>
      </c>
      <c r="R3092" t="s">
        <v>14187</v>
      </c>
      <c r="T3092" t="s">
        <v>14188</v>
      </c>
      <c r="U3092" t="s">
        <v>14189</v>
      </c>
      <c r="V3092" t="s">
        <v>14187</v>
      </c>
      <c r="W3092" t="s">
        <v>2668</v>
      </c>
      <c r="X3092" t="s">
        <v>14190</v>
      </c>
      <c r="Y3092">
        <v>0</v>
      </c>
      <c r="Z3092">
        <v>41</v>
      </c>
    </row>
    <row r="3093" spans="1:26">
      <c r="A3093" s="1">
        <v>3091</v>
      </c>
      <c r="B3093" t="str">
        <f>HYPERLINK("https://bugs.eclipse.org/bugs/show_bug.cgi?id=140176", "140176")</f>
        <v>140176</v>
      </c>
      <c r="C3093" t="s">
        <v>35</v>
      </c>
      <c r="D3093" t="s">
        <v>11</v>
      </c>
      <c r="E3093" t="s">
        <v>12</v>
      </c>
      <c r="F3093" t="s">
        <v>26</v>
      </c>
      <c r="L3093" t="s">
        <v>14191</v>
      </c>
      <c r="M3093" t="s">
        <v>14192</v>
      </c>
      <c r="N3093" t="s">
        <v>14191</v>
      </c>
      <c r="S3093" t="s">
        <v>14193</v>
      </c>
      <c r="T3093" t="s">
        <v>14194</v>
      </c>
      <c r="U3093" t="s">
        <v>14195</v>
      </c>
      <c r="V3093" t="s">
        <v>14192</v>
      </c>
      <c r="W3093" t="s">
        <v>14041</v>
      </c>
      <c r="X3093" t="s">
        <v>14196</v>
      </c>
      <c r="Y3093">
        <v>0</v>
      </c>
      <c r="Z3093">
        <v>5</v>
      </c>
    </row>
    <row r="3094" spans="1:26">
      <c r="A3094" s="1">
        <v>3092</v>
      </c>
      <c r="B3094" t="str">
        <f>HYPERLINK("https://bugs.eclipse.org/bugs/show_bug.cgi?id=140183", "140183")</f>
        <v>140183</v>
      </c>
      <c r="C3094" t="s">
        <v>35</v>
      </c>
      <c r="D3094" t="s">
        <v>11</v>
      </c>
      <c r="E3094" t="s">
        <v>12</v>
      </c>
      <c r="F3094" t="s">
        <v>26</v>
      </c>
      <c r="L3094" t="s">
        <v>14197</v>
      </c>
      <c r="M3094" t="s">
        <v>14198</v>
      </c>
      <c r="N3094" t="s">
        <v>14197</v>
      </c>
      <c r="S3094" t="s">
        <v>14199</v>
      </c>
      <c r="T3094" t="s">
        <v>14200</v>
      </c>
      <c r="U3094" t="s">
        <v>14201</v>
      </c>
      <c r="V3094" t="s">
        <v>14198</v>
      </c>
      <c r="W3094" t="s">
        <v>1954</v>
      </c>
      <c r="X3094" t="s">
        <v>14202</v>
      </c>
      <c r="Y3094">
        <v>0</v>
      </c>
      <c r="Z3094">
        <v>11</v>
      </c>
    </row>
    <row r="3095" spans="1:26">
      <c r="A3095" s="1">
        <v>3093</v>
      </c>
      <c r="B3095" t="str">
        <f>HYPERLINK("https://bugs.eclipse.org/bugs/show_bug.cgi?id=140188", "140188")</f>
        <v>140188</v>
      </c>
      <c r="C3095" t="s">
        <v>88</v>
      </c>
      <c r="D3095" t="s">
        <v>10</v>
      </c>
      <c r="E3095" t="s">
        <v>13</v>
      </c>
      <c r="F3095" t="s">
        <v>26</v>
      </c>
      <c r="L3095" t="s">
        <v>14203</v>
      </c>
      <c r="O3095" t="s">
        <v>5105</v>
      </c>
      <c r="T3095" t="s">
        <v>14204</v>
      </c>
      <c r="U3095" t="s">
        <v>14205</v>
      </c>
      <c r="V3095" t="s">
        <v>5105</v>
      </c>
      <c r="W3095" t="s">
        <v>75</v>
      </c>
      <c r="X3095" t="s">
        <v>14206</v>
      </c>
      <c r="Y3095">
        <v>0</v>
      </c>
      <c r="Z3095">
        <v>1214</v>
      </c>
    </row>
    <row r="3096" spans="1:26">
      <c r="A3096" s="1">
        <v>3094</v>
      </c>
      <c r="B3096" t="str">
        <f>HYPERLINK("https://bugs.eclipse.org/bugs/show_bug.cgi?id=140214", "140214")</f>
        <v>140214</v>
      </c>
      <c r="C3096" t="s">
        <v>149</v>
      </c>
      <c r="D3096" t="s">
        <v>10</v>
      </c>
      <c r="E3096" t="s">
        <v>12</v>
      </c>
      <c r="F3096" t="s">
        <v>26</v>
      </c>
      <c r="G3096" t="s">
        <v>14207</v>
      </c>
      <c r="L3096" t="s">
        <v>14208</v>
      </c>
      <c r="N3096" t="s">
        <v>14208</v>
      </c>
      <c r="T3096" t="s">
        <v>14209</v>
      </c>
      <c r="U3096" t="s">
        <v>14210</v>
      </c>
      <c r="V3096" t="s">
        <v>14208</v>
      </c>
      <c r="W3096" t="s">
        <v>1954</v>
      </c>
      <c r="X3096" t="s">
        <v>14211</v>
      </c>
      <c r="Y3096">
        <v>0</v>
      </c>
      <c r="Z3096">
        <v>49</v>
      </c>
    </row>
    <row r="3097" spans="1:26">
      <c r="A3097" s="1">
        <v>3095</v>
      </c>
      <c r="B3097" t="str">
        <f>HYPERLINK("https://bugs.eclipse.org/bugs/show_bug.cgi?id=140299", "140299")</f>
        <v>140299</v>
      </c>
      <c r="C3097" t="s">
        <v>35</v>
      </c>
      <c r="D3097" t="s">
        <v>11</v>
      </c>
      <c r="E3097" t="s">
        <v>12</v>
      </c>
      <c r="F3097" t="s">
        <v>150</v>
      </c>
      <c r="L3097" t="s">
        <v>14212</v>
      </c>
      <c r="M3097" t="s">
        <v>14213</v>
      </c>
      <c r="N3097" t="s">
        <v>14212</v>
      </c>
      <c r="T3097" t="s">
        <v>14214</v>
      </c>
      <c r="U3097" t="s">
        <v>14215</v>
      </c>
      <c r="V3097" t="s">
        <v>14213</v>
      </c>
      <c r="W3097" t="s">
        <v>1161</v>
      </c>
      <c r="X3097" t="s">
        <v>14216</v>
      </c>
      <c r="Y3097">
        <v>0</v>
      </c>
      <c r="Z3097">
        <v>6</v>
      </c>
    </row>
    <row r="3098" spans="1:26">
      <c r="A3098" s="1">
        <v>3096</v>
      </c>
      <c r="B3098" t="str">
        <f>HYPERLINK("https://bugs.eclipse.org/bugs/show_bug.cgi?id=140315", "140315")</f>
        <v>140315</v>
      </c>
      <c r="C3098" t="s">
        <v>149</v>
      </c>
      <c r="D3098" t="s">
        <v>10</v>
      </c>
      <c r="E3098" t="s">
        <v>12</v>
      </c>
      <c r="F3098" t="s">
        <v>26</v>
      </c>
      <c r="L3098" t="s">
        <v>14217</v>
      </c>
      <c r="N3098" t="s">
        <v>14217</v>
      </c>
      <c r="T3098" t="s">
        <v>14218</v>
      </c>
      <c r="U3098" t="s">
        <v>14219</v>
      </c>
      <c r="V3098" t="s">
        <v>14217</v>
      </c>
      <c r="W3098" t="s">
        <v>2668</v>
      </c>
      <c r="X3098" t="s">
        <v>14220</v>
      </c>
      <c r="Y3098">
        <v>0</v>
      </c>
      <c r="Z3098">
        <v>39</v>
      </c>
    </row>
    <row r="3099" spans="1:26">
      <c r="A3099" s="1">
        <v>3097</v>
      </c>
      <c r="B3099" t="str">
        <f>HYPERLINK("https://bugs.eclipse.org/bugs/show_bug.cgi?id=140332", "140332")</f>
        <v>140332</v>
      </c>
      <c r="C3099" t="s">
        <v>35</v>
      </c>
      <c r="D3099" t="s">
        <v>11</v>
      </c>
      <c r="E3099" t="s">
        <v>12</v>
      </c>
      <c r="F3099" t="s">
        <v>26</v>
      </c>
      <c r="L3099" t="s">
        <v>14221</v>
      </c>
      <c r="M3099" t="s">
        <v>14222</v>
      </c>
      <c r="N3099" t="s">
        <v>14221</v>
      </c>
      <c r="T3099" t="s">
        <v>14223</v>
      </c>
      <c r="U3099" t="s">
        <v>14224</v>
      </c>
      <c r="V3099" t="s">
        <v>14225</v>
      </c>
      <c r="W3099" t="s">
        <v>851</v>
      </c>
      <c r="X3099" t="s">
        <v>14226</v>
      </c>
      <c r="Y3099">
        <v>0</v>
      </c>
      <c r="Z3099">
        <v>11</v>
      </c>
    </row>
    <row r="3100" spans="1:26">
      <c r="A3100" s="1">
        <v>3098</v>
      </c>
      <c r="B3100" t="str">
        <f>HYPERLINK("https://bugs.eclipse.org/bugs/show_bug.cgi?id=140580", "140580")</f>
        <v>140580</v>
      </c>
      <c r="C3100" t="s">
        <v>149</v>
      </c>
      <c r="D3100" t="s">
        <v>10</v>
      </c>
      <c r="E3100" t="s">
        <v>12</v>
      </c>
      <c r="F3100" t="s">
        <v>26</v>
      </c>
      <c r="L3100" t="s">
        <v>14227</v>
      </c>
      <c r="N3100" t="s">
        <v>14227</v>
      </c>
      <c r="T3100" t="s">
        <v>14228</v>
      </c>
      <c r="U3100" t="s">
        <v>14229</v>
      </c>
      <c r="V3100" t="s">
        <v>14230</v>
      </c>
      <c r="W3100" t="s">
        <v>143</v>
      </c>
      <c r="X3100" t="s">
        <v>14231</v>
      </c>
      <c r="Y3100">
        <v>0</v>
      </c>
      <c r="Z3100">
        <v>4</v>
      </c>
    </row>
    <row r="3101" spans="1:26">
      <c r="A3101" s="1">
        <v>3099</v>
      </c>
      <c r="B3101" t="str">
        <f>HYPERLINK("https://bugs.eclipse.org/bugs/show_bug.cgi?id=140755", "140755")</f>
        <v>140755</v>
      </c>
      <c r="C3101" t="s">
        <v>35</v>
      </c>
      <c r="D3101" t="s">
        <v>11</v>
      </c>
      <c r="E3101" t="s">
        <v>12</v>
      </c>
      <c r="F3101" t="s">
        <v>26</v>
      </c>
      <c r="L3101" t="s">
        <v>14232</v>
      </c>
      <c r="M3101" t="s">
        <v>14233</v>
      </c>
      <c r="N3101" t="s">
        <v>14232</v>
      </c>
      <c r="T3101" t="s">
        <v>14234</v>
      </c>
      <c r="U3101" t="s">
        <v>14235</v>
      </c>
      <c r="V3101" t="s">
        <v>14236</v>
      </c>
      <c r="W3101" t="s">
        <v>851</v>
      </c>
      <c r="X3101" t="s">
        <v>14237</v>
      </c>
      <c r="Y3101">
        <v>0</v>
      </c>
      <c r="Z3101">
        <v>7</v>
      </c>
    </row>
    <row r="3102" spans="1:26">
      <c r="A3102" s="1">
        <v>3100</v>
      </c>
      <c r="B3102" t="str">
        <f>HYPERLINK("https://bugs.eclipse.org/bugs/show_bug.cgi?id=140895", "140895")</f>
        <v>140895</v>
      </c>
      <c r="C3102" t="s">
        <v>14238</v>
      </c>
      <c r="D3102" t="s">
        <v>10</v>
      </c>
      <c r="E3102" t="s">
        <v>15</v>
      </c>
      <c r="F3102" t="s">
        <v>26</v>
      </c>
      <c r="L3102" t="s">
        <v>14239</v>
      </c>
      <c r="Q3102" t="s">
        <v>14239</v>
      </c>
      <c r="T3102" t="s">
        <v>14240</v>
      </c>
      <c r="U3102" t="s">
        <v>14241</v>
      </c>
      <c r="V3102" t="s">
        <v>14239</v>
      </c>
      <c r="W3102" t="s">
        <v>14242</v>
      </c>
      <c r="X3102" t="s">
        <v>14243</v>
      </c>
      <c r="Y3102">
        <v>1</v>
      </c>
      <c r="Z3102">
        <v>1</v>
      </c>
    </row>
    <row r="3103" spans="1:26">
      <c r="A3103" s="1">
        <v>3101</v>
      </c>
      <c r="B3103" t="str">
        <f>HYPERLINK("https://bugs.eclipse.org/bugs/show_bug.cgi?id=140901", "140901")</f>
        <v>140901</v>
      </c>
      <c r="C3103" t="s">
        <v>35</v>
      </c>
      <c r="D3103" t="s">
        <v>11</v>
      </c>
      <c r="E3103" t="s">
        <v>12</v>
      </c>
      <c r="F3103" t="s">
        <v>26</v>
      </c>
      <c r="G3103" t="s">
        <v>14244</v>
      </c>
      <c r="L3103" t="s">
        <v>14245</v>
      </c>
      <c r="M3103" t="s">
        <v>14246</v>
      </c>
      <c r="N3103" t="s">
        <v>14245</v>
      </c>
      <c r="T3103" t="s">
        <v>14247</v>
      </c>
      <c r="U3103" t="s">
        <v>14248</v>
      </c>
      <c r="V3103" t="s">
        <v>14246</v>
      </c>
      <c r="W3103" t="s">
        <v>143</v>
      </c>
      <c r="X3103" t="s">
        <v>14249</v>
      </c>
      <c r="Y3103">
        <v>0</v>
      </c>
      <c r="Z3103">
        <v>3</v>
      </c>
    </row>
    <row r="3104" spans="1:26">
      <c r="A3104" s="1">
        <v>3102</v>
      </c>
      <c r="B3104" t="str">
        <f>HYPERLINK("https://bugs.eclipse.org/bugs/show_bug.cgi?id=140904", "140904")</f>
        <v>140904</v>
      </c>
      <c r="C3104" t="s">
        <v>140</v>
      </c>
      <c r="D3104" t="s">
        <v>10</v>
      </c>
      <c r="E3104" t="s">
        <v>16</v>
      </c>
      <c r="F3104" t="s">
        <v>26</v>
      </c>
      <c r="L3104" t="s">
        <v>14250</v>
      </c>
      <c r="R3104" t="s">
        <v>14250</v>
      </c>
      <c r="T3104" t="s">
        <v>14251</v>
      </c>
      <c r="U3104" t="s">
        <v>14252</v>
      </c>
      <c r="V3104" t="s">
        <v>14250</v>
      </c>
      <c r="W3104" t="s">
        <v>2668</v>
      </c>
      <c r="X3104" t="s">
        <v>14253</v>
      </c>
      <c r="Y3104">
        <v>1</v>
      </c>
      <c r="Z3104">
        <v>2</v>
      </c>
    </row>
    <row r="3105" spans="1:26">
      <c r="A3105" s="1">
        <v>3103</v>
      </c>
      <c r="B3105" t="str">
        <f>HYPERLINK("https://bugs.eclipse.org/bugs/show_bug.cgi?id=140982", "140982")</f>
        <v>140982</v>
      </c>
      <c r="C3105" t="s">
        <v>35</v>
      </c>
      <c r="D3105" t="s">
        <v>11</v>
      </c>
      <c r="E3105" t="s">
        <v>12</v>
      </c>
      <c r="F3105" t="s">
        <v>26</v>
      </c>
      <c r="L3105" t="s">
        <v>14254</v>
      </c>
      <c r="M3105" t="s">
        <v>14255</v>
      </c>
      <c r="N3105" t="s">
        <v>14254</v>
      </c>
      <c r="T3105" t="s">
        <v>14256</v>
      </c>
      <c r="U3105" t="s">
        <v>14257</v>
      </c>
      <c r="V3105" t="s">
        <v>14258</v>
      </c>
      <c r="W3105" t="s">
        <v>851</v>
      </c>
      <c r="X3105" t="s">
        <v>14259</v>
      </c>
      <c r="Y3105">
        <v>0</v>
      </c>
      <c r="Z3105">
        <v>6</v>
      </c>
    </row>
    <row r="3106" spans="1:26">
      <c r="A3106" s="1">
        <v>3104</v>
      </c>
      <c r="B3106" t="str">
        <f>HYPERLINK("https://bugs.eclipse.org/bugs/show_bug.cgi?id=141151", "141151")</f>
        <v>141151</v>
      </c>
      <c r="C3106" t="s">
        <v>14260</v>
      </c>
      <c r="D3106" t="s">
        <v>10</v>
      </c>
      <c r="E3106" t="s">
        <v>15</v>
      </c>
      <c r="F3106" t="s">
        <v>26</v>
      </c>
      <c r="G3106" t="s">
        <v>14261</v>
      </c>
      <c r="L3106" t="s">
        <v>14262</v>
      </c>
      <c r="Q3106" t="s">
        <v>14262</v>
      </c>
      <c r="S3106" t="s">
        <v>14263</v>
      </c>
      <c r="T3106" t="s">
        <v>14264</v>
      </c>
      <c r="U3106" t="s">
        <v>14265</v>
      </c>
      <c r="V3106" t="s">
        <v>14266</v>
      </c>
      <c r="W3106" t="s">
        <v>14267</v>
      </c>
      <c r="X3106" t="s">
        <v>14268</v>
      </c>
      <c r="Y3106">
        <v>0</v>
      </c>
      <c r="Z3106">
        <v>370</v>
      </c>
    </row>
    <row r="3107" spans="1:26">
      <c r="A3107" s="1">
        <v>3105</v>
      </c>
      <c r="B3107" t="str">
        <f>HYPERLINK("https://bugs.eclipse.org/bugs/show_bug.cgi?id=141277", "141277")</f>
        <v>141277</v>
      </c>
      <c r="C3107" t="s">
        <v>149</v>
      </c>
      <c r="D3107" t="s">
        <v>10</v>
      </c>
      <c r="E3107" t="s">
        <v>12</v>
      </c>
      <c r="F3107" t="s">
        <v>26</v>
      </c>
      <c r="L3107" t="s">
        <v>14269</v>
      </c>
      <c r="N3107" t="s">
        <v>14269</v>
      </c>
      <c r="T3107" t="s">
        <v>14270</v>
      </c>
      <c r="U3107" t="s">
        <v>14271</v>
      </c>
      <c r="V3107" t="s">
        <v>14269</v>
      </c>
      <c r="W3107" t="s">
        <v>2668</v>
      </c>
      <c r="X3107" t="s">
        <v>14272</v>
      </c>
      <c r="Y3107">
        <v>0</v>
      </c>
      <c r="Z3107">
        <v>34</v>
      </c>
    </row>
    <row r="3108" spans="1:26">
      <c r="A3108" s="1">
        <v>3106</v>
      </c>
      <c r="B3108" t="str">
        <f>HYPERLINK("https://bugs.eclipse.org/bugs/show_bug.cgi?id=141325", "141325")</f>
        <v>141325</v>
      </c>
      <c r="C3108" t="s">
        <v>140</v>
      </c>
      <c r="D3108" t="s">
        <v>10</v>
      </c>
      <c r="E3108" t="s">
        <v>16</v>
      </c>
      <c r="F3108" t="s">
        <v>26</v>
      </c>
      <c r="L3108" t="s">
        <v>14273</v>
      </c>
      <c r="R3108" t="s">
        <v>14273</v>
      </c>
      <c r="T3108" t="s">
        <v>14274</v>
      </c>
      <c r="U3108" t="s">
        <v>14275</v>
      </c>
      <c r="V3108" t="s">
        <v>14273</v>
      </c>
      <c r="W3108" t="s">
        <v>2668</v>
      </c>
      <c r="X3108" t="s">
        <v>14276</v>
      </c>
      <c r="Y3108">
        <v>0</v>
      </c>
      <c r="Z3108">
        <v>34</v>
      </c>
    </row>
    <row r="3109" spans="1:26">
      <c r="A3109" s="1">
        <v>3107</v>
      </c>
      <c r="B3109" t="str">
        <f>HYPERLINK("https://bugs.eclipse.org/bugs/show_bug.cgi?id=141501", "141501")</f>
        <v>141501</v>
      </c>
      <c r="C3109" t="s">
        <v>149</v>
      </c>
      <c r="D3109" t="s">
        <v>10</v>
      </c>
      <c r="E3109" t="s">
        <v>12</v>
      </c>
      <c r="F3109" t="s">
        <v>26</v>
      </c>
      <c r="L3109" t="s">
        <v>14277</v>
      </c>
      <c r="N3109" t="s">
        <v>14277</v>
      </c>
      <c r="T3109" t="s">
        <v>14278</v>
      </c>
      <c r="U3109" t="s">
        <v>14279</v>
      </c>
      <c r="V3109" t="s">
        <v>14280</v>
      </c>
      <c r="W3109" t="s">
        <v>2668</v>
      </c>
      <c r="X3109" t="s">
        <v>14281</v>
      </c>
      <c r="Y3109">
        <v>0</v>
      </c>
      <c r="Z3109">
        <v>32</v>
      </c>
    </row>
    <row r="3110" spans="1:26">
      <c r="A3110" s="1">
        <v>3108</v>
      </c>
      <c r="B3110" t="str">
        <f>HYPERLINK("https://bugs.eclipse.org/bugs/show_bug.cgi?id=141554", "141554")</f>
        <v>141554</v>
      </c>
      <c r="C3110" t="s">
        <v>88</v>
      </c>
      <c r="D3110" t="s">
        <v>10</v>
      </c>
      <c r="E3110" t="s">
        <v>13</v>
      </c>
      <c r="F3110" t="s">
        <v>26</v>
      </c>
      <c r="L3110" t="s">
        <v>14282</v>
      </c>
      <c r="O3110" t="s">
        <v>14282</v>
      </c>
      <c r="T3110" t="s">
        <v>14283</v>
      </c>
      <c r="U3110" t="s">
        <v>14282</v>
      </c>
      <c r="V3110" t="s">
        <v>14282</v>
      </c>
      <c r="W3110" t="s">
        <v>1161</v>
      </c>
      <c r="X3110" t="s">
        <v>14284</v>
      </c>
      <c r="Y3110">
        <v>0</v>
      </c>
      <c r="Z3110">
        <v>0</v>
      </c>
    </row>
    <row r="3111" spans="1:26">
      <c r="A3111" s="1">
        <v>3109</v>
      </c>
      <c r="B3111" t="str">
        <f>HYPERLINK("https://bugs.eclipse.org/bugs/show_bug.cgi?id=141617", "141617")</f>
        <v>141617</v>
      </c>
      <c r="C3111" t="s">
        <v>191</v>
      </c>
      <c r="D3111" t="s">
        <v>192</v>
      </c>
      <c r="E3111" t="s">
        <v>14</v>
      </c>
      <c r="F3111" t="s">
        <v>26</v>
      </c>
      <c r="P3111" t="s">
        <v>14285</v>
      </c>
      <c r="T3111" t="s">
        <v>14286</v>
      </c>
      <c r="U3111" t="s">
        <v>14287</v>
      </c>
      <c r="V3111" t="s">
        <v>14285</v>
      </c>
      <c r="W3111" t="s">
        <v>65</v>
      </c>
      <c r="X3111" t="s">
        <v>14288</v>
      </c>
      <c r="Y3111">
        <v>17</v>
      </c>
      <c r="Z3111">
        <v>5024.041666666667</v>
      </c>
    </row>
    <row r="3112" spans="1:26">
      <c r="A3112" s="1">
        <v>3110</v>
      </c>
      <c r="B3112" t="str">
        <f>HYPERLINK("https://bugs.eclipse.org/bugs/show_bug.cgi?id=141677", "141677")</f>
        <v>141677</v>
      </c>
      <c r="C3112" t="s">
        <v>4692</v>
      </c>
      <c r="D3112" t="s">
        <v>4692</v>
      </c>
      <c r="F3112" t="s">
        <v>26</v>
      </c>
      <c r="G3112" t="s">
        <v>14289</v>
      </c>
      <c r="T3112" t="s">
        <v>14290</v>
      </c>
      <c r="U3112" t="s">
        <v>14291</v>
      </c>
      <c r="V3112" t="s">
        <v>14292</v>
      </c>
      <c r="W3112" t="s">
        <v>80</v>
      </c>
      <c r="X3112" t="s">
        <v>14293</v>
      </c>
      <c r="Y3112">
        <v>2</v>
      </c>
    </row>
    <row r="3113" spans="1:26">
      <c r="A3113" s="1">
        <v>3111</v>
      </c>
      <c r="B3113" t="str">
        <f>HYPERLINK("https://bugs.eclipse.org/bugs/show_bug.cgi?id=141874", "141874")</f>
        <v>141874</v>
      </c>
      <c r="C3113" t="s">
        <v>14294</v>
      </c>
      <c r="D3113" t="s">
        <v>10</v>
      </c>
      <c r="E3113" t="s">
        <v>15</v>
      </c>
      <c r="F3113" t="s">
        <v>26</v>
      </c>
      <c r="G3113" t="s">
        <v>14295</v>
      </c>
      <c r="L3113" t="s">
        <v>14296</v>
      </c>
      <c r="Q3113" t="s">
        <v>14296</v>
      </c>
      <c r="T3113" t="s">
        <v>14297</v>
      </c>
      <c r="U3113" t="s">
        <v>14298</v>
      </c>
      <c r="V3113" t="s">
        <v>14296</v>
      </c>
      <c r="W3113" t="s">
        <v>851</v>
      </c>
      <c r="X3113" t="s">
        <v>14299</v>
      </c>
      <c r="Y3113">
        <v>26</v>
      </c>
      <c r="Z3113">
        <v>1026.041666666667</v>
      </c>
    </row>
    <row r="3114" spans="1:26">
      <c r="A3114" s="1">
        <v>3112</v>
      </c>
      <c r="B3114" t="str">
        <f>HYPERLINK("https://bugs.eclipse.org/bugs/show_bug.cgi?id=141875", "141875")</f>
        <v>141875</v>
      </c>
      <c r="C3114" t="s">
        <v>191</v>
      </c>
      <c r="D3114" t="s">
        <v>192</v>
      </c>
      <c r="E3114" t="s">
        <v>14</v>
      </c>
      <c r="F3114" t="s">
        <v>26</v>
      </c>
      <c r="T3114" t="s">
        <v>14297</v>
      </c>
      <c r="U3114" t="s">
        <v>14300</v>
      </c>
      <c r="V3114" t="s">
        <v>14301</v>
      </c>
      <c r="W3114" t="s">
        <v>65</v>
      </c>
      <c r="X3114" t="s">
        <v>14302</v>
      </c>
      <c r="Y3114">
        <v>1</v>
      </c>
      <c r="Z3114">
        <v>4952.041666666667</v>
      </c>
    </row>
    <row r="3115" spans="1:26">
      <c r="A3115" s="1">
        <v>3113</v>
      </c>
      <c r="B3115" t="str">
        <f>HYPERLINK("https://bugs.eclipse.org/bugs/show_bug.cgi?id=141876", "141876")</f>
        <v>141876</v>
      </c>
      <c r="C3115" t="s">
        <v>140</v>
      </c>
      <c r="D3115" t="s">
        <v>10</v>
      </c>
      <c r="E3115" t="s">
        <v>16</v>
      </c>
      <c r="F3115" t="s">
        <v>26</v>
      </c>
      <c r="L3115" t="s">
        <v>14303</v>
      </c>
      <c r="R3115" t="s">
        <v>14303</v>
      </c>
      <c r="T3115" t="s">
        <v>14297</v>
      </c>
      <c r="U3115" t="s">
        <v>14304</v>
      </c>
      <c r="V3115" t="s">
        <v>14303</v>
      </c>
      <c r="W3115" t="s">
        <v>2668</v>
      </c>
      <c r="X3115" t="s">
        <v>14305</v>
      </c>
      <c r="Y3115">
        <v>26</v>
      </c>
      <c r="Z3115">
        <v>28</v>
      </c>
    </row>
    <row r="3116" spans="1:26">
      <c r="A3116" s="1">
        <v>3114</v>
      </c>
      <c r="B3116" t="str">
        <f>HYPERLINK("https://bugs.eclipse.org/bugs/show_bug.cgi?id=141968", "141968")</f>
        <v>141968</v>
      </c>
      <c r="C3116" t="s">
        <v>149</v>
      </c>
      <c r="D3116" t="s">
        <v>10</v>
      </c>
      <c r="E3116" t="s">
        <v>12</v>
      </c>
      <c r="F3116" t="s">
        <v>26</v>
      </c>
      <c r="L3116" t="s">
        <v>14306</v>
      </c>
      <c r="N3116" t="s">
        <v>14306</v>
      </c>
      <c r="T3116" t="s">
        <v>14307</v>
      </c>
      <c r="U3116" t="s">
        <v>14308</v>
      </c>
      <c r="V3116" t="s">
        <v>14306</v>
      </c>
      <c r="W3116" t="s">
        <v>2668</v>
      </c>
      <c r="X3116" t="s">
        <v>14309</v>
      </c>
      <c r="Y3116">
        <v>0</v>
      </c>
      <c r="Z3116">
        <v>43</v>
      </c>
    </row>
    <row r="3117" spans="1:26">
      <c r="A3117" s="1">
        <v>3115</v>
      </c>
      <c r="B3117" t="str">
        <f>HYPERLINK("https://bugs.eclipse.org/bugs/show_bug.cgi?id=142057", "142057")</f>
        <v>142057</v>
      </c>
      <c r="C3117" t="s">
        <v>88</v>
      </c>
      <c r="D3117" t="s">
        <v>10</v>
      </c>
      <c r="E3117" t="s">
        <v>13</v>
      </c>
      <c r="F3117" t="s">
        <v>26</v>
      </c>
      <c r="L3117" t="s">
        <v>14310</v>
      </c>
      <c r="O3117" t="s">
        <v>14311</v>
      </c>
      <c r="T3117" t="s">
        <v>14312</v>
      </c>
      <c r="U3117" t="s">
        <v>14313</v>
      </c>
      <c r="V3117" t="s">
        <v>14311</v>
      </c>
      <c r="W3117" t="s">
        <v>75</v>
      </c>
      <c r="X3117" t="s">
        <v>14314</v>
      </c>
      <c r="Y3117">
        <v>1</v>
      </c>
      <c r="Z3117">
        <v>1202</v>
      </c>
    </row>
    <row r="3118" spans="1:26">
      <c r="A3118" s="1">
        <v>3116</v>
      </c>
      <c r="B3118" t="str">
        <f>HYPERLINK("https://bugs.eclipse.org/bugs/show_bug.cgi?id=142454", "142454")</f>
        <v>142454</v>
      </c>
      <c r="C3118" t="s">
        <v>191</v>
      </c>
      <c r="D3118" t="s">
        <v>192</v>
      </c>
      <c r="E3118" t="s">
        <v>14</v>
      </c>
      <c r="F3118" t="s">
        <v>26</v>
      </c>
      <c r="P3118" t="s">
        <v>14315</v>
      </c>
      <c r="T3118" t="s">
        <v>14316</v>
      </c>
      <c r="U3118" t="s">
        <v>14317</v>
      </c>
      <c r="V3118" t="s">
        <v>14315</v>
      </c>
      <c r="W3118" t="s">
        <v>65</v>
      </c>
      <c r="X3118" t="s">
        <v>14318</v>
      </c>
      <c r="Y3118">
        <v>4</v>
      </c>
      <c r="Z3118">
        <v>5066</v>
      </c>
    </row>
    <row r="3119" spans="1:26">
      <c r="A3119" s="1">
        <v>3117</v>
      </c>
      <c r="B3119" t="str">
        <f>HYPERLINK("https://bugs.eclipse.org/bugs/show_bug.cgi?id=142482", "142482")</f>
        <v>142482</v>
      </c>
      <c r="C3119" t="s">
        <v>35</v>
      </c>
      <c r="D3119" t="s">
        <v>11</v>
      </c>
      <c r="E3119" t="s">
        <v>12</v>
      </c>
      <c r="F3119" t="s">
        <v>26</v>
      </c>
      <c r="L3119" t="s">
        <v>14319</v>
      </c>
      <c r="M3119" t="s">
        <v>14320</v>
      </c>
      <c r="N3119" t="s">
        <v>14319</v>
      </c>
      <c r="T3119" t="s">
        <v>14321</v>
      </c>
      <c r="U3119" t="s">
        <v>14322</v>
      </c>
      <c r="V3119" t="s">
        <v>14320</v>
      </c>
      <c r="W3119" t="s">
        <v>49</v>
      </c>
      <c r="X3119" t="s">
        <v>14323</v>
      </c>
      <c r="Y3119">
        <v>0</v>
      </c>
      <c r="Z3119">
        <v>4</v>
      </c>
    </row>
    <row r="3120" spans="1:26">
      <c r="A3120" s="1">
        <v>3118</v>
      </c>
      <c r="B3120" t="str">
        <f>HYPERLINK("https://bugs.eclipse.org/bugs/show_bug.cgi?id=142508", "142508")</f>
        <v>142508</v>
      </c>
      <c r="C3120" t="s">
        <v>35</v>
      </c>
      <c r="D3120" t="s">
        <v>11</v>
      </c>
      <c r="E3120" t="s">
        <v>12</v>
      </c>
      <c r="F3120" t="s">
        <v>150</v>
      </c>
      <c r="L3120" t="s">
        <v>14324</v>
      </c>
      <c r="M3120" t="s">
        <v>14325</v>
      </c>
      <c r="N3120" t="s">
        <v>14324</v>
      </c>
      <c r="T3120" t="s">
        <v>14326</v>
      </c>
      <c r="U3120" t="s">
        <v>14327</v>
      </c>
      <c r="V3120" t="s">
        <v>14325</v>
      </c>
      <c r="W3120" t="s">
        <v>49</v>
      </c>
      <c r="X3120" t="s">
        <v>14328</v>
      </c>
      <c r="Y3120">
        <v>0</v>
      </c>
      <c r="Z3120">
        <v>208.04166666666671</v>
      </c>
    </row>
    <row r="3121" spans="1:26">
      <c r="A3121" s="1">
        <v>3119</v>
      </c>
      <c r="B3121" t="str">
        <f>HYPERLINK("https://bugs.eclipse.org/bugs/show_bug.cgi?id=142662", "142662")</f>
        <v>142662</v>
      </c>
      <c r="C3121" t="s">
        <v>140</v>
      </c>
      <c r="D3121" t="s">
        <v>10</v>
      </c>
      <c r="E3121" t="s">
        <v>16</v>
      </c>
      <c r="F3121" t="s">
        <v>26</v>
      </c>
      <c r="L3121" t="s">
        <v>14329</v>
      </c>
      <c r="R3121" t="s">
        <v>14329</v>
      </c>
      <c r="T3121" t="s">
        <v>14330</v>
      </c>
      <c r="U3121" t="s">
        <v>14329</v>
      </c>
      <c r="V3121" t="s">
        <v>14329</v>
      </c>
      <c r="W3121" t="s">
        <v>49</v>
      </c>
      <c r="X3121" t="s">
        <v>14331</v>
      </c>
      <c r="Y3121">
        <v>1</v>
      </c>
      <c r="Z3121">
        <v>1</v>
      </c>
    </row>
    <row r="3122" spans="1:26">
      <c r="A3122" s="1">
        <v>3120</v>
      </c>
      <c r="B3122" t="str">
        <f>HYPERLINK("https://bugs.eclipse.org/bugs/show_bug.cgi?id=142732", "142732")</f>
        <v>142732</v>
      </c>
      <c r="C3122" t="s">
        <v>149</v>
      </c>
      <c r="D3122" t="s">
        <v>10</v>
      </c>
      <c r="E3122" t="s">
        <v>12</v>
      </c>
      <c r="F3122" t="s">
        <v>26</v>
      </c>
      <c r="L3122" t="s">
        <v>14332</v>
      </c>
      <c r="N3122" t="s">
        <v>14332</v>
      </c>
      <c r="T3122" t="s">
        <v>14333</v>
      </c>
      <c r="U3122" t="s">
        <v>14334</v>
      </c>
      <c r="V3122" t="s">
        <v>14332</v>
      </c>
      <c r="W3122" t="s">
        <v>49</v>
      </c>
      <c r="X3122" t="s">
        <v>14335</v>
      </c>
      <c r="Y3122">
        <v>0</v>
      </c>
      <c r="Z3122">
        <v>20</v>
      </c>
    </row>
    <row r="3123" spans="1:26">
      <c r="A3123" s="1">
        <v>3121</v>
      </c>
      <c r="B3123" t="str">
        <f>HYPERLINK("https://bugs.eclipse.org/bugs/show_bug.cgi?id=142882", "142882")</f>
        <v>142882</v>
      </c>
      <c r="C3123" t="s">
        <v>191</v>
      </c>
      <c r="D3123" t="s">
        <v>192</v>
      </c>
      <c r="E3123" t="s">
        <v>14</v>
      </c>
      <c r="F3123" t="s">
        <v>26</v>
      </c>
      <c r="P3123" t="s">
        <v>14336</v>
      </c>
      <c r="T3123" t="s">
        <v>14337</v>
      </c>
      <c r="U3123" t="s">
        <v>14338</v>
      </c>
      <c r="V3123" t="s">
        <v>14336</v>
      </c>
      <c r="W3123" t="s">
        <v>65</v>
      </c>
      <c r="X3123" t="s">
        <v>14339</v>
      </c>
      <c r="Y3123">
        <v>0</v>
      </c>
      <c r="Z3123">
        <v>5056</v>
      </c>
    </row>
    <row r="3124" spans="1:26">
      <c r="A3124" s="1">
        <v>3122</v>
      </c>
      <c r="B3124" t="str">
        <f>HYPERLINK("https://bugs.eclipse.org/bugs/show_bug.cgi?id=142995", "142995")</f>
        <v>142995</v>
      </c>
      <c r="C3124" t="s">
        <v>25</v>
      </c>
      <c r="D3124" t="s">
        <v>25</v>
      </c>
      <c r="F3124" t="s">
        <v>26</v>
      </c>
      <c r="T3124" t="s">
        <v>14340</v>
      </c>
      <c r="U3124" t="s">
        <v>14341</v>
      </c>
      <c r="V3124" t="s">
        <v>14342</v>
      </c>
      <c r="W3124" t="s">
        <v>851</v>
      </c>
      <c r="X3124" t="s">
        <v>14343</v>
      </c>
      <c r="Y3124">
        <v>0</v>
      </c>
    </row>
    <row r="3125" spans="1:26">
      <c r="A3125" s="1">
        <v>3123</v>
      </c>
      <c r="B3125" t="str">
        <f>HYPERLINK("https://bugs.eclipse.org/bugs/show_bug.cgi?id=142999", "142999")</f>
        <v>142999</v>
      </c>
      <c r="C3125" t="s">
        <v>191</v>
      </c>
      <c r="D3125" t="s">
        <v>192</v>
      </c>
      <c r="E3125" t="s">
        <v>14</v>
      </c>
      <c r="F3125" t="s">
        <v>26</v>
      </c>
      <c r="P3125" t="s">
        <v>14344</v>
      </c>
      <c r="T3125" t="s">
        <v>14345</v>
      </c>
      <c r="U3125" t="s">
        <v>14346</v>
      </c>
      <c r="V3125" t="s">
        <v>14344</v>
      </c>
      <c r="W3125" t="s">
        <v>65</v>
      </c>
      <c r="X3125" t="s">
        <v>14347</v>
      </c>
      <c r="Y3125">
        <v>1</v>
      </c>
      <c r="Z3125">
        <v>5027.041666666667</v>
      </c>
    </row>
    <row r="3126" spans="1:26">
      <c r="A3126" s="1">
        <v>3124</v>
      </c>
      <c r="B3126" t="str">
        <f>HYPERLINK("https://bugs.eclipse.org/bugs/show_bug.cgi?id=143424", "143424")</f>
        <v>143424</v>
      </c>
      <c r="C3126" t="s">
        <v>14348</v>
      </c>
      <c r="D3126" t="s">
        <v>10</v>
      </c>
      <c r="E3126" t="s">
        <v>15</v>
      </c>
      <c r="F3126" t="s">
        <v>26</v>
      </c>
      <c r="L3126" t="s">
        <v>14349</v>
      </c>
      <c r="Q3126" t="s">
        <v>14349</v>
      </c>
      <c r="T3126" t="s">
        <v>14350</v>
      </c>
      <c r="U3126" t="s">
        <v>14351</v>
      </c>
      <c r="V3126" t="s">
        <v>14349</v>
      </c>
      <c r="W3126" t="s">
        <v>49</v>
      </c>
      <c r="X3126" t="s">
        <v>14352</v>
      </c>
      <c r="Y3126">
        <v>0</v>
      </c>
      <c r="Z3126">
        <v>15</v>
      </c>
    </row>
    <row r="3127" spans="1:26">
      <c r="A3127" s="1">
        <v>3125</v>
      </c>
      <c r="B3127" t="str">
        <f>HYPERLINK("https://bugs.eclipse.org/bugs/show_bug.cgi?id=143434", "143434")</f>
        <v>143434</v>
      </c>
      <c r="C3127" t="s">
        <v>149</v>
      </c>
      <c r="D3127" t="s">
        <v>10</v>
      </c>
      <c r="E3127" t="s">
        <v>12</v>
      </c>
      <c r="F3127" t="s">
        <v>26</v>
      </c>
      <c r="L3127" t="s">
        <v>14353</v>
      </c>
      <c r="N3127" t="s">
        <v>14353</v>
      </c>
      <c r="T3127" t="s">
        <v>14354</v>
      </c>
      <c r="U3127" t="s">
        <v>14355</v>
      </c>
      <c r="V3127" t="s">
        <v>14353</v>
      </c>
      <c r="W3127" t="s">
        <v>851</v>
      </c>
      <c r="X3127" t="s">
        <v>14356</v>
      </c>
      <c r="Y3127">
        <v>9</v>
      </c>
      <c r="Z3127">
        <v>405</v>
      </c>
    </row>
    <row r="3128" spans="1:26">
      <c r="A3128" s="1">
        <v>3126</v>
      </c>
      <c r="B3128" t="str">
        <f>HYPERLINK("https://bugs.eclipse.org/bugs/show_bug.cgi?id=143616", "143616")</f>
        <v>143616</v>
      </c>
      <c r="C3128" t="s">
        <v>25</v>
      </c>
      <c r="D3128" t="s">
        <v>25</v>
      </c>
      <c r="F3128" t="s">
        <v>26</v>
      </c>
      <c r="T3128" t="s">
        <v>14357</v>
      </c>
      <c r="U3128" t="s">
        <v>14358</v>
      </c>
      <c r="V3128" t="s">
        <v>14359</v>
      </c>
      <c r="W3128" t="s">
        <v>143</v>
      </c>
      <c r="X3128" t="s">
        <v>14360</v>
      </c>
      <c r="Y3128">
        <v>0</v>
      </c>
    </row>
    <row r="3129" spans="1:26">
      <c r="A3129" s="1">
        <v>3127</v>
      </c>
      <c r="B3129" t="str">
        <f>HYPERLINK("https://bugs.eclipse.org/bugs/show_bug.cgi?id=144030", "144030")</f>
        <v>144030</v>
      </c>
      <c r="C3129" t="s">
        <v>140</v>
      </c>
      <c r="D3129" t="s">
        <v>10</v>
      </c>
      <c r="E3129" t="s">
        <v>16</v>
      </c>
      <c r="F3129" t="s">
        <v>26</v>
      </c>
      <c r="L3129" t="s">
        <v>14361</v>
      </c>
      <c r="R3129" t="s">
        <v>14361</v>
      </c>
      <c r="T3129" t="s">
        <v>14362</v>
      </c>
      <c r="U3129" t="s">
        <v>14363</v>
      </c>
      <c r="V3129" t="s">
        <v>14361</v>
      </c>
      <c r="W3129" t="s">
        <v>851</v>
      </c>
      <c r="X3129" t="s">
        <v>14364</v>
      </c>
      <c r="Y3129">
        <v>0</v>
      </c>
      <c r="Z3129">
        <v>4</v>
      </c>
    </row>
    <row r="3130" spans="1:26">
      <c r="A3130" s="1">
        <v>3128</v>
      </c>
      <c r="B3130" t="str">
        <f>HYPERLINK("https://bugs.eclipse.org/bugs/show_bug.cgi?id=144061", "144061")</f>
        <v>144061</v>
      </c>
      <c r="C3130" t="s">
        <v>56</v>
      </c>
      <c r="D3130" t="s">
        <v>10</v>
      </c>
      <c r="E3130" t="s">
        <v>14</v>
      </c>
      <c r="F3130" t="s">
        <v>26</v>
      </c>
      <c r="L3130" t="s">
        <v>14365</v>
      </c>
      <c r="P3130" t="s">
        <v>14366</v>
      </c>
      <c r="T3130" t="s">
        <v>14367</v>
      </c>
      <c r="U3130" t="s">
        <v>14365</v>
      </c>
      <c r="V3130" t="s">
        <v>14366</v>
      </c>
      <c r="W3130" t="s">
        <v>75</v>
      </c>
      <c r="X3130" t="s">
        <v>14368</v>
      </c>
      <c r="Y3130">
        <v>3</v>
      </c>
      <c r="Z3130">
        <v>1192</v>
      </c>
    </row>
    <row r="3131" spans="1:26">
      <c r="A3131" s="1">
        <v>3129</v>
      </c>
      <c r="B3131" t="str">
        <f>HYPERLINK("https://bugs.eclipse.org/bugs/show_bug.cgi?id=144071", "144071")</f>
        <v>144071</v>
      </c>
      <c r="C3131" t="s">
        <v>25</v>
      </c>
      <c r="D3131" t="s">
        <v>25</v>
      </c>
      <c r="F3131" t="s">
        <v>26</v>
      </c>
      <c r="G3131" t="s">
        <v>14369</v>
      </c>
      <c r="T3131" t="s">
        <v>14370</v>
      </c>
      <c r="U3131" t="s">
        <v>14371</v>
      </c>
      <c r="V3131" t="s">
        <v>14372</v>
      </c>
      <c r="W3131" t="s">
        <v>14373</v>
      </c>
      <c r="X3131" t="s">
        <v>14374</v>
      </c>
      <c r="Y3131">
        <v>2</v>
      </c>
    </row>
    <row r="3132" spans="1:26">
      <c r="A3132" s="1">
        <v>3130</v>
      </c>
      <c r="B3132" t="str">
        <f>HYPERLINK("https://bugs.eclipse.org/bugs/show_bug.cgi?id=144072", "144072")</f>
        <v>144072</v>
      </c>
      <c r="C3132" t="s">
        <v>56</v>
      </c>
      <c r="D3132" t="s">
        <v>10</v>
      </c>
      <c r="E3132" t="s">
        <v>14</v>
      </c>
      <c r="F3132" t="s">
        <v>26</v>
      </c>
      <c r="L3132" t="s">
        <v>14375</v>
      </c>
      <c r="P3132" t="s">
        <v>14375</v>
      </c>
      <c r="T3132" t="s">
        <v>14376</v>
      </c>
      <c r="U3132" t="s">
        <v>14377</v>
      </c>
      <c r="V3132" t="s">
        <v>14375</v>
      </c>
      <c r="W3132" t="s">
        <v>1954</v>
      </c>
      <c r="X3132" t="s">
        <v>14378</v>
      </c>
      <c r="Y3132">
        <v>2</v>
      </c>
      <c r="Z3132">
        <v>394</v>
      </c>
    </row>
    <row r="3133" spans="1:26">
      <c r="A3133" s="1">
        <v>3131</v>
      </c>
      <c r="B3133" t="str">
        <f>HYPERLINK("https://bugs.eclipse.org/bugs/show_bug.cgi?id=144249", "144249")</f>
        <v>144249</v>
      </c>
      <c r="C3133" t="s">
        <v>149</v>
      </c>
      <c r="D3133" t="s">
        <v>10</v>
      </c>
      <c r="E3133" t="s">
        <v>12</v>
      </c>
      <c r="F3133" t="s">
        <v>26</v>
      </c>
      <c r="G3133" t="s">
        <v>14379</v>
      </c>
      <c r="L3133" t="s">
        <v>14380</v>
      </c>
      <c r="N3133" t="s">
        <v>14380</v>
      </c>
      <c r="T3133" t="s">
        <v>14381</v>
      </c>
      <c r="U3133" t="s">
        <v>14382</v>
      </c>
      <c r="V3133" t="s">
        <v>14380</v>
      </c>
      <c r="W3133" t="s">
        <v>851</v>
      </c>
      <c r="X3133" t="s">
        <v>14383</v>
      </c>
      <c r="Y3133">
        <v>0</v>
      </c>
      <c r="Z3133">
        <v>1225</v>
      </c>
    </row>
    <row r="3134" spans="1:26">
      <c r="A3134" s="1">
        <v>3132</v>
      </c>
      <c r="B3134" t="str">
        <f>HYPERLINK("https://bugs.eclipse.org/bugs/show_bug.cgi?id=144493", "144493")</f>
        <v>144493</v>
      </c>
      <c r="C3134" t="s">
        <v>191</v>
      </c>
      <c r="D3134" t="s">
        <v>192</v>
      </c>
      <c r="E3134" t="s">
        <v>14</v>
      </c>
      <c r="F3134" t="s">
        <v>26</v>
      </c>
      <c r="T3134" t="s">
        <v>14384</v>
      </c>
      <c r="U3134" t="s">
        <v>14385</v>
      </c>
      <c r="V3134" t="s">
        <v>14386</v>
      </c>
      <c r="W3134" t="s">
        <v>65</v>
      </c>
      <c r="X3134" t="s">
        <v>14387</v>
      </c>
      <c r="Y3134">
        <v>0</v>
      </c>
      <c r="Z3134">
        <v>4582.041666666667</v>
      </c>
    </row>
    <row r="3135" spans="1:26">
      <c r="A3135" s="1">
        <v>3133</v>
      </c>
      <c r="B3135" t="str">
        <f>HYPERLINK("https://bugs.eclipse.org/bugs/show_bug.cgi?id=144524", "144524")</f>
        <v>144524</v>
      </c>
      <c r="C3135" t="s">
        <v>35</v>
      </c>
      <c r="D3135" t="s">
        <v>11</v>
      </c>
      <c r="E3135" t="s">
        <v>12</v>
      </c>
      <c r="F3135" t="s">
        <v>26</v>
      </c>
      <c r="G3135" t="s">
        <v>14388</v>
      </c>
      <c r="L3135" t="s">
        <v>14389</v>
      </c>
      <c r="M3135" t="s">
        <v>14390</v>
      </c>
      <c r="N3135" t="s">
        <v>14389</v>
      </c>
      <c r="S3135" t="s">
        <v>14391</v>
      </c>
      <c r="T3135" t="s">
        <v>14392</v>
      </c>
      <c r="U3135" t="s">
        <v>14393</v>
      </c>
      <c r="V3135" t="s">
        <v>14394</v>
      </c>
      <c r="W3135" t="s">
        <v>49</v>
      </c>
      <c r="X3135" t="s">
        <v>14395</v>
      </c>
      <c r="Y3135">
        <v>9</v>
      </c>
      <c r="Z3135">
        <v>219.04166666666671</v>
      </c>
    </row>
    <row r="3136" spans="1:26">
      <c r="A3136" s="1">
        <v>3134</v>
      </c>
      <c r="B3136" t="str">
        <f>HYPERLINK("https://bugs.eclipse.org/bugs/show_bug.cgi?id=144642", "144642")</f>
        <v>144642</v>
      </c>
      <c r="C3136" t="s">
        <v>25</v>
      </c>
      <c r="D3136" t="s">
        <v>25</v>
      </c>
      <c r="F3136" t="s">
        <v>26</v>
      </c>
      <c r="T3136" t="s">
        <v>14396</v>
      </c>
      <c r="U3136" t="s">
        <v>14397</v>
      </c>
      <c r="V3136" t="s">
        <v>14398</v>
      </c>
      <c r="W3136" t="s">
        <v>14399</v>
      </c>
      <c r="X3136" t="s">
        <v>14400</v>
      </c>
      <c r="Y3136">
        <v>8</v>
      </c>
    </row>
    <row r="3137" spans="1:26">
      <c r="A3137" s="1">
        <v>3135</v>
      </c>
      <c r="B3137" t="str">
        <f>HYPERLINK("https://bugs.eclipse.org/bugs/show_bug.cgi?id=144798", "144798")</f>
        <v>144798</v>
      </c>
      <c r="C3137" t="s">
        <v>88</v>
      </c>
      <c r="D3137" t="s">
        <v>10</v>
      </c>
      <c r="E3137" t="s">
        <v>13</v>
      </c>
      <c r="F3137" t="s">
        <v>26</v>
      </c>
      <c r="L3137" t="s">
        <v>14401</v>
      </c>
      <c r="O3137" t="s">
        <v>14401</v>
      </c>
      <c r="T3137" t="s">
        <v>14402</v>
      </c>
      <c r="U3137" t="s">
        <v>14403</v>
      </c>
      <c r="V3137" t="s">
        <v>14404</v>
      </c>
      <c r="W3137" t="s">
        <v>49</v>
      </c>
      <c r="X3137" t="s">
        <v>14405</v>
      </c>
      <c r="Y3137">
        <v>1</v>
      </c>
      <c r="Z3137">
        <v>6</v>
      </c>
    </row>
    <row r="3138" spans="1:26">
      <c r="A3138" s="1">
        <v>3136</v>
      </c>
      <c r="B3138" t="str">
        <f>HYPERLINK("https://bugs.eclipse.org/bugs/show_bug.cgi?id=144941", "144941")</f>
        <v>144941</v>
      </c>
      <c r="C3138" t="s">
        <v>35</v>
      </c>
      <c r="D3138" t="s">
        <v>11</v>
      </c>
      <c r="E3138" t="s">
        <v>12</v>
      </c>
      <c r="F3138" t="s">
        <v>26</v>
      </c>
      <c r="L3138" t="s">
        <v>14406</v>
      </c>
      <c r="M3138" t="s">
        <v>14407</v>
      </c>
      <c r="N3138" t="s">
        <v>14406</v>
      </c>
      <c r="T3138" t="s">
        <v>14408</v>
      </c>
      <c r="U3138" t="s">
        <v>14409</v>
      </c>
      <c r="V3138" t="s">
        <v>14410</v>
      </c>
      <c r="W3138" t="s">
        <v>851</v>
      </c>
      <c r="X3138" t="s">
        <v>14411</v>
      </c>
      <c r="Y3138">
        <v>0</v>
      </c>
      <c r="Z3138">
        <v>237.04166666666671</v>
      </c>
    </row>
    <row r="3139" spans="1:26">
      <c r="A3139" s="1">
        <v>3137</v>
      </c>
      <c r="B3139" t="str">
        <f>HYPERLINK("https://bugs.eclipse.org/bugs/show_bug.cgi?id=144992", "144992")</f>
        <v>144992</v>
      </c>
      <c r="C3139" t="s">
        <v>35</v>
      </c>
      <c r="D3139" t="s">
        <v>11</v>
      </c>
      <c r="E3139" t="s">
        <v>12</v>
      </c>
      <c r="F3139" t="s">
        <v>26</v>
      </c>
      <c r="L3139" t="s">
        <v>14412</v>
      </c>
      <c r="M3139" t="s">
        <v>14413</v>
      </c>
      <c r="N3139" t="s">
        <v>14412</v>
      </c>
      <c r="T3139" t="s">
        <v>14414</v>
      </c>
      <c r="U3139" t="s">
        <v>14415</v>
      </c>
      <c r="V3139" t="s">
        <v>14416</v>
      </c>
      <c r="W3139" t="s">
        <v>851</v>
      </c>
      <c r="X3139" t="s">
        <v>14417</v>
      </c>
      <c r="Y3139">
        <v>0</v>
      </c>
      <c r="Z3139">
        <v>237.04166666666671</v>
      </c>
    </row>
    <row r="3140" spans="1:26">
      <c r="A3140" s="1">
        <v>3138</v>
      </c>
      <c r="B3140" t="str">
        <f>HYPERLINK("https://bugs.eclipse.org/bugs/show_bug.cgi?id=145003", "145003")</f>
        <v>145003</v>
      </c>
      <c r="C3140" t="s">
        <v>140</v>
      </c>
      <c r="D3140" t="s">
        <v>10</v>
      </c>
      <c r="E3140" t="s">
        <v>16</v>
      </c>
      <c r="F3140" t="s">
        <v>26</v>
      </c>
      <c r="L3140" t="s">
        <v>14418</v>
      </c>
      <c r="R3140" t="s">
        <v>14418</v>
      </c>
      <c r="T3140" t="s">
        <v>14419</v>
      </c>
      <c r="U3140" t="s">
        <v>14420</v>
      </c>
      <c r="V3140" t="s">
        <v>14418</v>
      </c>
      <c r="W3140" t="s">
        <v>49</v>
      </c>
      <c r="X3140" t="s">
        <v>14421</v>
      </c>
      <c r="Y3140">
        <v>5</v>
      </c>
      <c r="Z3140">
        <v>378</v>
      </c>
    </row>
    <row r="3141" spans="1:26">
      <c r="A3141" s="1">
        <v>3139</v>
      </c>
      <c r="B3141" t="str">
        <f>HYPERLINK("https://bugs.eclipse.org/bugs/show_bug.cgi?id=145543", "145543")</f>
        <v>145543</v>
      </c>
      <c r="C3141" t="s">
        <v>191</v>
      </c>
      <c r="D3141" t="s">
        <v>192</v>
      </c>
      <c r="E3141" t="s">
        <v>14</v>
      </c>
      <c r="F3141" t="s">
        <v>26</v>
      </c>
      <c r="P3141" t="s">
        <v>14422</v>
      </c>
      <c r="T3141" t="s">
        <v>14423</v>
      </c>
      <c r="U3141" t="s">
        <v>14424</v>
      </c>
      <c r="V3141" t="s">
        <v>14422</v>
      </c>
      <c r="W3141" t="s">
        <v>65</v>
      </c>
      <c r="X3141" t="s">
        <v>14425</v>
      </c>
      <c r="Y3141">
        <v>0</v>
      </c>
      <c r="Z3141">
        <v>4996.041666666667</v>
      </c>
    </row>
    <row r="3142" spans="1:26">
      <c r="A3142" s="1">
        <v>3140</v>
      </c>
      <c r="B3142" t="str">
        <f>HYPERLINK("https://bugs.eclipse.org/bugs/show_bug.cgi?id=145573", "145573")</f>
        <v>145573</v>
      </c>
      <c r="C3142" t="s">
        <v>191</v>
      </c>
      <c r="D3142" t="s">
        <v>192</v>
      </c>
      <c r="E3142" t="s">
        <v>14</v>
      </c>
      <c r="F3142" t="s">
        <v>26</v>
      </c>
      <c r="P3142" t="s">
        <v>14426</v>
      </c>
      <c r="T3142" t="s">
        <v>14427</v>
      </c>
      <c r="U3142" t="s">
        <v>14428</v>
      </c>
      <c r="V3142" t="s">
        <v>14426</v>
      </c>
      <c r="W3142" t="s">
        <v>65</v>
      </c>
      <c r="X3142" t="s">
        <v>14429</v>
      </c>
      <c r="Y3142">
        <v>0</v>
      </c>
      <c r="Z3142">
        <v>4989.041666666667</v>
      </c>
    </row>
    <row r="3143" spans="1:26">
      <c r="A3143" s="1">
        <v>3141</v>
      </c>
      <c r="B3143" t="str">
        <f>HYPERLINK("https://bugs.eclipse.org/bugs/show_bug.cgi?id=145733", "145733")</f>
        <v>145733</v>
      </c>
      <c r="C3143" t="s">
        <v>35</v>
      </c>
      <c r="D3143" t="s">
        <v>11</v>
      </c>
      <c r="E3143" t="s">
        <v>12</v>
      </c>
      <c r="F3143" t="s">
        <v>26</v>
      </c>
      <c r="G3143" t="s">
        <v>14430</v>
      </c>
      <c r="L3143" t="s">
        <v>14431</v>
      </c>
      <c r="M3143" t="s">
        <v>14432</v>
      </c>
      <c r="N3143" t="s">
        <v>14431</v>
      </c>
      <c r="S3143" t="s">
        <v>14433</v>
      </c>
      <c r="T3143" t="s">
        <v>14434</v>
      </c>
      <c r="U3143" t="s">
        <v>14435</v>
      </c>
      <c r="V3143" t="s">
        <v>14436</v>
      </c>
      <c r="W3143" t="s">
        <v>13514</v>
      </c>
      <c r="X3143" t="s">
        <v>14437</v>
      </c>
      <c r="Y3143">
        <v>0</v>
      </c>
      <c r="Z3143">
        <v>161.04166666666671</v>
      </c>
    </row>
    <row r="3144" spans="1:26">
      <c r="A3144" s="1">
        <v>3142</v>
      </c>
      <c r="B3144" t="str">
        <f>HYPERLINK("https://bugs.eclipse.org/bugs/show_bug.cgi?id=145866", "145866")</f>
        <v>145866</v>
      </c>
      <c r="C3144" t="s">
        <v>88</v>
      </c>
      <c r="D3144" t="s">
        <v>10</v>
      </c>
      <c r="E3144" t="s">
        <v>13</v>
      </c>
      <c r="F3144" t="s">
        <v>26</v>
      </c>
      <c r="L3144" t="s">
        <v>14438</v>
      </c>
      <c r="O3144" t="s">
        <v>14439</v>
      </c>
      <c r="T3144" t="s">
        <v>14440</v>
      </c>
      <c r="U3144" t="s">
        <v>14441</v>
      </c>
      <c r="V3144" t="s">
        <v>14439</v>
      </c>
      <c r="W3144" t="s">
        <v>75</v>
      </c>
      <c r="X3144" t="s">
        <v>14442</v>
      </c>
      <c r="Y3144">
        <v>1</v>
      </c>
      <c r="Z3144">
        <v>1180</v>
      </c>
    </row>
    <row r="3145" spans="1:26">
      <c r="A3145" s="1">
        <v>3143</v>
      </c>
      <c r="B3145" t="str">
        <f>HYPERLINK("https://bugs.eclipse.org/bugs/show_bug.cgi?id=145990", "145990")</f>
        <v>145990</v>
      </c>
      <c r="C3145" t="s">
        <v>191</v>
      </c>
      <c r="D3145" t="s">
        <v>192</v>
      </c>
      <c r="E3145" t="s">
        <v>14</v>
      </c>
      <c r="F3145" t="s">
        <v>26</v>
      </c>
      <c r="P3145" t="s">
        <v>14443</v>
      </c>
      <c r="T3145" t="s">
        <v>14444</v>
      </c>
      <c r="U3145" t="s">
        <v>14445</v>
      </c>
      <c r="V3145" t="s">
        <v>14443</v>
      </c>
      <c r="W3145" t="s">
        <v>65</v>
      </c>
      <c r="X3145" t="s">
        <v>14446</v>
      </c>
      <c r="Y3145">
        <v>3</v>
      </c>
      <c r="Z3145">
        <v>5021.041666666667</v>
      </c>
    </row>
    <row r="3146" spans="1:26">
      <c r="A3146" s="1">
        <v>3144</v>
      </c>
      <c r="B3146" t="str">
        <f>HYPERLINK("https://bugs.eclipse.org/bugs/show_bug.cgi?id=146087", "146087")</f>
        <v>146087</v>
      </c>
      <c r="C3146" t="s">
        <v>88</v>
      </c>
      <c r="D3146" t="s">
        <v>10</v>
      </c>
      <c r="E3146" t="s">
        <v>13</v>
      </c>
      <c r="F3146" t="s">
        <v>26</v>
      </c>
      <c r="L3146" t="s">
        <v>14447</v>
      </c>
      <c r="O3146" t="s">
        <v>14447</v>
      </c>
      <c r="T3146" t="s">
        <v>14448</v>
      </c>
      <c r="U3146" t="s">
        <v>14449</v>
      </c>
      <c r="V3146" t="s">
        <v>14447</v>
      </c>
      <c r="W3146" t="s">
        <v>49</v>
      </c>
      <c r="X3146" t="s">
        <v>14450</v>
      </c>
      <c r="Y3146">
        <v>0</v>
      </c>
      <c r="Z3146">
        <v>3</v>
      </c>
    </row>
    <row r="3147" spans="1:26">
      <c r="A3147" s="1">
        <v>3145</v>
      </c>
      <c r="B3147" t="str">
        <f>HYPERLINK("https://bugs.eclipse.org/bugs/show_bug.cgi?id=146110", "146110")</f>
        <v>146110</v>
      </c>
      <c r="C3147" t="s">
        <v>14451</v>
      </c>
      <c r="D3147" t="s">
        <v>10</v>
      </c>
      <c r="E3147" t="s">
        <v>15</v>
      </c>
      <c r="F3147" t="s">
        <v>26</v>
      </c>
      <c r="L3147" t="s">
        <v>14452</v>
      </c>
      <c r="Q3147" t="s">
        <v>14452</v>
      </c>
      <c r="T3147" t="s">
        <v>14453</v>
      </c>
      <c r="U3147" t="s">
        <v>14454</v>
      </c>
      <c r="V3147" t="s">
        <v>14452</v>
      </c>
      <c r="W3147" t="s">
        <v>851</v>
      </c>
      <c r="X3147" t="s">
        <v>14455</v>
      </c>
      <c r="Y3147">
        <v>3</v>
      </c>
      <c r="Z3147">
        <v>6</v>
      </c>
    </row>
    <row r="3148" spans="1:26">
      <c r="A3148" s="1">
        <v>3146</v>
      </c>
      <c r="B3148" t="str">
        <f>HYPERLINK("https://bugs.eclipse.org/bugs/show_bug.cgi?id=146116", "146116")</f>
        <v>146116</v>
      </c>
      <c r="C3148" t="s">
        <v>35</v>
      </c>
      <c r="D3148" t="s">
        <v>11</v>
      </c>
      <c r="E3148" t="s">
        <v>12</v>
      </c>
      <c r="F3148" t="s">
        <v>26</v>
      </c>
      <c r="G3148" t="s">
        <v>14456</v>
      </c>
      <c r="L3148" t="s">
        <v>14457</v>
      </c>
      <c r="M3148" t="s">
        <v>14458</v>
      </c>
      <c r="N3148" t="s">
        <v>14457</v>
      </c>
      <c r="T3148" t="s">
        <v>14459</v>
      </c>
      <c r="U3148" t="s">
        <v>14460</v>
      </c>
      <c r="V3148" t="s">
        <v>14461</v>
      </c>
      <c r="W3148" t="s">
        <v>851</v>
      </c>
      <c r="X3148" t="s">
        <v>14462</v>
      </c>
      <c r="Y3148">
        <v>0</v>
      </c>
      <c r="Z3148">
        <v>230.04166666666671</v>
      </c>
    </row>
    <row r="3149" spans="1:26">
      <c r="A3149" s="1">
        <v>3147</v>
      </c>
      <c r="B3149" t="str">
        <f>HYPERLINK("https://bugs.eclipse.org/bugs/show_bug.cgi?id=146532", "146532")</f>
        <v>146532</v>
      </c>
      <c r="C3149" t="s">
        <v>149</v>
      </c>
      <c r="D3149" t="s">
        <v>10</v>
      </c>
      <c r="E3149" t="s">
        <v>12</v>
      </c>
      <c r="F3149" t="s">
        <v>26</v>
      </c>
      <c r="L3149" t="s">
        <v>14463</v>
      </c>
      <c r="N3149" t="s">
        <v>14463</v>
      </c>
      <c r="T3149" t="s">
        <v>14464</v>
      </c>
      <c r="U3149" t="s">
        <v>14465</v>
      </c>
      <c r="V3149" t="s">
        <v>14463</v>
      </c>
      <c r="W3149" t="s">
        <v>851</v>
      </c>
      <c r="X3149" t="s">
        <v>14466</v>
      </c>
      <c r="Y3149">
        <v>0</v>
      </c>
      <c r="Z3149">
        <v>3</v>
      </c>
    </row>
    <row r="3150" spans="1:26">
      <c r="A3150" s="1">
        <v>3148</v>
      </c>
      <c r="B3150" t="str">
        <f>HYPERLINK("https://bugs.eclipse.org/bugs/show_bug.cgi?id=146579", "146579")</f>
        <v>146579</v>
      </c>
      <c r="C3150" t="s">
        <v>88</v>
      </c>
      <c r="D3150" t="s">
        <v>10</v>
      </c>
      <c r="E3150" t="s">
        <v>13</v>
      </c>
      <c r="F3150" t="s">
        <v>26</v>
      </c>
      <c r="L3150" t="s">
        <v>14467</v>
      </c>
      <c r="O3150" t="s">
        <v>14467</v>
      </c>
      <c r="T3150" t="s">
        <v>14468</v>
      </c>
      <c r="U3150" t="s">
        <v>14469</v>
      </c>
      <c r="V3150" t="s">
        <v>14467</v>
      </c>
      <c r="W3150" t="s">
        <v>851</v>
      </c>
      <c r="X3150" t="s">
        <v>14470</v>
      </c>
      <c r="Y3150">
        <v>0</v>
      </c>
      <c r="Z3150">
        <v>52</v>
      </c>
    </row>
    <row r="3151" spans="1:26">
      <c r="A3151" s="1">
        <v>3149</v>
      </c>
      <c r="B3151" t="str">
        <f>HYPERLINK("https://bugs.eclipse.org/bugs/show_bug.cgi?id=146608", "146608")</f>
        <v>146608</v>
      </c>
      <c r="C3151" t="s">
        <v>56</v>
      </c>
      <c r="D3151" t="s">
        <v>10</v>
      </c>
      <c r="E3151" t="s">
        <v>14</v>
      </c>
      <c r="F3151" t="s">
        <v>26</v>
      </c>
      <c r="L3151" t="s">
        <v>14471</v>
      </c>
      <c r="P3151" t="s">
        <v>14471</v>
      </c>
      <c r="S3151" t="s">
        <v>14472</v>
      </c>
      <c r="T3151" t="s">
        <v>14473</v>
      </c>
      <c r="U3151" t="s">
        <v>14474</v>
      </c>
      <c r="V3151" t="s">
        <v>14471</v>
      </c>
      <c r="W3151" t="s">
        <v>49</v>
      </c>
      <c r="X3151" t="s">
        <v>14475</v>
      </c>
      <c r="Y3151">
        <v>0</v>
      </c>
      <c r="Z3151">
        <v>3</v>
      </c>
    </row>
    <row r="3152" spans="1:26">
      <c r="A3152" s="1">
        <v>3150</v>
      </c>
      <c r="B3152" t="str">
        <f>HYPERLINK("https://bugs.eclipse.org/bugs/show_bug.cgi?id=147025", "147025")</f>
        <v>147025</v>
      </c>
      <c r="C3152" t="s">
        <v>14476</v>
      </c>
      <c r="D3152" t="s">
        <v>10</v>
      </c>
      <c r="E3152" t="s">
        <v>15</v>
      </c>
      <c r="F3152" t="s">
        <v>26</v>
      </c>
      <c r="L3152" t="s">
        <v>14477</v>
      </c>
      <c r="Q3152" t="s">
        <v>14477</v>
      </c>
      <c r="T3152" t="s">
        <v>14478</v>
      </c>
      <c r="U3152" t="s">
        <v>14479</v>
      </c>
      <c r="V3152" t="s">
        <v>14477</v>
      </c>
      <c r="W3152" t="s">
        <v>49</v>
      </c>
      <c r="X3152" t="s">
        <v>14480</v>
      </c>
      <c r="Y3152">
        <v>0</v>
      </c>
      <c r="Z3152">
        <v>1</v>
      </c>
    </row>
    <row r="3153" spans="1:26">
      <c r="A3153" s="1">
        <v>3151</v>
      </c>
      <c r="B3153" t="str">
        <f>HYPERLINK("https://bugs.eclipse.org/bugs/show_bug.cgi?id=147079", "147079")</f>
        <v>147079</v>
      </c>
      <c r="C3153" t="s">
        <v>35</v>
      </c>
      <c r="D3153" t="s">
        <v>11</v>
      </c>
      <c r="E3153" t="s">
        <v>12</v>
      </c>
      <c r="F3153" t="s">
        <v>26</v>
      </c>
      <c r="G3153" t="s">
        <v>14481</v>
      </c>
      <c r="L3153" t="s">
        <v>14482</v>
      </c>
      <c r="M3153" t="s">
        <v>14483</v>
      </c>
      <c r="N3153" t="s">
        <v>14482</v>
      </c>
      <c r="T3153" t="s">
        <v>14484</v>
      </c>
      <c r="U3153" t="s">
        <v>14485</v>
      </c>
      <c r="V3153" t="s">
        <v>14486</v>
      </c>
      <c r="W3153" t="s">
        <v>49</v>
      </c>
      <c r="X3153" t="s">
        <v>14487</v>
      </c>
      <c r="Y3153">
        <v>1</v>
      </c>
      <c r="Z3153">
        <v>103</v>
      </c>
    </row>
    <row r="3154" spans="1:26">
      <c r="A3154" s="1">
        <v>3152</v>
      </c>
      <c r="B3154" t="str">
        <f>HYPERLINK("https://bugs.eclipse.org/bugs/show_bug.cgi?id=147516", "147516")</f>
        <v>147516</v>
      </c>
      <c r="C3154" t="s">
        <v>149</v>
      </c>
      <c r="D3154" t="s">
        <v>10</v>
      </c>
      <c r="E3154" t="s">
        <v>12</v>
      </c>
      <c r="F3154" t="s">
        <v>26</v>
      </c>
      <c r="G3154" t="s">
        <v>14488</v>
      </c>
      <c r="L3154" t="s">
        <v>14489</v>
      </c>
      <c r="N3154" t="s">
        <v>14489</v>
      </c>
      <c r="T3154" t="s">
        <v>14490</v>
      </c>
      <c r="U3154" t="s">
        <v>14491</v>
      </c>
      <c r="V3154" t="s">
        <v>14489</v>
      </c>
      <c r="W3154" t="s">
        <v>851</v>
      </c>
      <c r="X3154" t="s">
        <v>14492</v>
      </c>
      <c r="Y3154">
        <v>3</v>
      </c>
      <c r="Z3154">
        <v>151.04166666666671</v>
      </c>
    </row>
    <row r="3155" spans="1:26">
      <c r="A3155" s="1">
        <v>3153</v>
      </c>
      <c r="B3155" t="str">
        <f>HYPERLINK("https://bugs.eclipse.org/bugs/show_bug.cgi?id=147686", "147686")</f>
        <v>147686</v>
      </c>
      <c r="C3155" t="s">
        <v>56</v>
      </c>
      <c r="D3155" t="s">
        <v>10</v>
      </c>
      <c r="E3155" t="s">
        <v>14</v>
      </c>
      <c r="F3155" t="s">
        <v>26</v>
      </c>
      <c r="H3155" t="s">
        <v>14493</v>
      </c>
      <c r="L3155" t="s">
        <v>14494</v>
      </c>
      <c r="P3155" t="s">
        <v>14495</v>
      </c>
      <c r="T3155" t="s">
        <v>14496</v>
      </c>
      <c r="U3155" t="s">
        <v>14497</v>
      </c>
      <c r="V3155" t="s">
        <v>14495</v>
      </c>
      <c r="W3155" t="s">
        <v>75</v>
      </c>
      <c r="X3155" t="s">
        <v>14498</v>
      </c>
      <c r="Y3155">
        <v>0</v>
      </c>
      <c r="Z3155">
        <v>1168</v>
      </c>
    </row>
    <row r="3156" spans="1:26">
      <c r="A3156" s="1">
        <v>3154</v>
      </c>
      <c r="B3156" t="str">
        <f>HYPERLINK("https://bugs.eclipse.org/bugs/show_bug.cgi?id=147835", "147835")</f>
        <v>147835</v>
      </c>
      <c r="C3156" t="s">
        <v>25</v>
      </c>
      <c r="D3156" t="s">
        <v>25</v>
      </c>
      <c r="F3156" t="s">
        <v>26</v>
      </c>
      <c r="T3156" t="s">
        <v>14499</v>
      </c>
      <c r="U3156" t="s">
        <v>14500</v>
      </c>
      <c r="V3156" t="s">
        <v>14501</v>
      </c>
      <c r="W3156" t="s">
        <v>143</v>
      </c>
      <c r="X3156" t="s">
        <v>14502</v>
      </c>
      <c r="Y3156">
        <v>0</v>
      </c>
    </row>
    <row r="3157" spans="1:26">
      <c r="A3157" s="1">
        <v>3155</v>
      </c>
      <c r="B3157" t="str">
        <f>HYPERLINK("https://bugs.eclipse.org/bugs/show_bug.cgi?id=147900", "147900")</f>
        <v>147900</v>
      </c>
      <c r="C3157" t="s">
        <v>56</v>
      </c>
      <c r="D3157" t="s">
        <v>10</v>
      </c>
      <c r="E3157" t="s">
        <v>14</v>
      </c>
      <c r="F3157" t="s">
        <v>26</v>
      </c>
      <c r="G3157" t="s">
        <v>14503</v>
      </c>
      <c r="L3157" t="s">
        <v>14504</v>
      </c>
      <c r="P3157" t="s">
        <v>14504</v>
      </c>
      <c r="T3157" t="s">
        <v>14505</v>
      </c>
      <c r="U3157" t="s">
        <v>14506</v>
      </c>
      <c r="V3157" t="s">
        <v>14504</v>
      </c>
      <c r="W3157" t="s">
        <v>851</v>
      </c>
      <c r="X3157" t="s">
        <v>14507</v>
      </c>
      <c r="Y3157">
        <v>1</v>
      </c>
      <c r="Z3157">
        <v>367</v>
      </c>
    </row>
    <row r="3158" spans="1:26">
      <c r="A3158" s="1">
        <v>3156</v>
      </c>
      <c r="B3158" t="str">
        <f>HYPERLINK("https://bugs.eclipse.org/bugs/show_bug.cgi?id=148014", "148014")</f>
        <v>148014</v>
      </c>
      <c r="C3158" t="s">
        <v>140</v>
      </c>
      <c r="D3158" t="s">
        <v>10</v>
      </c>
      <c r="E3158" t="s">
        <v>16</v>
      </c>
      <c r="F3158" t="s">
        <v>26</v>
      </c>
      <c r="G3158" t="s">
        <v>14508</v>
      </c>
      <c r="L3158" t="s">
        <v>14509</v>
      </c>
      <c r="P3158" t="s">
        <v>14510</v>
      </c>
      <c r="R3158" t="s">
        <v>14509</v>
      </c>
      <c r="S3158" t="s">
        <v>14511</v>
      </c>
      <c r="T3158" t="s">
        <v>14512</v>
      </c>
      <c r="U3158" t="s">
        <v>14513</v>
      </c>
      <c r="V3158" t="s">
        <v>14514</v>
      </c>
      <c r="W3158" t="s">
        <v>851</v>
      </c>
      <c r="X3158" t="s">
        <v>14515</v>
      </c>
      <c r="Y3158">
        <v>1</v>
      </c>
      <c r="Z3158">
        <v>1717.041666666667</v>
      </c>
    </row>
    <row r="3159" spans="1:26">
      <c r="A3159" s="1">
        <v>3157</v>
      </c>
      <c r="B3159" t="str">
        <f>HYPERLINK("https://bugs.eclipse.org/bugs/show_bug.cgi?id=148016", "148016")</f>
        <v>148016</v>
      </c>
      <c r="C3159" t="s">
        <v>14516</v>
      </c>
      <c r="D3159" t="s">
        <v>10</v>
      </c>
      <c r="E3159" t="s">
        <v>15</v>
      </c>
      <c r="F3159" t="s">
        <v>26</v>
      </c>
      <c r="L3159" t="s">
        <v>14517</v>
      </c>
      <c r="Q3159" t="s">
        <v>14517</v>
      </c>
      <c r="T3159" t="s">
        <v>14518</v>
      </c>
      <c r="U3159" t="s">
        <v>14519</v>
      </c>
      <c r="V3159" t="s">
        <v>14517</v>
      </c>
      <c r="W3159" t="s">
        <v>851</v>
      </c>
      <c r="X3159" t="s">
        <v>14520</v>
      </c>
      <c r="Y3159">
        <v>0</v>
      </c>
      <c r="Z3159">
        <v>77</v>
      </c>
    </row>
    <row r="3160" spans="1:26">
      <c r="A3160" s="1">
        <v>3158</v>
      </c>
      <c r="B3160" t="str">
        <f>HYPERLINK("https://bugs.eclipse.org/bugs/show_bug.cgi?id=148419", "148419")</f>
        <v>148419</v>
      </c>
      <c r="C3160" t="s">
        <v>35</v>
      </c>
      <c r="D3160" t="s">
        <v>11</v>
      </c>
      <c r="E3160" t="s">
        <v>12</v>
      </c>
      <c r="F3160" t="s">
        <v>26</v>
      </c>
      <c r="L3160" t="s">
        <v>14521</v>
      </c>
      <c r="M3160" t="s">
        <v>14522</v>
      </c>
      <c r="N3160" t="s">
        <v>14521</v>
      </c>
      <c r="S3160" t="s">
        <v>14523</v>
      </c>
      <c r="T3160" t="s">
        <v>14524</v>
      </c>
      <c r="U3160" t="s">
        <v>14525</v>
      </c>
      <c r="V3160" t="s">
        <v>14526</v>
      </c>
      <c r="W3160" t="s">
        <v>851</v>
      </c>
      <c r="X3160" t="s">
        <v>14527</v>
      </c>
      <c r="Y3160">
        <v>0</v>
      </c>
      <c r="Z3160">
        <v>215.04166666666671</v>
      </c>
    </row>
    <row r="3161" spans="1:26">
      <c r="A3161" s="1">
        <v>3159</v>
      </c>
      <c r="B3161" t="str">
        <f>HYPERLINK("https://bugs.eclipse.org/bugs/show_bug.cgi?id=148527", "148527")</f>
        <v>148527</v>
      </c>
      <c r="C3161" t="s">
        <v>140</v>
      </c>
      <c r="D3161" t="s">
        <v>10</v>
      </c>
      <c r="E3161" t="s">
        <v>16</v>
      </c>
      <c r="F3161" t="s">
        <v>26</v>
      </c>
      <c r="L3161" t="s">
        <v>14528</v>
      </c>
      <c r="R3161" t="s">
        <v>14528</v>
      </c>
      <c r="T3161" t="s">
        <v>14529</v>
      </c>
      <c r="U3161" t="s">
        <v>14530</v>
      </c>
      <c r="V3161" t="s">
        <v>14531</v>
      </c>
      <c r="W3161" t="s">
        <v>143</v>
      </c>
      <c r="X3161" t="s">
        <v>14532</v>
      </c>
      <c r="Y3161">
        <v>0</v>
      </c>
      <c r="Z3161">
        <v>4653</v>
      </c>
    </row>
    <row r="3162" spans="1:26">
      <c r="A3162" s="1">
        <v>3160</v>
      </c>
      <c r="B3162" t="str">
        <f>HYPERLINK("https://bugs.eclipse.org/bugs/show_bug.cgi?id=148543", "148543")</f>
        <v>148543</v>
      </c>
      <c r="C3162" t="s">
        <v>56</v>
      </c>
      <c r="D3162" t="s">
        <v>10</v>
      </c>
      <c r="E3162" t="s">
        <v>14</v>
      </c>
      <c r="F3162" t="s">
        <v>26</v>
      </c>
      <c r="L3162" t="s">
        <v>14533</v>
      </c>
      <c r="P3162" t="s">
        <v>14533</v>
      </c>
      <c r="T3162" t="s">
        <v>14534</v>
      </c>
      <c r="U3162" t="s">
        <v>14535</v>
      </c>
      <c r="V3162" t="s">
        <v>14533</v>
      </c>
      <c r="W3162" t="s">
        <v>851</v>
      </c>
      <c r="X3162" t="s">
        <v>14536</v>
      </c>
      <c r="Y3162">
        <v>0</v>
      </c>
      <c r="Z3162">
        <v>1093</v>
      </c>
    </row>
    <row r="3163" spans="1:26">
      <c r="A3163" s="1">
        <v>3161</v>
      </c>
      <c r="B3163" t="str">
        <f>HYPERLINK("https://bugs.eclipse.org/bugs/show_bug.cgi?id=148804", "148804")</f>
        <v>148804</v>
      </c>
      <c r="C3163" t="s">
        <v>191</v>
      </c>
      <c r="D3163" t="s">
        <v>192</v>
      </c>
      <c r="E3163" t="s">
        <v>14</v>
      </c>
      <c r="F3163" t="s">
        <v>26</v>
      </c>
      <c r="G3163" t="s">
        <v>14537</v>
      </c>
      <c r="H3163" t="s">
        <v>14538</v>
      </c>
      <c r="L3163" t="s">
        <v>14539</v>
      </c>
      <c r="P3163" t="s">
        <v>14540</v>
      </c>
      <c r="S3163" t="s">
        <v>14541</v>
      </c>
      <c r="T3163" t="s">
        <v>14542</v>
      </c>
      <c r="U3163" t="s">
        <v>14543</v>
      </c>
      <c r="V3163" t="s">
        <v>14540</v>
      </c>
      <c r="W3163" t="s">
        <v>65</v>
      </c>
      <c r="X3163" t="s">
        <v>14544</v>
      </c>
      <c r="Y3163">
        <v>0</v>
      </c>
      <c r="Z3163">
        <v>4988.041666666667</v>
      </c>
    </row>
    <row r="3164" spans="1:26">
      <c r="A3164" s="1">
        <v>3162</v>
      </c>
      <c r="B3164" t="str">
        <f>HYPERLINK("https://bugs.eclipse.org/bugs/show_bug.cgi?id=148885", "148885")</f>
        <v>148885</v>
      </c>
      <c r="C3164" t="s">
        <v>25</v>
      </c>
      <c r="D3164" t="s">
        <v>25</v>
      </c>
      <c r="F3164" t="s">
        <v>460</v>
      </c>
      <c r="T3164" t="s">
        <v>14545</v>
      </c>
      <c r="U3164" t="s">
        <v>14546</v>
      </c>
      <c r="V3164" t="s">
        <v>14547</v>
      </c>
      <c r="W3164" t="s">
        <v>14548</v>
      </c>
      <c r="X3164" t="s">
        <v>14549</v>
      </c>
      <c r="Y3164">
        <v>1</v>
      </c>
    </row>
    <row r="3165" spans="1:26">
      <c r="A3165" s="1">
        <v>3163</v>
      </c>
      <c r="B3165" t="str">
        <f>HYPERLINK("https://bugs.eclipse.org/bugs/show_bug.cgi?id=148899", "148899")</f>
        <v>148899</v>
      </c>
      <c r="C3165" t="s">
        <v>25</v>
      </c>
      <c r="D3165" t="s">
        <v>25</v>
      </c>
      <c r="F3165" t="s">
        <v>51</v>
      </c>
      <c r="T3165" t="s">
        <v>14550</v>
      </c>
      <c r="U3165" t="s">
        <v>14551</v>
      </c>
      <c r="V3165" t="s">
        <v>14552</v>
      </c>
      <c r="W3165" t="s">
        <v>143</v>
      </c>
      <c r="X3165" t="s">
        <v>14553</v>
      </c>
      <c r="Y3165">
        <v>1</v>
      </c>
    </row>
    <row r="3166" spans="1:26">
      <c r="A3166" s="1">
        <v>3164</v>
      </c>
      <c r="B3166" t="str">
        <f>HYPERLINK("https://bugs.eclipse.org/bugs/show_bug.cgi?id=149091", "149091")</f>
        <v>149091</v>
      </c>
      <c r="C3166" t="s">
        <v>191</v>
      </c>
      <c r="D3166" t="s">
        <v>192</v>
      </c>
      <c r="E3166" t="s">
        <v>14</v>
      </c>
      <c r="F3166" t="s">
        <v>26</v>
      </c>
      <c r="P3166" t="s">
        <v>14554</v>
      </c>
      <c r="T3166" t="s">
        <v>14555</v>
      </c>
      <c r="U3166" t="s">
        <v>14556</v>
      </c>
      <c r="V3166" t="s">
        <v>14554</v>
      </c>
      <c r="W3166" t="s">
        <v>65</v>
      </c>
      <c r="X3166" t="s">
        <v>14557</v>
      </c>
      <c r="Y3166">
        <v>1</v>
      </c>
      <c r="Z3166">
        <v>4969.041666666667</v>
      </c>
    </row>
    <row r="3167" spans="1:26">
      <c r="A3167" s="1">
        <v>3165</v>
      </c>
      <c r="B3167" t="str">
        <f>HYPERLINK("https://bugs.eclipse.org/bugs/show_bug.cgi?id=149316", "149316")</f>
        <v>149316</v>
      </c>
      <c r="C3167" t="s">
        <v>35</v>
      </c>
      <c r="D3167" t="s">
        <v>11</v>
      </c>
      <c r="E3167" t="s">
        <v>12</v>
      </c>
      <c r="F3167" t="s">
        <v>26</v>
      </c>
      <c r="L3167" t="s">
        <v>14558</v>
      </c>
      <c r="M3167" t="s">
        <v>14559</v>
      </c>
      <c r="N3167" t="s">
        <v>14558</v>
      </c>
      <c r="T3167" t="s">
        <v>14560</v>
      </c>
      <c r="U3167" t="s">
        <v>14561</v>
      </c>
      <c r="V3167" t="s">
        <v>14559</v>
      </c>
      <c r="W3167" t="s">
        <v>143</v>
      </c>
      <c r="X3167" t="s">
        <v>14562</v>
      </c>
      <c r="Y3167">
        <v>0</v>
      </c>
      <c r="Z3167">
        <v>668</v>
      </c>
    </row>
    <row r="3168" spans="1:26">
      <c r="A3168" s="1">
        <v>3166</v>
      </c>
      <c r="B3168" t="str">
        <f>HYPERLINK("https://bugs.eclipse.org/bugs/show_bug.cgi?id=149462", "149462")</f>
        <v>149462</v>
      </c>
      <c r="C3168" t="s">
        <v>149</v>
      </c>
      <c r="D3168" t="s">
        <v>10</v>
      </c>
      <c r="E3168" t="s">
        <v>12</v>
      </c>
      <c r="F3168" t="s">
        <v>26</v>
      </c>
      <c r="G3168" t="s">
        <v>14563</v>
      </c>
      <c r="L3168" t="s">
        <v>14564</v>
      </c>
      <c r="N3168" t="s">
        <v>14564</v>
      </c>
      <c r="T3168" t="s">
        <v>14565</v>
      </c>
      <c r="U3168" t="s">
        <v>14566</v>
      </c>
      <c r="V3168" t="s">
        <v>14564</v>
      </c>
      <c r="W3168" t="s">
        <v>851</v>
      </c>
      <c r="X3168" t="s">
        <v>14567</v>
      </c>
      <c r="Y3168">
        <v>0</v>
      </c>
      <c r="Z3168">
        <v>142.04166666666671</v>
      </c>
    </row>
    <row r="3169" spans="1:26">
      <c r="A3169" s="1">
        <v>3167</v>
      </c>
      <c r="B3169" t="str">
        <f>HYPERLINK("https://bugs.eclipse.org/bugs/show_bug.cgi?id=149540", "149540")</f>
        <v>149540</v>
      </c>
      <c r="C3169" t="s">
        <v>35</v>
      </c>
      <c r="D3169" t="s">
        <v>11</v>
      </c>
      <c r="E3169" t="s">
        <v>12</v>
      </c>
      <c r="F3169" t="s">
        <v>26</v>
      </c>
      <c r="L3169" t="s">
        <v>14568</v>
      </c>
      <c r="M3169" t="s">
        <v>14569</v>
      </c>
      <c r="N3169" t="s">
        <v>14568</v>
      </c>
      <c r="T3169" t="s">
        <v>14570</v>
      </c>
      <c r="U3169" t="s">
        <v>14571</v>
      </c>
      <c r="V3169" t="s">
        <v>14569</v>
      </c>
      <c r="W3169" t="s">
        <v>49</v>
      </c>
      <c r="X3169" t="s">
        <v>14572</v>
      </c>
      <c r="Y3169">
        <v>0</v>
      </c>
      <c r="Z3169">
        <v>37</v>
      </c>
    </row>
    <row r="3170" spans="1:26">
      <c r="A3170" s="1">
        <v>3168</v>
      </c>
      <c r="B3170" t="str">
        <f>HYPERLINK("https://bugs.eclipse.org/bugs/show_bug.cgi?id=149599", "149599")</f>
        <v>149599</v>
      </c>
      <c r="C3170" t="s">
        <v>140</v>
      </c>
      <c r="D3170" t="s">
        <v>10</v>
      </c>
      <c r="E3170" t="s">
        <v>16</v>
      </c>
      <c r="F3170" t="s">
        <v>26</v>
      </c>
      <c r="L3170" t="s">
        <v>14573</v>
      </c>
      <c r="R3170" t="s">
        <v>14573</v>
      </c>
      <c r="T3170" t="s">
        <v>14574</v>
      </c>
      <c r="U3170" t="s">
        <v>14575</v>
      </c>
      <c r="V3170" t="s">
        <v>14573</v>
      </c>
      <c r="W3170" t="s">
        <v>2668</v>
      </c>
      <c r="X3170" t="s">
        <v>14576</v>
      </c>
      <c r="Y3170">
        <v>1</v>
      </c>
      <c r="Z3170">
        <v>1</v>
      </c>
    </row>
    <row r="3171" spans="1:26">
      <c r="A3171" s="1">
        <v>3169</v>
      </c>
      <c r="B3171" t="str">
        <f>HYPERLINK("https://bugs.eclipse.org/bugs/show_bug.cgi?id=149775", "149775")</f>
        <v>149775</v>
      </c>
      <c r="C3171" t="s">
        <v>35</v>
      </c>
      <c r="D3171" t="s">
        <v>11</v>
      </c>
      <c r="E3171" t="s">
        <v>12</v>
      </c>
      <c r="F3171" t="s">
        <v>150</v>
      </c>
      <c r="G3171" t="s">
        <v>14577</v>
      </c>
      <c r="L3171" t="s">
        <v>14578</v>
      </c>
      <c r="M3171" t="s">
        <v>14579</v>
      </c>
      <c r="N3171" t="s">
        <v>14578</v>
      </c>
      <c r="T3171" t="s">
        <v>14580</v>
      </c>
      <c r="U3171" t="s">
        <v>14581</v>
      </c>
      <c r="V3171" t="s">
        <v>14579</v>
      </c>
      <c r="W3171" t="s">
        <v>1954</v>
      </c>
      <c r="X3171" t="s">
        <v>14582</v>
      </c>
      <c r="Y3171">
        <v>1</v>
      </c>
      <c r="Z3171">
        <v>301</v>
      </c>
    </row>
    <row r="3172" spans="1:26">
      <c r="A3172" s="1">
        <v>3170</v>
      </c>
      <c r="B3172" t="str">
        <f>HYPERLINK("https://bugs.eclipse.org/bugs/show_bug.cgi?id=149782", "149782")</f>
        <v>149782</v>
      </c>
      <c r="C3172" t="s">
        <v>14583</v>
      </c>
      <c r="D3172" t="s">
        <v>10</v>
      </c>
      <c r="E3172" t="s">
        <v>15</v>
      </c>
      <c r="F3172" t="s">
        <v>26</v>
      </c>
      <c r="L3172" t="s">
        <v>14584</v>
      </c>
      <c r="Q3172" t="s">
        <v>14584</v>
      </c>
      <c r="T3172" t="s">
        <v>14585</v>
      </c>
      <c r="U3172" t="s">
        <v>14586</v>
      </c>
      <c r="V3172" t="s">
        <v>14584</v>
      </c>
      <c r="W3172" t="s">
        <v>1954</v>
      </c>
      <c r="X3172" t="s">
        <v>14587</v>
      </c>
      <c r="Y3172">
        <v>0</v>
      </c>
      <c r="Z3172">
        <v>0</v>
      </c>
    </row>
    <row r="3173" spans="1:26">
      <c r="A3173" s="1">
        <v>3171</v>
      </c>
      <c r="B3173" t="str">
        <f>HYPERLINK("https://bugs.eclipse.org/bugs/show_bug.cgi?id=149801", "149801")</f>
        <v>149801</v>
      </c>
      <c r="C3173" t="s">
        <v>149</v>
      </c>
      <c r="D3173" t="s">
        <v>10</v>
      </c>
      <c r="E3173" t="s">
        <v>12</v>
      </c>
      <c r="F3173" t="s">
        <v>26</v>
      </c>
      <c r="G3173" t="s">
        <v>14588</v>
      </c>
      <c r="L3173" t="s">
        <v>14589</v>
      </c>
      <c r="N3173" t="s">
        <v>14589</v>
      </c>
      <c r="T3173" t="s">
        <v>14590</v>
      </c>
      <c r="U3173" t="s">
        <v>14591</v>
      </c>
      <c r="V3173" t="s">
        <v>14589</v>
      </c>
      <c r="W3173" t="s">
        <v>2777</v>
      </c>
      <c r="X3173" t="s">
        <v>14592</v>
      </c>
      <c r="Y3173">
        <v>0</v>
      </c>
      <c r="Z3173">
        <v>1589.041666666667</v>
      </c>
    </row>
    <row r="3174" spans="1:26">
      <c r="A3174" s="1">
        <v>3172</v>
      </c>
      <c r="B3174" t="str">
        <f>HYPERLINK("https://bugs.eclipse.org/bugs/show_bug.cgi?id=149917", "149917")</f>
        <v>149917</v>
      </c>
      <c r="C3174" t="s">
        <v>14451</v>
      </c>
      <c r="D3174" t="s">
        <v>10</v>
      </c>
      <c r="E3174" t="s">
        <v>15</v>
      </c>
      <c r="F3174" t="s">
        <v>26</v>
      </c>
      <c r="L3174" t="s">
        <v>14593</v>
      </c>
      <c r="Q3174" t="s">
        <v>14593</v>
      </c>
      <c r="T3174" t="s">
        <v>14594</v>
      </c>
      <c r="U3174" t="s">
        <v>14595</v>
      </c>
      <c r="V3174" t="s">
        <v>14593</v>
      </c>
      <c r="W3174" t="s">
        <v>851</v>
      </c>
      <c r="X3174" t="s">
        <v>14596</v>
      </c>
      <c r="Y3174">
        <v>1</v>
      </c>
      <c r="Z3174">
        <v>6</v>
      </c>
    </row>
    <row r="3175" spans="1:26">
      <c r="A3175" s="1">
        <v>3173</v>
      </c>
      <c r="B3175" t="str">
        <f>HYPERLINK("https://bugs.eclipse.org/bugs/show_bug.cgi?id=149966", "149966")</f>
        <v>149966</v>
      </c>
      <c r="C3175" t="s">
        <v>191</v>
      </c>
      <c r="D3175" t="s">
        <v>192</v>
      </c>
      <c r="E3175" t="s">
        <v>14</v>
      </c>
      <c r="F3175" t="s">
        <v>26</v>
      </c>
      <c r="T3175" t="s">
        <v>14597</v>
      </c>
      <c r="U3175" t="s">
        <v>14598</v>
      </c>
      <c r="V3175" t="s">
        <v>14599</v>
      </c>
      <c r="W3175" t="s">
        <v>65</v>
      </c>
      <c r="X3175" t="s">
        <v>14600</v>
      </c>
      <c r="Y3175">
        <v>4</v>
      </c>
      <c r="Z3175">
        <v>4833</v>
      </c>
    </row>
    <row r="3176" spans="1:26">
      <c r="A3176" s="1">
        <v>3174</v>
      </c>
      <c r="B3176" t="str">
        <f>HYPERLINK("https://bugs.eclipse.org/bugs/show_bug.cgi?id=150064", "150064")</f>
        <v>150064</v>
      </c>
      <c r="C3176" t="s">
        <v>14601</v>
      </c>
      <c r="D3176" t="s">
        <v>192</v>
      </c>
      <c r="E3176" t="s">
        <v>15</v>
      </c>
      <c r="F3176" t="s">
        <v>26</v>
      </c>
      <c r="Q3176" t="s">
        <v>14602</v>
      </c>
      <c r="T3176" t="s">
        <v>14603</v>
      </c>
      <c r="U3176" t="s">
        <v>14604</v>
      </c>
      <c r="V3176" t="s">
        <v>14602</v>
      </c>
      <c r="W3176" t="s">
        <v>9181</v>
      </c>
      <c r="X3176" t="s">
        <v>14605</v>
      </c>
      <c r="Y3176">
        <v>3</v>
      </c>
      <c r="Z3176">
        <v>2909</v>
      </c>
    </row>
    <row r="3177" spans="1:26">
      <c r="A3177" s="1">
        <v>3175</v>
      </c>
      <c r="B3177" t="str">
        <f>HYPERLINK("https://bugs.eclipse.org/bugs/show_bug.cgi?id=150142", "150142")</f>
        <v>150142</v>
      </c>
      <c r="C3177" t="s">
        <v>14606</v>
      </c>
      <c r="D3177" t="s">
        <v>10</v>
      </c>
      <c r="E3177" t="s">
        <v>15</v>
      </c>
      <c r="F3177" t="s">
        <v>26</v>
      </c>
      <c r="L3177" t="s">
        <v>14607</v>
      </c>
      <c r="Q3177" t="s">
        <v>14607</v>
      </c>
      <c r="T3177" t="s">
        <v>14608</v>
      </c>
      <c r="U3177" t="s">
        <v>14607</v>
      </c>
      <c r="V3177" t="s">
        <v>14607</v>
      </c>
      <c r="W3177" t="s">
        <v>49</v>
      </c>
      <c r="X3177" t="s">
        <v>14609</v>
      </c>
      <c r="Y3177">
        <v>2</v>
      </c>
      <c r="Z3177">
        <v>2</v>
      </c>
    </row>
    <row r="3178" spans="1:26">
      <c r="A3178" s="1">
        <v>3176</v>
      </c>
      <c r="B3178" t="str">
        <f>HYPERLINK("https://bugs.eclipse.org/bugs/show_bug.cgi?id=150144", "150144")</f>
        <v>150144</v>
      </c>
      <c r="C3178" t="s">
        <v>14610</v>
      </c>
      <c r="D3178" t="s">
        <v>10</v>
      </c>
      <c r="E3178" t="s">
        <v>15</v>
      </c>
      <c r="F3178" t="s">
        <v>26</v>
      </c>
      <c r="G3178" t="s">
        <v>14611</v>
      </c>
      <c r="L3178" t="s">
        <v>14612</v>
      </c>
      <c r="Q3178" t="s">
        <v>14612</v>
      </c>
      <c r="T3178" t="s">
        <v>14608</v>
      </c>
      <c r="U3178" t="s">
        <v>14613</v>
      </c>
      <c r="V3178" t="s">
        <v>14612</v>
      </c>
      <c r="W3178" t="s">
        <v>1954</v>
      </c>
      <c r="X3178" t="s">
        <v>14614</v>
      </c>
      <c r="Y3178">
        <v>72</v>
      </c>
      <c r="Z3178">
        <v>365</v>
      </c>
    </row>
    <row r="3179" spans="1:26">
      <c r="A3179" s="1">
        <v>3177</v>
      </c>
      <c r="B3179" t="str">
        <f>HYPERLINK("https://bugs.eclipse.org/bugs/show_bug.cgi?id=150159", "150159")</f>
        <v>150159</v>
      </c>
      <c r="C3179" t="s">
        <v>35</v>
      </c>
      <c r="D3179" t="s">
        <v>11</v>
      </c>
      <c r="E3179" t="s">
        <v>12</v>
      </c>
      <c r="F3179" t="s">
        <v>26</v>
      </c>
      <c r="L3179" t="s">
        <v>14615</v>
      </c>
      <c r="M3179" t="s">
        <v>14616</v>
      </c>
      <c r="N3179" t="s">
        <v>14615</v>
      </c>
      <c r="T3179" t="s">
        <v>14617</v>
      </c>
      <c r="U3179" t="s">
        <v>14618</v>
      </c>
      <c r="V3179" t="s">
        <v>14619</v>
      </c>
      <c r="W3179" t="s">
        <v>49</v>
      </c>
      <c r="X3179" t="s">
        <v>14620</v>
      </c>
      <c r="Y3179">
        <v>11</v>
      </c>
      <c r="Z3179">
        <v>30</v>
      </c>
    </row>
    <row r="3180" spans="1:26">
      <c r="A3180" s="1">
        <v>3178</v>
      </c>
      <c r="B3180" t="str">
        <f>HYPERLINK("https://bugs.eclipse.org/bugs/show_bug.cgi?id=150273", "150273")</f>
        <v>150273</v>
      </c>
      <c r="C3180" t="s">
        <v>56</v>
      </c>
      <c r="D3180" t="s">
        <v>10</v>
      </c>
      <c r="E3180" t="s">
        <v>14</v>
      </c>
      <c r="F3180" t="s">
        <v>26</v>
      </c>
      <c r="L3180" t="s">
        <v>14621</v>
      </c>
      <c r="P3180" t="s">
        <v>14621</v>
      </c>
      <c r="T3180" t="s">
        <v>14622</v>
      </c>
      <c r="U3180" t="s">
        <v>14623</v>
      </c>
      <c r="V3180" t="s">
        <v>14621</v>
      </c>
      <c r="W3180" t="s">
        <v>49</v>
      </c>
      <c r="X3180" t="s">
        <v>14624</v>
      </c>
      <c r="Y3180">
        <v>1</v>
      </c>
      <c r="Z3180">
        <v>1</v>
      </c>
    </row>
    <row r="3181" spans="1:26">
      <c r="A3181" s="1">
        <v>3179</v>
      </c>
      <c r="B3181" t="str">
        <f>HYPERLINK("https://bugs.eclipse.org/bugs/show_bug.cgi?id=150558", "150558")</f>
        <v>150558</v>
      </c>
      <c r="C3181" t="s">
        <v>25</v>
      </c>
      <c r="D3181" t="s">
        <v>25</v>
      </c>
      <c r="F3181" t="s">
        <v>26</v>
      </c>
      <c r="G3181" t="s">
        <v>14625</v>
      </c>
      <c r="H3181" t="s">
        <v>14626</v>
      </c>
      <c r="L3181" t="s">
        <v>14627</v>
      </c>
      <c r="P3181" t="s">
        <v>14627</v>
      </c>
      <c r="S3181" t="s">
        <v>14628</v>
      </c>
      <c r="T3181" t="s">
        <v>14629</v>
      </c>
      <c r="U3181" t="s">
        <v>14630</v>
      </c>
      <c r="V3181" t="s">
        <v>14631</v>
      </c>
      <c r="W3181" t="s">
        <v>12301</v>
      </c>
      <c r="X3181" t="s">
        <v>14632</v>
      </c>
      <c r="Y3181">
        <v>4</v>
      </c>
    </row>
    <row r="3182" spans="1:26">
      <c r="A3182" s="1">
        <v>3180</v>
      </c>
      <c r="B3182" t="str">
        <f>HYPERLINK("https://bugs.eclipse.org/bugs/show_bug.cgi?id=150698", "150698")</f>
        <v>150698</v>
      </c>
      <c r="C3182" t="s">
        <v>149</v>
      </c>
      <c r="D3182" t="s">
        <v>10</v>
      </c>
      <c r="E3182" t="s">
        <v>12</v>
      </c>
      <c r="F3182" t="s">
        <v>26</v>
      </c>
      <c r="L3182" t="s">
        <v>14633</v>
      </c>
      <c r="N3182" t="s">
        <v>14633</v>
      </c>
      <c r="S3182" t="s">
        <v>14634</v>
      </c>
      <c r="T3182" t="s">
        <v>14635</v>
      </c>
      <c r="U3182" t="s">
        <v>14636</v>
      </c>
      <c r="V3182" t="s">
        <v>14633</v>
      </c>
      <c r="W3182" t="s">
        <v>851</v>
      </c>
      <c r="X3182" t="s">
        <v>14637</v>
      </c>
      <c r="Y3182">
        <v>3</v>
      </c>
      <c r="Z3182">
        <v>5</v>
      </c>
    </row>
    <row r="3183" spans="1:26">
      <c r="A3183" s="1">
        <v>3181</v>
      </c>
      <c r="B3183" t="str">
        <f>HYPERLINK("https://bugs.eclipse.org/bugs/show_bug.cgi?id=150850", "150850")</f>
        <v>150850</v>
      </c>
      <c r="C3183" t="s">
        <v>191</v>
      </c>
      <c r="D3183" t="s">
        <v>192</v>
      </c>
      <c r="E3183" t="s">
        <v>14</v>
      </c>
      <c r="F3183" t="s">
        <v>26</v>
      </c>
      <c r="P3183" t="s">
        <v>14638</v>
      </c>
      <c r="T3183" t="s">
        <v>14639</v>
      </c>
      <c r="U3183" t="s">
        <v>14640</v>
      </c>
      <c r="V3183" t="s">
        <v>14638</v>
      </c>
      <c r="W3183" t="s">
        <v>65</v>
      </c>
      <c r="X3183" t="s">
        <v>14641</v>
      </c>
      <c r="Y3183">
        <v>1</v>
      </c>
      <c r="Z3183">
        <v>4982.041666666667</v>
      </c>
    </row>
    <row r="3184" spans="1:26">
      <c r="A3184" s="1">
        <v>3182</v>
      </c>
      <c r="B3184" t="str">
        <f>HYPERLINK("https://bugs.eclipse.org/bugs/show_bug.cgi?id=151047", "151047")</f>
        <v>151047</v>
      </c>
      <c r="C3184" t="s">
        <v>191</v>
      </c>
      <c r="D3184" t="s">
        <v>192</v>
      </c>
      <c r="E3184" t="s">
        <v>14</v>
      </c>
      <c r="F3184" t="s">
        <v>26</v>
      </c>
      <c r="T3184" t="s">
        <v>14642</v>
      </c>
      <c r="U3184" t="s">
        <v>14643</v>
      </c>
      <c r="V3184" t="s">
        <v>14644</v>
      </c>
      <c r="W3184" t="s">
        <v>65</v>
      </c>
      <c r="X3184" t="s">
        <v>14645</v>
      </c>
      <c r="Y3184">
        <v>7</v>
      </c>
      <c r="Z3184">
        <v>4839</v>
      </c>
    </row>
    <row r="3185" spans="1:26">
      <c r="A3185" s="1">
        <v>3183</v>
      </c>
      <c r="B3185" t="str">
        <f>HYPERLINK("https://bugs.eclipse.org/bugs/show_bug.cgi?id=151134", "151134")</f>
        <v>151134</v>
      </c>
      <c r="C3185" t="s">
        <v>35</v>
      </c>
      <c r="D3185" t="s">
        <v>11</v>
      </c>
      <c r="E3185" t="s">
        <v>12</v>
      </c>
      <c r="F3185" t="s">
        <v>26</v>
      </c>
      <c r="L3185" t="s">
        <v>14646</v>
      </c>
      <c r="M3185" t="s">
        <v>14647</v>
      </c>
      <c r="N3185" t="s">
        <v>14646</v>
      </c>
      <c r="T3185" t="s">
        <v>14648</v>
      </c>
      <c r="U3185" t="s">
        <v>14649</v>
      </c>
      <c r="V3185" t="s">
        <v>14650</v>
      </c>
      <c r="W3185" t="s">
        <v>851</v>
      </c>
      <c r="X3185" t="s">
        <v>14651</v>
      </c>
      <c r="Y3185">
        <v>0</v>
      </c>
      <c r="Z3185">
        <v>189.04166666666671</v>
      </c>
    </row>
    <row r="3186" spans="1:26">
      <c r="A3186" s="1">
        <v>3184</v>
      </c>
      <c r="B3186" t="str">
        <f>HYPERLINK("https://bugs.eclipse.org/bugs/show_bug.cgi?id=151321", "151321")</f>
        <v>151321</v>
      </c>
      <c r="C3186" t="s">
        <v>88</v>
      </c>
      <c r="D3186" t="s">
        <v>10</v>
      </c>
      <c r="E3186" t="s">
        <v>13</v>
      </c>
      <c r="F3186" t="s">
        <v>26</v>
      </c>
      <c r="L3186" t="s">
        <v>14652</v>
      </c>
      <c r="O3186" t="s">
        <v>14653</v>
      </c>
      <c r="T3186" t="s">
        <v>14654</v>
      </c>
      <c r="U3186" t="s">
        <v>14652</v>
      </c>
      <c r="V3186" t="s">
        <v>14653</v>
      </c>
      <c r="W3186" t="s">
        <v>75</v>
      </c>
      <c r="X3186" t="s">
        <v>14655</v>
      </c>
      <c r="Y3186">
        <v>1</v>
      </c>
      <c r="Z3186">
        <v>1137</v>
      </c>
    </row>
    <row r="3187" spans="1:26">
      <c r="A3187" s="1">
        <v>3185</v>
      </c>
      <c r="B3187" t="str">
        <f>HYPERLINK("https://bugs.eclipse.org/bugs/show_bug.cgi?id=151359", "151359")</f>
        <v>151359</v>
      </c>
      <c r="C3187" t="s">
        <v>149</v>
      </c>
      <c r="D3187" t="s">
        <v>10</v>
      </c>
      <c r="E3187" t="s">
        <v>12</v>
      </c>
      <c r="F3187" t="s">
        <v>26</v>
      </c>
      <c r="L3187" t="s">
        <v>14656</v>
      </c>
      <c r="N3187" t="s">
        <v>14656</v>
      </c>
      <c r="T3187" t="s">
        <v>14657</v>
      </c>
      <c r="U3187" t="s">
        <v>14658</v>
      </c>
      <c r="V3187" t="s">
        <v>14659</v>
      </c>
      <c r="W3187" t="s">
        <v>49</v>
      </c>
      <c r="X3187" t="s">
        <v>14660</v>
      </c>
      <c r="Y3187">
        <v>5</v>
      </c>
      <c r="Z3187">
        <v>328</v>
      </c>
    </row>
    <row r="3188" spans="1:26">
      <c r="A3188" s="1">
        <v>3186</v>
      </c>
      <c r="B3188" t="str">
        <f>HYPERLINK("https://bugs.eclipse.org/bugs/show_bug.cgi?id=151400", "151400")</f>
        <v>151400</v>
      </c>
      <c r="C3188" t="s">
        <v>56</v>
      </c>
      <c r="D3188" t="s">
        <v>10</v>
      </c>
      <c r="E3188" t="s">
        <v>14</v>
      </c>
      <c r="F3188" t="s">
        <v>26</v>
      </c>
      <c r="L3188" t="s">
        <v>14661</v>
      </c>
      <c r="P3188" t="s">
        <v>14661</v>
      </c>
      <c r="T3188" t="s">
        <v>14662</v>
      </c>
      <c r="U3188" t="s">
        <v>14661</v>
      </c>
      <c r="V3188" t="s">
        <v>14661</v>
      </c>
      <c r="W3188" t="s">
        <v>1954</v>
      </c>
      <c r="X3188" t="s">
        <v>14663</v>
      </c>
      <c r="Y3188">
        <v>292</v>
      </c>
      <c r="Z3188">
        <v>292</v>
      </c>
    </row>
    <row r="3189" spans="1:26">
      <c r="A3189" s="1">
        <v>3187</v>
      </c>
      <c r="B3189" t="str">
        <f>HYPERLINK("https://bugs.eclipse.org/bugs/show_bug.cgi?id=151481", "151481")</f>
        <v>151481</v>
      </c>
      <c r="C3189" t="s">
        <v>140</v>
      </c>
      <c r="D3189" t="s">
        <v>10</v>
      </c>
      <c r="E3189" t="s">
        <v>16</v>
      </c>
      <c r="F3189" t="s">
        <v>26</v>
      </c>
      <c r="L3189" t="s">
        <v>14664</v>
      </c>
      <c r="R3189" t="s">
        <v>14664</v>
      </c>
      <c r="T3189" t="s">
        <v>14665</v>
      </c>
      <c r="U3189" t="s">
        <v>14666</v>
      </c>
      <c r="V3189" t="s">
        <v>14664</v>
      </c>
      <c r="W3189" t="s">
        <v>49</v>
      </c>
      <c r="X3189" t="s">
        <v>14667</v>
      </c>
      <c r="Y3189">
        <v>3</v>
      </c>
      <c r="Z3189">
        <v>6</v>
      </c>
    </row>
    <row r="3190" spans="1:26">
      <c r="A3190" s="1">
        <v>3188</v>
      </c>
      <c r="B3190" t="str">
        <f>HYPERLINK("https://bugs.eclipse.org/bugs/show_bug.cgi?id=151484", "151484")</f>
        <v>151484</v>
      </c>
      <c r="C3190" t="s">
        <v>191</v>
      </c>
      <c r="D3190" t="s">
        <v>192</v>
      </c>
      <c r="E3190" t="s">
        <v>14</v>
      </c>
      <c r="F3190" t="s">
        <v>26</v>
      </c>
      <c r="T3190" t="s">
        <v>14668</v>
      </c>
      <c r="U3190" t="s">
        <v>14669</v>
      </c>
      <c r="V3190" t="s">
        <v>14670</v>
      </c>
      <c r="W3190" t="s">
        <v>65</v>
      </c>
      <c r="X3190" t="s">
        <v>14671</v>
      </c>
      <c r="Y3190">
        <v>3</v>
      </c>
      <c r="Z3190">
        <v>4914.041666666667</v>
      </c>
    </row>
    <row r="3191" spans="1:26">
      <c r="A3191" s="1">
        <v>3189</v>
      </c>
      <c r="B3191" t="str">
        <f>HYPERLINK("https://bugs.eclipse.org/bugs/show_bug.cgi?id=151582", "151582")</f>
        <v>151582</v>
      </c>
      <c r="C3191" t="s">
        <v>56</v>
      </c>
      <c r="D3191" t="s">
        <v>10</v>
      </c>
      <c r="E3191" t="s">
        <v>14</v>
      </c>
      <c r="F3191" t="s">
        <v>26</v>
      </c>
      <c r="L3191" t="s">
        <v>14672</v>
      </c>
      <c r="P3191" t="s">
        <v>14672</v>
      </c>
      <c r="T3191" t="s">
        <v>14673</v>
      </c>
      <c r="U3191" t="s">
        <v>14672</v>
      </c>
      <c r="V3191" t="s">
        <v>14672</v>
      </c>
      <c r="W3191" t="s">
        <v>2668</v>
      </c>
      <c r="X3191" t="s">
        <v>14674</v>
      </c>
      <c r="Y3191">
        <v>0</v>
      </c>
      <c r="Z3191">
        <v>0</v>
      </c>
    </row>
    <row r="3192" spans="1:26">
      <c r="A3192" s="1">
        <v>3190</v>
      </c>
      <c r="B3192" t="str">
        <f>HYPERLINK("https://bugs.eclipse.org/bugs/show_bug.cgi?id=151611", "151611")</f>
        <v>151611</v>
      </c>
      <c r="C3192" t="s">
        <v>35</v>
      </c>
      <c r="D3192" t="s">
        <v>11</v>
      </c>
      <c r="E3192" t="s">
        <v>12</v>
      </c>
      <c r="F3192" t="s">
        <v>26</v>
      </c>
      <c r="L3192" t="s">
        <v>14675</v>
      </c>
      <c r="M3192" t="s">
        <v>14676</v>
      </c>
      <c r="N3192" t="s">
        <v>14675</v>
      </c>
      <c r="T3192" t="s">
        <v>14677</v>
      </c>
      <c r="U3192" t="s">
        <v>14678</v>
      </c>
      <c r="V3192" t="s">
        <v>14676</v>
      </c>
      <c r="W3192" t="s">
        <v>1954</v>
      </c>
      <c r="X3192" t="s">
        <v>14679</v>
      </c>
      <c r="Y3192">
        <v>0</v>
      </c>
      <c r="Z3192">
        <v>38</v>
      </c>
    </row>
    <row r="3193" spans="1:26">
      <c r="A3193" s="1">
        <v>3191</v>
      </c>
      <c r="B3193" t="str">
        <f>HYPERLINK("https://bugs.eclipse.org/bugs/show_bug.cgi?id=151640", "151640")</f>
        <v>151640</v>
      </c>
      <c r="C3193" t="s">
        <v>25</v>
      </c>
      <c r="D3193" t="s">
        <v>25</v>
      </c>
      <c r="F3193" t="s">
        <v>26</v>
      </c>
      <c r="T3193" t="s">
        <v>14680</v>
      </c>
      <c r="U3193" t="s">
        <v>14681</v>
      </c>
      <c r="V3193" t="s">
        <v>14682</v>
      </c>
      <c r="W3193" t="s">
        <v>49</v>
      </c>
      <c r="X3193" t="s">
        <v>14683</v>
      </c>
      <c r="Y3193">
        <v>0</v>
      </c>
    </row>
    <row r="3194" spans="1:26">
      <c r="A3194" s="1">
        <v>3192</v>
      </c>
      <c r="B3194" t="str">
        <f>HYPERLINK("https://bugs.eclipse.org/bugs/show_bug.cgi?id=151668", "151668")</f>
        <v>151668</v>
      </c>
      <c r="C3194" t="s">
        <v>149</v>
      </c>
      <c r="D3194" t="s">
        <v>10</v>
      </c>
      <c r="E3194" t="s">
        <v>12</v>
      </c>
      <c r="F3194" t="s">
        <v>26</v>
      </c>
      <c r="G3194" t="s">
        <v>14684</v>
      </c>
      <c r="L3194" t="s">
        <v>14685</v>
      </c>
      <c r="N3194" t="s">
        <v>14685</v>
      </c>
      <c r="P3194" t="s">
        <v>14686</v>
      </c>
      <c r="S3194" t="s">
        <v>14687</v>
      </c>
      <c r="T3194" t="s">
        <v>14688</v>
      </c>
      <c r="U3194" t="s">
        <v>14686</v>
      </c>
      <c r="V3194" t="s">
        <v>14689</v>
      </c>
      <c r="W3194" t="s">
        <v>14690</v>
      </c>
      <c r="X3194" t="s">
        <v>14691</v>
      </c>
      <c r="Y3194">
        <v>0</v>
      </c>
      <c r="Z3194">
        <v>4362</v>
      </c>
    </row>
    <row r="3195" spans="1:26">
      <c r="A3195" s="1">
        <v>3193</v>
      </c>
      <c r="B3195" t="str">
        <f>HYPERLINK("https://bugs.eclipse.org/bugs/show_bug.cgi?id=151683", "151683")</f>
        <v>151683</v>
      </c>
      <c r="C3195" t="s">
        <v>35</v>
      </c>
      <c r="D3195" t="s">
        <v>11</v>
      </c>
      <c r="E3195" t="s">
        <v>12</v>
      </c>
      <c r="F3195" t="s">
        <v>145</v>
      </c>
      <c r="G3195" t="s">
        <v>14692</v>
      </c>
      <c r="L3195" t="s">
        <v>14693</v>
      </c>
      <c r="M3195" t="s">
        <v>14694</v>
      </c>
      <c r="N3195" t="s">
        <v>14693</v>
      </c>
      <c r="T3195" t="s">
        <v>14695</v>
      </c>
      <c r="U3195" t="s">
        <v>14696</v>
      </c>
      <c r="V3195" t="s">
        <v>14697</v>
      </c>
      <c r="W3195" t="s">
        <v>1954</v>
      </c>
      <c r="X3195" t="s">
        <v>14698</v>
      </c>
      <c r="Y3195">
        <v>0</v>
      </c>
      <c r="Z3195">
        <v>660</v>
      </c>
    </row>
    <row r="3196" spans="1:26">
      <c r="A3196" s="1">
        <v>3194</v>
      </c>
      <c r="B3196" t="str">
        <f>HYPERLINK("https://bugs.eclipse.org/bugs/show_bug.cgi?id=151923", "151923")</f>
        <v>151923</v>
      </c>
      <c r="C3196" t="s">
        <v>12677</v>
      </c>
      <c r="D3196" t="s">
        <v>10</v>
      </c>
      <c r="E3196" t="s">
        <v>15</v>
      </c>
      <c r="F3196" t="s">
        <v>26</v>
      </c>
      <c r="L3196" t="s">
        <v>14699</v>
      </c>
      <c r="Q3196" t="s">
        <v>14699</v>
      </c>
      <c r="T3196" t="s">
        <v>14700</v>
      </c>
      <c r="U3196" t="s">
        <v>14701</v>
      </c>
      <c r="V3196" t="s">
        <v>14699</v>
      </c>
      <c r="W3196" t="s">
        <v>49</v>
      </c>
      <c r="X3196" t="s">
        <v>14702</v>
      </c>
      <c r="Y3196">
        <v>1</v>
      </c>
      <c r="Z3196">
        <v>8</v>
      </c>
    </row>
    <row r="3197" spans="1:26">
      <c r="A3197" s="1">
        <v>3195</v>
      </c>
      <c r="B3197" t="str">
        <f>HYPERLINK("https://bugs.eclipse.org/bugs/show_bug.cgi?id=152116", "152116")</f>
        <v>152116</v>
      </c>
      <c r="C3197" t="s">
        <v>14703</v>
      </c>
      <c r="D3197" t="s">
        <v>10</v>
      </c>
      <c r="E3197" t="s">
        <v>15</v>
      </c>
      <c r="F3197" t="s">
        <v>26</v>
      </c>
      <c r="L3197" t="s">
        <v>14704</v>
      </c>
      <c r="Q3197" t="s">
        <v>14704</v>
      </c>
      <c r="T3197" t="s">
        <v>14705</v>
      </c>
      <c r="U3197" t="s">
        <v>14706</v>
      </c>
      <c r="V3197" t="s">
        <v>14704</v>
      </c>
      <c r="W3197" t="s">
        <v>851</v>
      </c>
      <c r="X3197" t="s">
        <v>14707</v>
      </c>
      <c r="Y3197">
        <v>5</v>
      </c>
      <c r="Z3197">
        <v>361</v>
      </c>
    </row>
    <row r="3198" spans="1:26">
      <c r="A3198" s="1">
        <v>3196</v>
      </c>
      <c r="B3198" t="str">
        <f>HYPERLINK("https://bugs.eclipse.org/bugs/show_bug.cgi?id=152142", "152142")</f>
        <v>152142</v>
      </c>
      <c r="C3198" t="s">
        <v>149</v>
      </c>
      <c r="D3198" t="s">
        <v>10</v>
      </c>
      <c r="E3198" t="s">
        <v>12</v>
      </c>
      <c r="F3198" t="s">
        <v>26</v>
      </c>
      <c r="L3198" t="s">
        <v>14708</v>
      </c>
      <c r="N3198" t="s">
        <v>14708</v>
      </c>
      <c r="T3198" t="s">
        <v>14709</v>
      </c>
      <c r="U3198" t="s">
        <v>14710</v>
      </c>
      <c r="V3198" t="s">
        <v>14711</v>
      </c>
      <c r="W3198" t="s">
        <v>1954</v>
      </c>
      <c r="X3198" t="s">
        <v>14712</v>
      </c>
      <c r="Y3198">
        <v>3</v>
      </c>
      <c r="Z3198">
        <v>382</v>
      </c>
    </row>
    <row r="3199" spans="1:26">
      <c r="A3199" s="1">
        <v>3197</v>
      </c>
      <c r="B3199" t="str">
        <f>HYPERLINK("https://bugs.eclipse.org/bugs/show_bug.cgi?id=152168", "152168")</f>
        <v>152168</v>
      </c>
      <c r="C3199" t="s">
        <v>8572</v>
      </c>
      <c r="D3199" t="s">
        <v>10</v>
      </c>
      <c r="E3199" t="s">
        <v>15</v>
      </c>
      <c r="F3199" t="s">
        <v>26</v>
      </c>
      <c r="L3199" t="s">
        <v>14713</v>
      </c>
      <c r="Q3199" t="s">
        <v>14713</v>
      </c>
      <c r="T3199" t="s">
        <v>14714</v>
      </c>
      <c r="U3199" t="s">
        <v>14715</v>
      </c>
      <c r="V3199" t="s">
        <v>14713</v>
      </c>
      <c r="W3199" t="s">
        <v>49</v>
      </c>
      <c r="X3199" t="s">
        <v>14716</v>
      </c>
      <c r="Y3199">
        <v>3</v>
      </c>
      <c r="Z3199">
        <v>5</v>
      </c>
    </row>
    <row r="3200" spans="1:26">
      <c r="A3200" s="1">
        <v>3198</v>
      </c>
      <c r="B3200" t="str">
        <f>HYPERLINK("https://bugs.eclipse.org/bugs/show_bug.cgi?id=152362", "152362")</f>
        <v>152362</v>
      </c>
      <c r="C3200" t="s">
        <v>25</v>
      </c>
      <c r="D3200" t="s">
        <v>25</v>
      </c>
      <c r="F3200" t="s">
        <v>26</v>
      </c>
      <c r="G3200" t="s">
        <v>14717</v>
      </c>
      <c r="L3200" t="s">
        <v>14718</v>
      </c>
      <c r="P3200" t="s">
        <v>14719</v>
      </c>
      <c r="S3200" t="s">
        <v>14720</v>
      </c>
      <c r="T3200" t="s">
        <v>14721</v>
      </c>
      <c r="U3200" t="s">
        <v>14722</v>
      </c>
      <c r="V3200" t="s">
        <v>14723</v>
      </c>
      <c r="W3200" t="s">
        <v>14724</v>
      </c>
      <c r="X3200" t="s">
        <v>14725</v>
      </c>
      <c r="Y3200">
        <v>1</v>
      </c>
    </row>
    <row r="3201" spans="1:26">
      <c r="A3201" s="1">
        <v>3199</v>
      </c>
      <c r="B3201" t="str">
        <f>HYPERLINK("https://bugs.eclipse.org/bugs/show_bug.cgi?id=152402", "152402")</f>
        <v>152402</v>
      </c>
      <c r="C3201" t="s">
        <v>14726</v>
      </c>
      <c r="D3201" t="s">
        <v>10</v>
      </c>
      <c r="E3201" t="s">
        <v>15</v>
      </c>
      <c r="F3201" t="s">
        <v>26</v>
      </c>
      <c r="G3201" t="s">
        <v>14727</v>
      </c>
      <c r="L3201" t="s">
        <v>14728</v>
      </c>
      <c r="Q3201" t="s">
        <v>14728</v>
      </c>
      <c r="T3201" t="s">
        <v>14729</v>
      </c>
      <c r="U3201" t="s">
        <v>14730</v>
      </c>
      <c r="V3201" t="s">
        <v>14728</v>
      </c>
      <c r="W3201" t="s">
        <v>1954</v>
      </c>
      <c r="X3201" t="s">
        <v>14731</v>
      </c>
      <c r="Y3201">
        <v>2</v>
      </c>
      <c r="Z3201">
        <v>168.04166666666671</v>
      </c>
    </row>
    <row r="3202" spans="1:26">
      <c r="A3202" s="1">
        <v>3200</v>
      </c>
      <c r="B3202" t="str">
        <f>HYPERLINK("https://bugs.eclipse.org/bugs/show_bug.cgi?id=152703", "152703")</f>
        <v>152703</v>
      </c>
      <c r="C3202" t="s">
        <v>14732</v>
      </c>
      <c r="D3202" t="s">
        <v>10</v>
      </c>
      <c r="E3202" t="s">
        <v>15</v>
      </c>
      <c r="F3202" t="s">
        <v>26</v>
      </c>
      <c r="L3202" t="s">
        <v>14733</v>
      </c>
      <c r="Q3202" t="s">
        <v>14733</v>
      </c>
      <c r="T3202" t="s">
        <v>14734</v>
      </c>
      <c r="U3202" t="s">
        <v>14733</v>
      </c>
      <c r="V3202" t="s">
        <v>14733</v>
      </c>
      <c r="W3202" t="s">
        <v>49</v>
      </c>
      <c r="X3202" t="s">
        <v>14735</v>
      </c>
      <c r="Y3202">
        <v>0</v>
      </c>
      <c r="Z3202">
        <v>0</v>
      </c>
    </row>
    <row r="3203" spans="1:26">
      <c r="A3203" s="1">
        <v>3201</v>
      </c>
      <c r="B3203" t="str">
        <f>HYPERLINK("https://bugs.eclipse.org/bugs/show_bug.cgi?id=152777", "152777")</f>
        <v>152777</v>
      </c>
      <c r="C3203" t="s">
        <v>140</v>
      </c>
      <c r="D3203" t="s">
        <v>10</v>
      </c>
      <c r="E3203" t="s">
        <v>16</v>
      </c>
      <c r="F3203" t="s">
        <v>26</v>
      </c>
      <c r="L3203" t="s">
        <v>14736</v>
      </c>
      <c r="R3203" t="s">
        <v>14736</v>
      </c>
      <c r="T3203" t="s">
        <v>14737</v>
      </c>
      <c r="U3203" t="s">
        <v>14738</v>
      </c>
      <c r="V3203" t="s">
        <v>14736</v>
      </c>
      <c r="W3203" t="s">
        <v>851</v>
      </c>
      <c r="X3203" t="s">
        <v>14739</v>
      </c>
      <c r="Y3203">
        <v>1</v>
      </c>
      <c r="Z3203">
        <v>4</v>
      </c>
    </row>
    <row r="3204" spans="1:26">
      <c r="A3204" s="1">
        <v>3202</v>
      </c>
      <c r="B3204" t="str">
        <f>HYPERLINK("https://bugs.eclipse.org/bugs/show_bug.cgi?id=152899", "152899")</f>
        <v>152899</v>
      </c>
      <c r="C3204" t="s">
        <v>4692</v>
      </c>
      <c r="D3204" t="s">
        <v>4692</v>
      </c>
      <c r="F3204" t="s">
        <v>26</v>
      </c>
      <c r="T3204" t="s">
        <v>14740</v>
      </c>
      <c r="U3204" t="s">
        <v>14741</v>
      </c>
      <c r="V3204" t="s">
        <v>14742</v>
      </c>
      <c r="W3204" t="s">
        <v>49</v>
      </c>
      <c r="X3204" t="s">
        <v>14743</v>
      </c>
      <c r="Y3204">
        <v>2</v>
      </c>
    </row>
    <row r="3205" spans="1:26">
      <c r="A3205" s="1">
        <v>3203</v>
      </c>
      <c r="B3205" t="str">
        <f>HYPERLINK("https://bugs.eclipse.org/bugs/show_bug.cgi?id=152960", "152960")</f>
        <v>152960</v>
      </c>
      <c r="C3205" t="s">
        <v>14451</v>
      </c>
      <c r="D3205" t="s">
        <v>10</v>
      </c>
      <c r="E3205" t="s">
        <v>15</v>
      </c>
      <c r="F3205" t="s">
        <v>26</v>
      </c>
      <c r="L3205" t="s">
        <v>14744</v>
      </c>
      <c r="Q3205" t="s">
        <v>14744</v>
      </c>
      <c r="T3205" t="s">
        <v>14745</v>
      </c>
      <c r="U3205" t="s">
        <v>14746</v>
      </c>
      <c r="V3205" t="s">
        <v>14744</v>
      </c>
      <c r="W3205" t="s">
        <v>49</v>
      </c>
      <c r="X3205" t="s">
        <v>14747</v>
      </c>
      <c r="Y3205">
        <v>0</v>
      </c>
      <c r="Z3205">
        <v>0</v>
      </c>
    </row>
    <row r="3206" spans="1:26">
      <c r="A3206" s="1">
        <v>3204</v>
      </c>
      <c r="B3206" t="str">
        <f>HYPERLINK("https://bugs.eclipse.org/bugs/show_bug.cgi?id=152971", "152971")</f>
        <v>152971</v>
      </c>
      <c r="C3206" t="s">
        <v>14476</v>
      </c>
      <c r="D3206" t="s">
        <v>10</v>
      </c>
      <c r="E3206" t="s">
        <v>15</v>
      </c>
      <c r="F3206" t="s">
        <v>26</v>
      </c>
      <c r="L3206" t="s">
        <v>14748</v>
      </c>
      <c r="Q3206" t="s">
        <v>14748</v>
      </c>
      <c r="T3206" t="s">
        <v>14749</v>
      </c>
      <c r="U3206" t="s">
        <v>14748</v>
      </c>
      <c r="V3206" t="s">
        <v>14748</v>
      </c>
      <c r="W3206" t="s">
        <v>49</v>
      </c>
      <c r="X3206" t="s">
        <v>14750</v>
      </c>
      <c r="Y3206">
        <v>0</v>
      </c>
      <c r="Z3206">
        <v>0</v>
      </c>
    </row>
    <row r="3207" spans="1:26">
      <c r="A3207" s="1">
        <v>3205</v>
      </c>
      <c r="B3207" t="str">
        <f>HYPERLINK("https://bugs.eclipse.org/bugs/show_bug.cgi?id=153050", "153050")</f>
        <v>153050</v>
      </c>
      <c r="C3207" t="s">
        <v>35</v>
      </c>
      <c r="D3207" t="s">
        <v>11</v>
      </c>
      <c r="E3207" t="s">
        <v>12</v>
      </c>
      <c r="F3207" t="s">
        <v>26</v>
      </c>
      <c r="L3207" t="s">
        <v>14751</v>
      </c>
      <c r="M3207" t="s">
        <v>14752</v>
      </c>
      <c r="N3207" t="s">
        <v>14751</v>
      </c>
      <c r="T3207" t="s">
        <v>14753</v>
      </c>
      <c r="U3207" t="s">
        <v>14754</v>
      </c>
      <c r="V3207" t="s">
        <v>14752</v>
      </c>
      <c r="W3207" t="s">
        <v>49</v>
      </c>
      <c r="X3207" t="s">
        <v>14755</v>
      </c>
      <c r="Y3207">
        <v>0</v>
      </c>
      <c r="Z3207">
        <v>2</v>
      </c>
    </row>
    <row r="3208" spans="1:26">
      <c r="A3208" s="1">
        <v>3206</v>
      </c>
      <c r="B3208" t="str">
        <f>HYPERLINK("https://bugs.eclipse.org/bugs/show_bug.cgi?id=153075", "153075")</f>
        <v>153075</v>
      </c>
      <c r="C3208" t="s">
        <v>191</v>
      </c>
      <c r="D3208" t="s">
        <v>192</v>
      </c>
      <c r="E3208" t="s">
        <v>14</v>
      </c>
      <c r="F3208" t="s">
        <v>26</v>
      </c>
      <c r="P3208" t="s">
        <v>14756</v>
      </c>
      <c r="T3208" t="s">
        <v>14757</v>
      </c>
      <c r="U3208" t="s">
        <v>14758</v>
      </c>
      <c r="V3208" t="s">
        <v>14756</v>
      </c>
      <c r="W3208" t="s">
        <v>65</v>
      </c>
      <c r="X3208" t="s">
        <v>14759</v>
      </c>
      <c r="Y3208">
        <v>0</v>
      </c>
      <c r="Z3208">
        <v>5012</v>
      </c>
    </row>
    <row r="3209" spans="1:26">
      <c r="A3209" s="1">
        <v>3207</v>
      </c>
      <c r="B3209" t="str">
        <f>HYPERLINK("https://bugs.eclipse.org/bugs/show_bug.cgi?id=153312", "153312")</f>
        <v>153312</v>
      </c>
      <c r="C3209" t="s">
        <v>149</v>
      </c>
      <c r="D3209" t="s">
        <v>10</v>
      </c>
      <c r="E3209" t="s">
        <v>12</v>
      </c>
      <c r="F3209" t="s">
        <v>26</v>
      </c>
      <c r="G3209" t="s">
        <v>14760</v>
      </c>
      <c r="L3209" t="s">
        <v>14761</v>
      </c>
      <c r="N3209" t="s">
        <v>14761</v>
      </c>
      <c r="T3209" t="s">
        <v>14762</v>
      </c>
      <c r="U3209" t="s">
        <v>14763</v>
      </c>
      <c r="V3209" t="s">
        <v>14761</v>
      </c>
      <c r="W3209" t="s">
        <v>851</v>
      </c>
      <c r="X3209" t="s">
        <v>14764</v>
      </c>
      <c r="Y3209">
        <v>1</v>
      </c>
      <c r="Z3209">
        <v>370</v>
      </c>
    </row>
    <row r="3210" spans="1:26">
      <c r="A3210" s="1">
        <v>3208</v>
      </c>
      <c r="B3210" t="str">
        <f>HYPERLINK("https://bugs.eclipse.org/bugs/show_bug.cgi?id=153410", "153410")</f>
        <v>153410</v>
      </c>
      <c r="C3210" t="s">
        <v>14765</v>
      </c>
      <c r="D3210" t="s">
        <v>192</v>
      </c>
      <c r="E3210" t="s">
        <v>15</v>
      </c>
      <c r="F3210" t="s">
        <v>26</v>
      </c>
      <c r="Q3210" t="s">
        <v>14766</v>
      </c>
      <c r="T3210" t="s">
        <v>14767</v>
      </c>
      <c r="U3210" t="s">
        <v>14768</v>
      </c>
      <c r="V3210" t="s">
        <v>14766</v>
      </c>
      <c r="W3210" t="s">
        <v>851</v>
      </c>
      <c r="X3210" t="s">
        <v>14769</v>
      </c>
      <c r="Y3210">
        <v>6</v>
      </c>
      <c r="Z3210">
        <v>2111</v>
      </c>
    </row>
    <row r="3211" spans="1:26">
      <c r="A3211" s="1">
        <v>3209</v>
      </c>
      <c r="B3211" t="str">
        <f>HYPERLINK("https://bugs.eclipse.org/bugs/show_bug.cgi?id=153434", "153434")</f>
        <v>153434</v>
      </c>
      <c r="C3211" t="s">
        <v>35</v>
      </c>
      <c r="D3211" t="s">
        <v>11</v>
      </c>
      <c r="E3211" t="s">
        <v>12</v>
      </c>
      <c r="F3211" t="s">
        <v>26</v>
      </c>
      <c r="G3211" t="s">
        <v>14770</v>
      </c>
      <c r="L3211" t="s">
        <v>14771</v>
      </c>
      <c r="M3211" t="s">
        <v>14772</v>
      </c>
      <c r="N3211" t="s">
        <v>14771</v>
      </c>
      <c r="T3211" t="s">
        <v>14773</v>
      </c>
      <c r="U3211" t="s">
        <v>14774</v>
      </c>
      <c r="V3211" t="s">
        <v>14775</v>
      </c>
      <c r="W3211" t="s">
        <v>49</v>
      </c>
      <c r="X3211" t="s">
        <v>14776</v>
      </c>
      <c r="Y3211">
        <v>0</v>
      </c>
      <c r="Z3211">
        <v>21</v>
      </c>
    </row>
    <row r="3212" spans="1:26">
      <c r="A3212" s="1">
        <v>3210</v>
      </c>
      <c r="B3212" t="str">
        <f>HYPERLINK("https://bugs.eclipse.org/bugs/show_bug.cgi?id=153560", "153560")</f>
        <v>153560</v>
      </c>
      <c r="C3212" t="s">
        <v>25</v>
      </c>
      <c r="D3212" t="s">
        <v>25</v>
      </c>
      <c r="F3212" t="s">
        <v>26</v>
      </c>
      <c r="T3212" t="s">
        <v>14777</v>
      </c>
      <c r="U3212" t="s">
        <v>14778</v>
      </c>
      <c r="V3212" t="s">
        <v>14779</v>
      </c>
      <c r="W3212" t="s">
        <v>143</v>
      </c>
      <c r="X3212" t="s">
        <v>14780</v>
      </c>
      <c r="Y3212">
        <v>3</v>
      </c>
    </row>
    <row r="3213" spans="1:26">
      <c r="A3213" s="1">
        <v>3211</v>
      </c>
      <c r="B3213" t="str">
        <f>HYPERLINK("https://bugs.eclipse.org/bugs/show_bug.cgi?id=153751", "153751")</f>
        <v>153751</v>
      </c>
      <c r="C3213" t="s">
        <v>149</v>
      </c>
      <c r="D3213" t="s">
        <v>10</v>
      </c>
      <c r="E3213" t="s">
        <v>12</v>
      </c>
      <c r="F3213" t="s">
        <v>26</v>
      </c>
      <c r="L3213" t="s">
        <v>14781</v>
      </c>
      <c r="N3213" t="s">
        <v>14781</v>
      </c>
      <c r="T3213" t="s">
        <v>14782</v>
      </c>
      <c r="U3213" t="s">
        <v>14783</v>
      </c>
      <c r="V3213" t="s">
        <v>14781</v>
      </c>
      <c r="W3213" t="s">
        <v>1954</v>
      </c>
      <c r="X3213" t="s">
        <v>14784</v>
      </c>
      <c r="Y3213">
        <v>0</v>
      </c>
      <c r="Z3213">
        <v>232</v>
      </c>
    </row>
    <row r="3214" spans="1:26">
      <c r="A3214" s="1">
        <v>3212</v>
      </c>
      <c r="B3214" t="str">
        <f>HYPERLINK("https://bugs.eclipse.org/bugs/show_bug.cgi?id=153755", "153755")</f>
        <v>153755</v>
      </c>
      <c r="C3214" t="s">
        <v>149</v>
      </c>
      <c r="D3214" t="s">
        <v>10</v>
      </c>
      <c r="E3214" t="s">
        <v>12</v>
      </c>
      <c r="F3214" t="s">
        <v>26</v>
      </c>
      <c r="G3214" t="s">
        <v>14785</v>
      </c>
      <c r="L3214" t="s">
        <v>14786</v>
      </c>
      <c r="N3214" t="s">
        <v>14786</v>
      </c>
      <c r="T3214" t="s">
        <v>14787</v>
      </c>
      <c r="U3214" t="s">
        <v>14788</v>
      </c>
      <c r="V3214" t="s">
        <v>14786</v>
      </c>
      <c r="W3214" t="s">
        <v>143</v>
      </c>
      <c r="X3214" t="s">
        <v>14789</v>
      </c>
      <c r="Y3214">
        <v>0</v>
      </c>
      <c r="Z3214">
        <v>794</v>
      </c>
    </row>
    <row r="3215" spans="1:26">
      <c r="A3215" s="1">
        <v>3213</v>
      </c>
      <c r="B3215" t="str">
        <f>HYPERLINK("https://bugs.eclipse.org/bugs/show_bug.cgi?id=153884", "153884")</f>
        <v>153884</v>
      </c>
      <c r="C3215" t="s">
        <v>35</v>
      </c>
      <c r="D3215" t="s">
        <v>11</v>
      </c>
      <c r="E3215" t="s">
        <v>12</v>
      </c>
      <c r="F3215" t="s">
        <v>26</v>
      </c>
      <c r="L3215" t="s">
        <v>14790</v>
      </c>
      <c r="M3215" t="s">
        <v>14791</v>
      </c>
      <c r="N3215" t="s">
        <v>14790</v>
      </c>
      <c r="T3215" t="s">
        <v>14792</v>
      </c>
      <c r="U3215" t="s">
        <v>14790</v>
      </c>
      <c r="V3215" t="s">
        <v>14791</v>
      </c>
      <c r="W3215" t="s">
        <v>143</v>
      </c>
      <c r="X3215" t="s">
        <v>14793</v>
      </c>
      <c r="Y3215">
        <v>0</v>
      </c>
      <c r="Z3215">
        <v>35</v>
      </c>
    </row>
    <row r="3216" spans="1:26">
      <c r="A3216" s="1">
        <v>3214</v>
      </c>
      <c r="B3216" t="str">
        <f>HYPERLINK("https://bugs.eclipse.org/bugs/show_bug.cgi?id=154108", "154108")</f>
        <v>154108</v>
      </c>
      <c r="C3216" t="s">
        <v>149</v>
      </c>
      <c r="D3216" t="s">
        <v>10</v>
      </c>
      <c r="E3216" t="s">
        <v>12</v>
      </c>
      <c r="F3216" t="s">
        <v>51</v>
      </c>
      <c r="L3216" t="s">
        <v>14794</v>
      </c>
      <c r="N3216" t="s">
        <v>14794</v>
      </c>
      <c r="T3216" t="s">
        <v>14795</v>
      </c>
      <c r="U3216" t="s">
        <v>14796</v>
      </c>
      <c r="V3216" t="s">
        <v>14794</v>
      </c>
      <c r="W3216" t="s">
        <v>49</v>
      </c>
      <c r="X3216" t="s">
        <v>14797</v>
      </c>
      <c r="Y3216">
        <v>0</v>
      </c>
      <c r="Z3216">
        <v>266</v>
      </c>
    </row>
    <row r="3217" spans="1:26">
      <c r="A3217" s="1">
        <v>3215</v>
      </c>
      <c r="B3217" t="str">
        <f>HYPERLINK("https://bugs.eclipse.org/bugs/show_bug.cgi?id=154199", "154199")</f>
        <v>154199</v>
      </c>
      <c r="C3217" t="s">
        <v>35</v>
      </c>
      <c r="D3217" t="s">
        <v>11</v>
      </c>
      <c r="E3217" t="s">
        <v>12</v>
      </c>
      <c r="F3217" t="s">
        <v>26</v>
      </c>
      <c r="G3217" t="s">
        <v>14798</v>
      </c>
      <c r="L3217" t="s">
        <v>14799</v>
      </c>
      <c r="M3217" t="s">
        <v>14800</v>
      </c>
      <c r="N3217" t="s">
        <v>14799</v>
      </c>
      <c r="Q3217" t="s">
        <v>14801</v>
      </c>
      <c r="S3217" t="s">
        <v>14802</v>
      </c>
      <c r="T3217" t="s">
        <v>14803</v>
      </c>
      <c r="U3217" t="s">
        <v>14804</v>
      </c>
      <c r="V3217" t="s">
        <v>14800</v>
      </c>
      <c r="W3217" t="s">
        <v>1954</v>
      </c>
      <c r="X3217" t="s">
        <v>14805</v>
      </c>
      <c r="Y3217">
        <v>4</v>
      </c>
      <c r="Z3217">
        <v>565.04166666666663</v>
      </c>
    </row>
    <row r="3218" spans="1:26">
      <c r="A3218" s="1">
        <v>3216</v>
      </c>
      <c r="B3218" t="str">
        <f>HYPERLINK("https://bugs.eclipse.org/bugs/show_bug.cgi?id=154216", "154216")</f>
        <v>154216</v>
      </c>
      <c r="C3218" t="s">
        <v>14806</v>
      </c>
      <c r="D3218" t="s">
        <v>10</v>
      </c>
      <c r="E3218" t="s">
        <v>15</v>
      </c>
      <c r="F3218" t="s">
        <v>26</v>
      </c>
      <c r="L3218" t="s">
        <v>14807</v>
      </c>
      <c r="Q3218" t="s">
        <v>14807</v>
      </c>
      <c r="T3218" t="s">
        <v>14808</v>
      </c>
      <c r="U3218" t="s">
        <v>14809</v>
      </c>
      <c r="V3218" t="s">
        <v>14807</v>
      </c>
      <c r="W3218" t="s">
        <v>49</v>
      </c>
      <c r="X3218" t="s">
        <v>14810</v>
      </c>
      <c r="Y3218">
        <v>0</v>
      </c>
      <c r="Z3218">
        <v>413</v>
      </c>
    </row>
    <row r="3219" spans="1:26">
      <c r="A3219" s="1">
        <v>3217</v>
      </c>
      <c r="B3219" t="str">
        <f>HYPERLINK("https://bugs.eclipse.org/bugs/show_bug.cgi?id=154238", "154238")</f>
        <v>154238</v>
      </c>
      <c r="C3219" t="s">
        <v>149</v>
      </c>
      <c r="D3219" t="s">
        <v>10</v>
      </c>
      <c r="E3219" t="s">
        <v>12</v>
      </c>
      <c r="F3219" t="s">
        <v>26</v>
      </c>
      <c r="G3219" t="s">
        <v>14811</v>
      </c>
      <c r="L3219" t="s">
        <v>14812</v>
      </c>
      <c r="N3219" t="s">
        <v>14812</v>
      </c>
      <c r="T3219" t="s">
        <v>14813</v>
      </c>
      <c r="U3219" t="s">
        <v>14814</v>
      </c>
      <c r="V3219" t="s">
        <v>14815</v>
      </c>
      <c r="W3219" t="s">
        <v>143</v>
      </c>
      <c r="X3219" t="s">
        <v>14816</v>
      </c>
      <c r="Y3219">
        <v>0</v>
      </c>
      <c r="Z3219">
        <v>30</v>
      </c>
    </row>
    <row r="3220" spans="1:26">
      <c r="A3220" s="1">
        <v>3218</v>
      </c>
      <c r="B3220" t="str">
        <f>HYPERLINK("https://bugs.eclipse.org/bugs/show_bug.cgi?id=154360", "154360")</f>
        <v>154360</v>
      </c>
      <c r="C3220" t="s">
        <v>191</v>
      </c>
      <c r="D3220" t="s">
        <v>192</v>
      </c>
      <c r="E3220" t="s">
        <v>14</v>
      </c>
      <c r="F3220" t="s">
        <v>26</v>
      </c>
      <c r="P3220" t="s">
        <v>14817</v>
      </c>
      <c r="T3220" t="s">
        <v>14818</v>
      </c>
      <c r="U3220" t="s">
        <v>14819</v>
      </c>
      <c r="V3220" t="s">
        <v>14817</v>
      </c>
      <c r="W3220" t="s">
        <v>65</v>
      </c>
      <c r="X3220" t="s">
        <v>14820</v>
      </c>
      <c r="Y3220">
        <v>0</v>
      </c>
      <c r="Z3220">
        <v>4933.041666666667</v>
      </c>
    </row>
    <row r="3221" spans="1:26">
      <c r="A3221" s="1">
        <v>3219</v>
      </c>
      <c r="B3221" t="str">
        <f>HYPERLINK("https://bugs.eclipse.org/bugs/show_bug.cgi?id=154417", "154417")</f>
        <v>154417</v>
      </c>
      <c r="C3221" t="s">
        <v>35</v>
      </c>
      <c r="D3221" t="s">
        <v>11</v>
      </c>
      <c r="E3221" t="s">
        <v>12</v>
      </c>
      <c r="F3221" t="s">
        <v>150</v>
      </c>
      <c r="L3221" t="s">
        <v>14821</v>
      </c>
      <c r="M3221" t="s">
        <v>14822</v>
      </c>
      <c r="N3221" t="s">
        <v>14821</v>
      </c>
      <c r="T3221" t="s">
        <v>14823</v>
      </c>
      <c r="U3221" t="s">
        <v>14824</v>
      </c>
      <c r="V3221" t="s">
        <v>14822</v>
      </c>
      <c r="W3221" t="s">
        <v>49</v>
      </c>
      <c r="X3221" t="s">
        <v>14825</v>
      </c>
      <c r="Y3221">
        <v>3</v>
      </c>
      <c r="Z3221">
        <v>257</v>
      </c>
    </row>
    <row r="3222" spans="1:26">
      <c r="A3222" s="1">
        <v>3220</v>
      </c>
      <c r="B3222" t="str">
        <f>HYPERLINK("https://bugs.eclipse.org/bugs/show_bug.cgi?id=154447", "154447")</f>
        <v>154447</v>
      </c>
      <c r="C3222" t="s">
        <v>35</v>
      </c>
      <c r="D3222" t="s">
        <v>11</v>
      </c>
      <c r="E3222" t="s">
        <v>12</v>
      </c>
      <c r="F3222" t="s">
        <v>150</v>
      </c>
      <c r="L3222" t="s">
        <v>14826</v>
      </c>
      <c r="M3222" t="s">
        <v>14827</v>
      </c>
      <c r="N3222" t="s">
        <v>14826</v>
      </c>
      <c r="T3222" t="s">
        <v>14828</v>
      </c>
      <c r="U3222" t="s">
        <v>14829</v>
      </c>
      <c r="V3222" t="s">
        <v>14827</v>
      </c>
      <c r="W3222" t="s">
        <v>49</v>
      </c>
      <c r="X3222" t="s">
        <v>14830</v>
      </c>
      <c r="Y3222">
        <v>1</v>
      </c>
      <c r="Z3222">
        <v>256</v>
      </c>
    </row>
    <row r="3223" spans="1:26">
      <c r="A3223" s="1">
        <v>3221</v>
      </c>
      <c r="B3223" t="str">
        <f>HYPERLINK("https://bugs.eclipse.org/bugs/show_bug.cgi?id=154511", "154511")</f>
        <v>154511</v>
      </c>
      <c r="C3223" t="s">
        <v>149</v>
      </c>
      <c r="D3223" t="s">
        <v>10</v>
      </c>
      <c r="E3223" t="s">
        <v>12</v>
      </c>
      <c r="F3223" t="s">
        <v>26</v>
      </c>
      <c r="G3223" t="s">
        <v>14831</v>
      </c>
      <c r="L3223" t="s">
        <v>14832</v>
      </c>
      <c r="N3223" t="s">
        <v>14832</v>
      </c>
      <c r="T3223" t="s">
        <v>14833</v>
      </c>
      <c r="U3223" t="s">
        <v>14834</v>
      </c>
      <c r="V3223" t="s">
        <v>14832</v>
      </c>
      <c r="W3223" t="s">
        <v>49</v>
      </c>
      <c r="X3223" t="s">
        <v>14835</v>
      </c>
      <c r="Y3223">
        <v>30</v>
      </c>
      <c r="Z3223">
        <v>465.04166666666669</v>
      </c>
    </row>
    <row r="3224" spans="1:26">
      <c r="A3224" s="1">
        <v>3222</v>
      </c>
      <c r="B3224" t="str">
        <f>HYPERLINK("https://bugs.eclipse.org/bugs/show_bug.cgi?id=154618", "154618")</f>
        <v>154618</v>
      </c>
      <c r="C3224" t="s">
        <v>14836</v>
      </c>
      <c r="D3224" t="s">
        <v>10</v>
      </c>
      <c r="E3224" t="s">
        <v>15</v>
      </c>
      <c r="F3224" t="s">
        <v>26</v>
      </c>
      <c r="L3224" t="s">
        <v>14837</v>
      </c>
      <c r="Q3224" t="s">
        <v>14837</v>
      </c>
      <c r="T3224" t="s">
        <v>14838</v>
      </c>
      <c r="U3224" t="s">
        <v>14839</v>
      </c>
      <c r="V3224" t="s">
        <v>14837</v>
      </c>
      <c r="W3224" t="s">
        <v>1954</v>
      </c>
      <c r="X3224" t="s">
        <v>14840</v>
      </c>
      <c r="Y3224">
        <v>0</v>
      </c>
      <c r="Z3224">
        <v>1</v>
      </c>
    </row>
    <row r="3225" spans="1:26">
      <c r="A3225" s="1">
        <v>3223</v>
      </c>
      <c r="B3225" t="str">
        <f>HYPERLINK("https://bugs.eclipse.org/bugs/show_bug.cgi?id=154652", "154652")</f>
        <v>154652</v>
      </c>
      <c r="C3225" t="s">
        <v>4692</v>
      </c>
      <c r="D3225" t="s">
        <v>4692</v>
      </c>
      <c r="F3225" t="s">
        <v>26</v>
      </c>
      <c r="T3225" t="s">
        <v>14841</v>
      </c>
      <c r="U3225" t="s">
        <v>14842</v>
      </c>
      <c r="V3225" t="s">
        <v>14843</v>
      </c>
      <c r="W3225" t="s">
        <v>65</v>
      </c>
      <c r="X3225" t="s">
        <v>14844</v>
      </c>
      <c r="Y3225">
        <v>0</v>
      </c>
    </row>
    <row r="3226" spans="1:26">
      <c r="A3226" s="1">
        <v>3224</v>
      </c>
      <c r="B3226" t="str">
        <f>HYPERLINK("https://bugs.eclipse.org/bugs/show_bug.cgi?id=154676", "154676")</f>
        <v>154676</v>
      </c>
      <c r="C3226" t="s">
        <v>149</v>
      </c>
      <c r="D3226" t="s">
        <v>10</v>
      </c>
      <c r="E3226" t="s">
        <v>12</v>
      </c>
      <c r="F3226" t="s">
        <v>26</v>
      </c>
      <c r="L3226" t="s">
        <v>14845</v>
      </c>
      <c r="N3226" t="s">
        <v>14845</v>
      </c>
      <c r="T3226" t="s">
        <v>14846</v>
      </c>
      <c r="U3226" t="s">
        <v>14845</v>
      </c>
      <c r="V3226" t="s">
        <v>14845</v>
      </c>
      <c r="W3226" t="s">
        <v>851</v>
      </c>
      <c r="X3226" t="s">
        <v>14847</v>
      </c>
      <c r="Y3226">
        <v>15</v>
      </c>
      <c r="Z3226">
        <v>15</v>
      </c>
    </row>
    <row r="3227" spans="1:26">
      <c r="A3227" s="1">
        <v>3225</v>
      </c>
      <c r="B3227" t="str">
        <f>HYPERLINK("https://bugs.eclipse.org/bugs/show_bug.cgi?id=154735", "154735")</f>
        <v>154735</v>
      </c>
      <c r="C3227" t="s">
        <v>35</v>
      </c>
      <c r="D3227" t="s">
        <v>11</v>
      </c>
      <c r="E3227" t="s">
        <v>12</v>
      </c>
      <c r="F3227" t="s">
        <v>26</v>
      </c>
      <c r="G3227" t="s">
        <v>14848</v>
      </c>
      <c r="L3227" t="s">
        <v>14849</v>
      </c>
      <c r="M3227" t="s">
        <v>14850</v>
      </c>
      <c r="N3227" t="s">
        <v>14849</v>
      </c>
      <c r="S3227" t="s">
        <v>14851</v>
      </c>
      <c r="T3227" t="s">
        <v>14852</v>
      </c>
      <c r="U3227" t="s">
        <v>14853</v>
      </c>
      <c r="V3227" t="s">
        <v>14854</v>
      </c>
      <c r="W3227" t="s">
        <v>49</v>
      </c>
      <c r="X3227" t="s">
        <v>14855</v>
      </c>
      <c r="Y3227">
        <v>7</v>
      </c>
      <c r="Z3227">
        <v>245</v>
      </c>
    </row>
    <row r="3228" spans="1:26">
      <c r="A3228" s="1">
        <v>3226</v>
      </c>
      <c r="B3228" t="str">
        <f>HYPERLINK("https://bugs.eclipse.org/bugs/show_bug.cgi?id=154799", "154799")</f>
        <v>154799</v>
      </c>
      <c r="C3228" t="s">
        <v>191</v>
      </c>
      <c r="D3228" t="s">
        <v>192</v>
      </c>
      <c r="E3228" t="s">
        <v>14</v>
      </c>
      <c r="F3228" t="s">
        <v>26</v>
      </c>
      <c r="T3228" t="s">
        <v>14856</v>
      </c>
      <c r="U3228" t="s">
        <v>14857</v>
      </c>
      <c r="V3228" t="s">
        <v>14858</v>
      </c>
      <c r="W3228" t="s">
        <v>65</v>
      </c>
      <c r="X3228" t="s">
        <v>14859</v>
      </c>
      <c r="Y3228">
        <v>1</v>
      </c>
      <c r="Z3228">
        <v>4783</v>
      </c>
    </row>
    <row r="3229" spans="1:26">
      <c r="A3229" s="1">
        <v>3227</v>
      </c>
      <c r="B3229" t="str">
        <f>HYPERLINK("https://bugs.eclipse.org/bugs/show_bug.cgi?id=154851", "154851")</f>
        <v>154851</v>
      </c>
      <c r="C3229" t="s">
        <v>149</v>
      </c>
      <c r="D3229" t="s">
        <v>10</v>
      </c>
      <c r="E3229" t="s">
        <v>12</v>
      </c>
      <c r="F3229" t="s">
        <v>26</v>
      </c>
      <c r="G3229" t="s">
        <v>14860</v>
      </c>
      <c r="L3229" t="s">
        <v>14861</v>
      </c>
      <c r="N3229" t="s">
        <v>14861</v>
      </c>
      <c r="S3229" t="s">
        <v>14862</v>
      </c>
      <c r="T3229" t="s">
        <v>14863</v>
      </c>
      <c r="U3229" t="s">
        <v>14864</v>
      </c>
      <c r="V3229" t="s">
        <v>14865</v>
      </c>
      <c r="W3229" t="s">
        <v>851</v>
      </c>
      <c r="X3229" t="s">
        <v>14866</v>
      </c>
      <c r="Y3229">
        <v>6</v>
      </c>
      <c r="Z3229">
        <v>1367</v>
      </c>
    </row>
    <row r="3230" spans="1:26">
      <c r="A3230" s="1">
        <v>3228</v>
      </c>
      <c r="B3230" t="str">
        <f>HYPERLINK("https://bugs.eclipse.org/bugs/show_bug.cgi?id=155113", "155113")</f>
        <v>155113</v>
      </c>
      <c r="C3230" t="s">
        <v>14867</v>
      </c>
      <c r="D3230" t="s">
        <v>10</v>
      </c>
      <c r="E3230" t="s">
        <v>15</v>
      </c>
      <c r="F3230" t="s">
        <v>26</v>
      </c>
      <c r="L3230" t="s">
        <v>14868</v>
      </c>
      <c r="Q3230" t="s">
        <v>14868</v>
      </c>
      <c r="T3230" t="s">
        <v>14869</v>
      </c>
      <c r="U3230" t="s">
        <v>14870</v>
      </c>
      <c r="V3230" t="s">
        <v>14868</v>
      </c>
      <c r="W3230" t="s">
        <v>49</v>
      </c>
      <c r="X3230" t="s">
        <v>14871</v>
      </c>
      <c r="Y3230">
        <v>3</v>
      </c>
      <c r="Z3230">
        <v>5</v>
      </c>
    </row>
    <row r="3231" spans="1:26">
      <c r="A3231" s="1">
        <v>3229</v>
      </c>
      <c r="B3231" t="str">
        <f>HYPERLINK("https://bugs.eclipse.org/bugs/show_bug.cgi?id=155521", "155521")</f>
        <v>155521</v>
      </c>
      <c r="C3231" t="s">
        <v>191</v>
      </c>
      <c r="D3231" t="s">
        <v>192</v>
      </c>
      <c r="E3231" t="s">
        <v>14</v>
      </c>
      <c r="F3231" t="s">
        <v>26</v>
      </c>
      <c r="P3231" t="s">
        <v>14872</v>
      </c>
      <c r="T3231" t="s">
        <v>14873</v>
      </c>
      <c r="U3231" t="s">
        <v>14874</v>
      </c>
      <c r="V3231" t="s">
        <v>14872</v>
      </c>
      <c r="W3231" t="s">
        <v>65</v>
      </c>
      <c r="X3231" t="s">
        <v>14875</v>
      </c>
      <c r="Y3231">
        <v>2</v>
      </c>
      <c r="Z3231">
        <v>4983</v>
      </c>
    </row>
    <row r="3232" spans="1:26">
      <c r="A3232" s="1">
        <v>3230</v>
      </c>
      <c r="B3232" t="str">
        <f>HYPERLINK("https://bugs.eclipse.org/bugs/show_bug.cgi?id=155556", "155556")</f>
        <v>155556</v>
      </c>
      <c r="C3232" t="s">
        <v>35</v>
      </c>
      <c r="D3232" t="s">
        <v>11</v>
      </c>
      <c r="E3232" t="s">
        <v>12</v>
      </c>
      <c r="F3232" t="s">
        <v>26</v>
      </c>
      <c r="L3232" t="s">
        <v>14876</v>
      </c>
      <c r="M3232" t="s">
        <v>14877</v>
      </c>
      <c r="N3232" t="s">
        <v>14876</v>
      </c>
      <c r="T3232" t="s">
        <v>14878</v>
      </c>
      <c r="U3232" t="s">
        <v>14879</v>
      </c>
      <c r="V3232" t="s">
        <v>14877</v>
      </c>
      <c r="W3232" t="s">
        <v>9266</v>
      </c>
      <c r="X3232" t="s">
        <v>14880</v>
      </c>
      <c r="Y3232">
        <v>2</v>
      </c>
      <c r="Z3232">
        <v>5061</v>
      </c>
    </row>
    <row r="3233" spans="1:26">
      <c r="A3233" s="1">
        <v>3231</v>
      </c>
      <c r="B3233" t="str">
        <f>HYPERLINK("https://bugs.eclipse.org/bugs/show_bug.cgi?id=155562", "155562")</f>
        <v>155562</v>
      </c>
      <c r="C3233" t="s">
        <v>14881</v>
      </c>
      <c r="D3233" t="s">
        <v>192</v>
      </c>
      <c r="E3233" t="s">
        <v>15</v>
      </c>
      <c r="F3233" t="s">
        <v>26</v>
      </c>
      <c r="Q3233" t="s">
        <v>14882</v>
      </c>
      <c r="T3233" t="s">
        <v>14883</v>
      </c>
      <c r="U3233" t="s">
        <v>14884</v>
      </c>
      <c r="V3233" t="s">
        <v>14882</v>
      </c>
      <c r="W3233" t="s">
        <v>143</v>
      </c>
      <c r="X3233" t="s">
        <v>14885</v>
      </c>
      <c r="Y3233">
        <v>2</v>
      </c>
      <c r="Z3233">
        <v>2283.041666666667</v>
      </c>
    </row>
    <row r="3234" spans="1:26">
      <c r="A3234" s="1">
        <v>3232</v>
      </c>
      <c r="B3234" t="str">
        <f>HYPERLINK("https://bugs.eclipse.org/bugs/show_bug.cgi?id=155783", "155783")</f>
        <v>155783</v>
      </c>
      <c r="C3234" t="s">
        <v>25</v>
      </c>
      <c r="D3234" t="s">
        <v>25</v>
      </c>
      <c r="F3234" t="s">
        <v>26</v>
      </c>
      <c r="T3234" t="s">
        <v>14886</v>
      </c>
      <c r="U3234" t="s">
        <v>14887</v>
      </c>
      <c r="V3234" t="s">
        <v>14888</v>
      </c>
      <c r="W3234" t="s">
        <v>49</v>
      </c>
      <c r="X3234" t="s">
        <v>14889</v>
      </c>
      <c r="Y3234">
        <v>0</v>
      </c>
    </row>
    <row r="3235" spans="1:26">
      <c r="A3235" s="1">
        <v>3233</v>
      </c>
      <c r="B3235" t="str">
        <f>HYPERLINK("https://bugs.eclipse.org/bugs/show_bug.cgi?id=155827", "155827")</f>
        <v>155827</v>
      </c>
      <c r="C3235" t="s">
        <v>56</v>
      </c>
      <c r="D3235" t="s">
        <v>10</v>
      </c>
      <c r="E3235" t="s">
        <v>14</v>
      </c>
      <c r="F3235" t="s">
        <v>26</v>
      </c>
      <c r="L3235" t="s">
        <v>14890</v>
      </c>
      <c r="P3235" t="s">
        <v>14890</v>
      </c>
      <c r="T3235" t="s">
        <v>14891</v>
      </c>
      <c r="U3235" t="s">
        <v>14892</v>
      </c>
      <c r="V3235" t="s">
        <v>14890</v>
      </c>
      <c r="W3235" t="s">
        <v>49</v>
      </c>
      <c r="X3235" t="s">
        <v>14893</v>
      </c>
      <c r="Y3235">
        <v>0</v>
      </c>
      <c r="Z3235">
        <v>0</v>
      </c>
    </row>
    <row r="3236" spans="1:26">
      <c r="A3236" s="1">
        <v>3234</v>
      </c>
      <c r="B3236" t="str">
        <f>HYPERLINK("https://bugs.eclipse.org/bugs/show_bug.cgi?id=156033", "156033")</f>
        <v>156033</v>
      </c>
      <c r="C3236" t="s">
        <v>88</v>
      </c>
      <c r="D3236" t="s">
        <v>10</v>
      </c>
      <c r="E3236" t="s">
        <v>13</v>
      </c>
      <c r="F3236" t="s">
        <v>26</v>
      </c>
      <c r="L3236" t="s">
        <v>14894</v>
      </c>
      <c r="O3236" t="s">
        <v>14895</v>
      </c>
      <c r="T3236" t="s">
        <v>14896</v>
      </c>
      <c r="U3236" t="s">
        <v>14894</v>
      </c>
      <c r="V3236" t="s">
        <v>14897</v>
      </c>
      <c r="W3236" t="s">
        <v>14898</v>
      </c>
      <c r="X3236" t="s">
        <v>14899</v>
      </c>
      <c r="Y3236">
        <v>3</v>
      </c>
      <c r="Z3236">
        <v>2793</v>
      </c>
    </row>
    <row r="3237" spans="1:26">
      <c r="A3237" s="1">
        <v>3235</v>
      </c>
      <c r="B3237" t="str">
        <f>HYPERLINK("https://bugs.eclipse.org/bugs/show_bug.cgi?id=156319", "156319")</f>
        <v>156319</v>
      </c>
      <c r="C3237" t="s">
        <v>56</v>
      </c>
      <c r="D3237" t="s">
        <v>10</v>
      </c>
      <c r="E3237" t="s">
        <v>14</v>
      </c>
      <c r="F3237" t="s">
        <v>26</v>
      </c>
      <c r="L3237" t="s">
        <v>14900</v>
      </c>
      <c r="P3237" t="s">
        <v>4929</v>
      </c>
      <c r="T3237" t="s">
        <v>14901</v>
      </c>
      <c r="U3237" t="s">
        <v>14900</v>
      </c>
      <c r="V3237" t="s">
        <v>4929</v>
      </c>
      <c r="W3237" t="s">
        <v>80</v>
      </c>
      <c r="X3237" t="s">
        <v>14902</v>
      </c>
      <c r="Y3237">
        <v>0</v>
      </c>
      <c r="Z3237">
        <v>1089</v>
      </c>
    </row>
    <row r="3238" spans="1:26">
      <c r="A3238" s="1">
        <v>3236</v>
      </c>
      <c r="B3238" t="str">
        <f>HYPERLINK("https://bugs.eclipse.org/bugs/show_bug.cgi?id=156797", "156797")</f>
        <v>156797</v>
      </c>
      <c r="C3238" t="s">
        <v>88</v>
      </c>
      <c r="D3238" t="s">
        <v>10</v>
      </c>
      <c r="E3238" t="s">
        <v>13</v>
      </c>
      <c r="F3238" t="s">
        <v>26</v>
      </c>
      <c r="L3238" t="s">
        <v>14903</v>
      </c>
      <c r="O3238" t="s">
        <v>14904</v>
      </c>
      <c r="T3238" t="s">
        <v>14905</v>
      </c>
      <c r="U3238" t="s">
        <v>14903</v>
      </c>
      <c r="V3238" t="s">
        <v>14904</v>
      </c>
      <c r="W3238" t="s">
        <v>75</v>
      </c>
      <c r="X3238" t="s">
        <v>14906</v>
      </c>
      <c r="Y3238">
        <v>11</v>
      </c>
      <c r="Z3238">
        <v>1086</v>
      </c>
    </row>
    <row r="3239" spans="1:26">
      <c r="A3239" s="1">
        <v>3237</v>
      </c>
      <c r="B3239" t="str">
        <f>HYPERLINK("https://bugs.eclipse.org/bugs/show_bug.cgi?id=157085", "157085")</f>
        <v>157085</v>
      </c>
      <c r="C3239" t="s">
        <v>149</v>
      </c>
      <c r="D3239" t="s">
        <v>10</v>
      </c>
      <c r="E3239" t="s">
        <v>12</v>
      </c>
      <c r="F3239" t="s">
        <v>26</v>
      </c>
      <c r="L3239" t="s">
        <v>14907</v>
      </c>
      <c r="N3239" t="s">
        <v>14907</v>
      </c>
      <c r="T3239" t="s">
        <v>14908</v>
      </c>
      <c r="U3239" t="s">
        <v>14909</v>
      </c>
      <c r="V3239" t="s">
        <v>14907</v>
      </c>
      <c r="W3239" t="s">
        <v>49</v>
      </c>
      <c r="X3239" t="s">
        <v>14910</v>
      </c>
      <c r="Y3239">
        <v>1</v>
      </c>
      <c r="Z3239">
        <v>9</v>
      </c>
    </row>
    <row r="3240" spans="1:26">
      <c r="A3240" s="1">
        <v>3238</v>
      </c>
      <c r="B3240" t="str">
        <f>HYPERLINK("https://bugs.eclipse.org/bugs/show_bug.cgi?id=157149", "157149")</f>
        <v>157149</v>
      </c>
      <c r="C3240" t="s">
        <v>191</v>
      </c>
      <c r="D3240" t="s">
        <v>192</v>
      </c>
      <c r="E3240" t="s">
        <v>14</v>
      </c>
      <c r="F3240" t="s">
        <v>26</v>
      </c>
      <c r="T3240" t="s">
        <v>14911</v>
      </c>
      <c r="U3240" t="s">
        <v>14912</v>
      </c>
      <c r="V3240" t="s">
        <v>14913</v>
      </c>
      <c r="W3240" t="s">
        <v>65</v>
      </c>
      <c r="X3240" t="s">
        <v>14914</v>
      </c>
      <c r="Y3240">
        <v>0</v>
      </c>
      <c r="Z3240">
        <v>4807.041666666667</v>
      </c>
    </row>
    <row r="3241" spans="1:26">
      <c r="A3241" s="1">
        <v>3239</v>
      </c>
      <c r="B3241" t="str">
        <f>HYPERLINK("https://bugs.eclipse.org/bugs/show_bug.cgi?id=157165", "157165")</f>
        <v>157165</v>
      </c>
      <c r="C3241" t="s">
        <v>149</v>
      </c>
      <c r="D3241" t="s">
        <v>10</v>
      </c>
      <c r="E3241" t="s">
        <v>12</v>
      </c>
      <c r="F3241" t="s">
        <v>26</v>
      </c>
      <c r="L3241" t="s">
        <v>14915</v>
      </c>
      <c r="N3241" t="s">
        <v>14915</v>
      </c>
      <c r="T3241" t="s">
        <v>14916</v>
      </c>
      <c r="U3241" t="s">
        <v>14915</v>
      </c>
      <c r="V3241" t="s">
        <v>14915</v>
      </c>
      <c r="W3241" t="s">
        <v>49</v>
      </c>
      <c r="X3241" t="s">
        <v>14917</v>
      </c>
      <c r="Y3241">
        <v>8</v>
      </c>
      <c r="Z3241">
        <v>8</v>
      </c>
    </row>
    <row r="3242" spans="1:26">
      <c r="A3242" s="1">
        <v>3240</v>
      </c>
      <c r="B3242" t="str">
        <f>HYPERLINK("https://bugs.eclipse.org/bugs/show_bug.cgi?id=157187", "157187")</f>
        <v>157187</v>
      </c>
      <c r="C3242" t="s">
        <v>35</v>
      </c>
      <c r="D3242" t="s">
        <v>11</v>
      </c>
      <c r="E3242" t="s">
        <v>12</v>
      </c>
      <c r="F3242" t="s">
        <v>150</v>
      </c>
      <c r="L3242" t="s">
        <v>14918</v>
      </c>
      <c r="M3242" t="s">
        <v>14919</v>
      </c>
      <c r="N3242" t="s">
        <v>14918</v>
      </c>
      <c r="T3242" t="s">
        <v>14920</v>
      </c>
      <c r="U3242" t="s">
        <v>14921</v>
      </c>
      <c r="V3242" t="s">
        <v>14919</v>
      </c>
      <c r="W3242" t="s">
        <v>49</v>
      </c>
      <c r="X3242" t="s">
        <v>14922</v>
      </c>
      <c r="Y3242">
        <v>0</v>
      </c>
      <c r="Z3242">
        <v>189</v>
      </c>
    </row>
    <row r="3243" spans="1:26">
      <c r="A3243" s="1">
        <v>3241</v>
      </c>
      <c r="B3243" t="str">
        <f>HYPERLINK("https://bugs.eclipse.org/bugs/show_bug.cgi?id=157203", "157203")</f>
        <v>157203</v>
      </c>
      <c r="C3243" t="s">
        <v>149</v>
      </c>
      <c r="D3243" t="s">
        <v>10</v>
      </c>
      <c r="E3243" t="s">
        <v>12</v>
      </c>
      <c r="F3243" t="s">
        <v>26</v>
      </c>
      <c r="L3243" t="s">
        <v>14923</v>
      </c>
      <c r="N3243" t="s">
        <v>14923</v>
      </c>
      <c r="T3243" t="s">
        <v>14924</v>
      </c>
      <c r="U3243" t="s">
        <v>14925</v>
      </c>
      <c r="V3243" t="s">
        <v>14926</v>
      </c>
      <c r="W3243" t="s">
        <v>49</v>
      </c>
      <c r="X3243" t="s">
        <v>14927</v>
      </c>
      <c r="Y3243">
        <v>2</v>
      </c>
      <c r="Z3243">
        <v>117.0416666666667</v>
      </c>
    </row>
    <row r="3244" spans="1:26">
      <c r="A3244" s="1">
        <v>3242</v>
      </c>
      <c r="B3244" t="str">
        <f>HYPERLINK("https://bugs.eclipse.org/bugs/show_bug.cgi?id=157221", "157221")</f>
        <v>157221</v>
      </c>
      <c r="C3244" t="s">
        <v>56</v>
      </c>
      <c r="D3244" t="s">
        <v>10</v>
      </c>
      <c r="E3244" t="s">
        <v>14</v>
      </c>
      <c r="F3244" t="s">
        <v>26</v>
      </c>
      <c r="L3244" t="s">
        <v>14928</v>
      </c>
      <c r="P3244" t="s">
        <v>14928</v>
      </c>
      <c r="T3244" t="s">
        <v>14929</v>
      </c>
      <c r="U3244" t="s">
        <v>14930</v>
      </c>
      <c r="V3244" t="s">
        <v>14928</v>
      </c>
      <c r="W3244" t="s">
        <v>851</v>
      </c>
      <c r="X3244" t="s">
        <v>14931</v>
      </c>
      <c r="Y3244">
        <v>1</v>
      </c>
      <c r="Z3244">
        <v>5</v>
      </c>
    </row>
    <row r="3245" spans="1:26">
      <c r="A3245" s="1">
        <v>3243</v>
      </c>
      <c r="B3245" t="str">
        <f>HYPERLINK("https://bugs.eclipse.org/bugs/show_bug.cgi?id=157386", "157386")</f>
        <v>157386</v>
      </c>
      <c r="C3245" t="s">
        <v>56</v>
      </c>
      <c r="D3245" t="s">
        <v>10</v>
      </c>
      <c r="E3245" t="s">
        <v>14</v>
      </c>
      <c r="F3245" t="s">
        <v>26</v>
      </c>
      <c r="L3245" t="s">
        <v>14932</v>
      </c>
      <c r="P3245" t="s">
        <v>14932</v>
      </c>
      <c r="T3245" t="s">
        <v>14933</v>
      </c>
      <c r="U3245" t="s">
        <v>14934</v>
      </c>
      <c r="V3245" t="s">
        <v>14932</v>
      </c>
      <c r="W3245" t="s">
        <v>851</v>
      </c>
      <c r="X3245" t="s">
        <v>14935</v>
      </c>
      <c r="Y3245">
        <v>1</v>
      </c>
      <c r="Z3245">
        <v>4</v>
      </c>
    </row>
    <row r="3246" spans="1:26">
      <c r="A3246" s="1">
        <v>3244</v>
      </c>
      <c r="B3246" t="str">
        <f>HYPERLINK("https://bugs.eclipse.org/bugs/show_bug.cgi?id=157466", "157466")</f>
        <v>157466</v>
      </c>
      <c r="C3246" t="s">
        <v>149</v>
      </c>
      <c r="D3246" t="s">
        <v>10</v>
      </c>
      <c r="E3246" t="s">
        <v>12</v>
      </c>
      <c r="F3246" t="s">
        <v>26</v>
      </c>
      <c r="L3246" t="s">
        <v>14936</v>
      </c>
      <c r="N3246" t="s">
        <v>14936</v>
      </c>
      <c r="T3246" t="s">
        <v>14937</v>
      </c>
      <c r="U3246" t="s">
        <v>14938</v>
      </c>
      <c r="V3246" t="s">
        <v>14936</v>
      </c>
      <c r="W3246" t="s">
        <v>851</v>
      </c>
      <c r="X3246" t="s">
        <v>14939</v>
      </c>
      <c r="Y3246">
        <v>0</v>
      </c>
      <c r="Z3246">
        <v>60.041666666666657</v>
      </c>
    </row>
    <row r="3247" spans="1:26">
      <c r="A3247" s="1">
        <v>3245</v>
      </c>
      <c r="B3247" t="str">
        <f>HYPERLINK("https://bugs.eclipse.org/bugs/show_bug.cgi?id=157468", "157468")</f>
        <v>157468</v>
      </c>
      <c r="C3247" t="s">
        <v>149</v>
      </c>
      <c r="D3247" t="s">
        <v>10</v>
      </c>
      <c r="E3247" t="s">
        <v>12</v>
      </c>
      <c r="F3247" t="s">
        <v>26</v>
      </c>
      <c r="L3247" t="s">
        <v>14940</v>
      </c>
      <c r="N3247" t="s">
        <v>14940</v>
      </c>
      <c r="T3247" t="s">
        <v>14941</v>
      </c>
      <c r="U3247" t="s">
        <v>14940</v>
      </c>
      <c r="V3247" t="s">
        <v>14940</v>
      </c>
      <c r="W3247" t="s">
        <v>1954</v>
      </c>
      <c r="X3247" t="s">
        <v>14942</v>
      </c>
      <c r="Y3247">
        <v>0</v>
      </c>
      <c r="Z3247">
        <v>0</v>
      </c>
    </row>
    <row r="3248" spans="1:26">
      <c r="A3248" s="1">
        <v>3246</v>
      </c>
      <c r="B3248" t="str">
        <f>HYPERLINK("https://bugs.eclipse.org/bugs/show_bug.cgi?id=157479", "157479")</f>
        <v>157479</v>
      </c>
      <c r="C3248" t="s">
        <v>35</v>
      </c>
      <c r="D3248" t="s">
        <v>11</v>
      </c>
      <c r="E3248" t="s">
        <v>12</v>
      </c>
      <c r="F3248" t="s">
        <v>150</v>
      </c>
      <c r="G3248" t="s">
        <v>14943</v>
      </c>
      <c r="L3248" t="s">
        <v>14944</v>
      </c>
      <c r="M3248" t="s">
        <v>14945</v>
      </c>
      <c r="N3248" t="s">
        <v>14944</v>
      </c>
      <c r="T3248" t="s">
        <v>14946</v>
      </c>
      <c r="U3248" t="s">
        <v>14947</v>
      </c>
      <c r="V3248" t="s">
        <v>14945</v>
      </c>
      <c r="W3248" t="s">
        <v>1954</v>
      </c>
      <c r="X3248" t="s">
        <v>14948</v>
      </c>
      <c r="Y3248">
        <v>0</v>
      </c>
      <c r="Z3248">
        <v>144.04166666666671</v>
      </c>
    </row>
    <row r="3249" spans="1:26">
      <c r="A3249" s="1">
        <v>3247</v>
      </c>
      <c r="B3249" t="str">
        <f>HYPERLINK("https://bugs.eclipse.org/bugs/show_bug.cgi?id=157516", "157516")</f>
        <v>157516</v>
      </c>
      <c r="C3249" t="s">
        <v>12265</v>
      </c>
      <c r="D3249" t="s">
        <v>10</v>
      </c>
      <c r="E3249" t="s">
        <v>15</v>
      </c>
      <c r="F3249" t="s">
        <v>26</v>
      </c>
      <c r="L3249" t="s">
        <v>14815</v>
      </c>
      <c r="Q3249" t="s">
        <v>14815</v>
      </c>
      <c r="T3249" t="s">
        <v>14949</v>
      </c>
      <c r="U3249" t="s">
        <v>14950</v>
      </c>
      <c r="V3249" t="s">
        <v>14951</v>
      </c>
      <c r="W3249" t="s">
        <v>143</v>
      </c>
      <c r="X3249" t="s">
        <v>14952</v>
      </c>
      <c r="Y3249">
        <v>0</v>
      </c>
      <c r="Z3249">
        <v>1</v>
      </c>
    </row>
    <row r="3250" spans="1:26">
      <c r="A3250" s="1">
        <v>3248</v>
      </c>
      <c r="B3250" t="str">
        <f>HYPERLINK("https://bugs.eclipse.org/bugs/show_bug.cgi?id=157565", "157565")</f>
        <v>157565</v>
      </c>
      <c r="C3250" t="s">
        <v>149</v>
      </c>
      <c r="D3250" t="s">
        <v>10</v>
      </c>
      <c r="E3250" t="s">
        <v>12</v>
      </c>
      <c r="F3250" t="s">
        <v>26</v>
      </c>
      <c r="L3250" t="s">
        <v>14953</v>
      </c>
      <c r="N3250" t="s">
        <v>14953</v>
      </c>
      <c r="T3250" t="s">
        <v>14954</v>
      </c>
      <c r="U3250" t="s">
        <v>14955</v>
      </c>
      <c r="V3250" t="s">
        <v>14953</v>
      </c>
      <c r="W3250" t="s">
        <v>851</v>
      </c>
      <c r="X3250" t="s">
        <v>14956</v>
      </c>
      <c r="Y3250">
        <v>0</v>
      </c>
      <c r="Z3250">
        <v>2</v>
      </c>
    </row>
    <row r="3251" spans="1:26">
      <c r="A3251" s="1">
        <v>3249</v>
      </c>
      <c r="B3251" t="str">
        <f>HYPERLINK("https://bugs.eclipse.org/bugs/show_bug.cgi?id=157626", "157626")</f>
        <v>157626</v>
      </c>
      <c r="C3251" t="s">
        <v>191</v>
      </c>
      <c r="D3251" t="s">
        <v>192</v>
      </c>
      <c r="E3251" t="s">
        <v>14</v>
      </c>
      <c r="F3251" t="s">
        <v>26</v>
      </c>
      <c r="P3251" t="s">
        <v>14957</v>
      </c>
      <c r="T3251" t="s">
        <v>14958</v>
      </c>
      <c r="U3251" t="s">
        <v>14959</v>
      </c>
      <c r="V3251" t="s">
        <v>14957</v>
      </c>
      <c r="W3251" t="s">
        <v>65</v>
      </c>
      <c r="X3251" t="s">
        <v>14960</v>
      </c>
      <c r="Y3251">
        <v>0</v>
      </c>
      <c r="Z3251">
        <v>4905.041666666667</v>
      </c>
    </row>
    <row r="3252" spans="1:26">
      <c r="A3252" s="1">
        <v>3250</v>
      </c>
      <c r="B3252" t="str">
        <f>HYPERLINK("https://bugs.eclipse.org/bugs/show_bug.cgi?id=157760", "157760")</f>
        <v>157760</v>
      </c>
      <c r="C3252" t="s">
        <v>88</v>
      </c>
      <c r="D3252" t="s">
        <v>10</v>
      </c>
      <c r="E3252" t="s">
        <v>13</v>
      </c>
      <c r="F3252" t="s">
        <v>26</v>
      </c>
      <c r="L3252" t="s">
        <v>14961</v>
      </c>
      <c r="O3252" t="s">
        <v>14962</v>
      </c>
      <c r="T3252" t="s">
        <v>14963</v>
      </c>
      <c r="U3252" t="s">
        <v>14961</v>
      </c>
      <c r="V3252" t="s">
        <v>14962</v>
      </c>
      <c r="W3252" t="s">
        <v>75</v>
      </c>
      <c r="X3252" t="s">
        <v>14964</v>
      </c>
      <c r="Y3252">
        <v>6</v>
      </c>
      <c r="Z3252">
        <v>1076</v>
      </c>
    </row>
    <row r="3253" spans="1:26">
      <c r="A3253" s="1">
        <v>3251</v>
      </c>
      <c r="B3253" t="str">
        <f>HYPERLINK("https://bugs.eclipse.org/bugs/show_bug.cgi?id=157771", "157771")</f>
        <v>157771</v>
      </c>
      <c r="C3253" t="s">
        <v>14732</v>
      </c>
      <c r="D3253" t="s">
        <v>10</v>
      </c>
      <c r="E3253" t="s">
        <v>15</v>
      </c>
      <c r="F3253" t="s">
        <v>26</v>
      </c>
      <c r="L3253" t="s">
        <v>14486</v>
      </c>
      <c r="Q3253" t="s">
        <v>14486</v>
      </c>
      <c r="T3253" t="s">
        <v>14965</v>
      </c>
      <c r="U3253" t="s">
        <v>14966</v>
      </c>
      <c r="V3253" t="s">
        <v>14486</v>
      </c>
      <c r="W3253" t="s">
        <v>49</v>
      </c>
      <c r="X3253" t="s">
        <v>14967</v>
      </c>
      <c r="Y3253">
        <v>0</v>
      </c>
      <c r="Z3253">
        <v>6</v>
      </c>
    </row>
    <row r="3254" spans="1:26">
      <c r="A3254" s="1">
        <v>3252</v>
      </c>
      <c r="B3254" t="str">
        <f>HYPERLINK("https://bugs.eclipse.org/bugs/show_bug.cgi?id=157777", "157777")</f>
        <v>157777</v>
      </c>
      <c r="C3254" t="s">
        <v>191</v>
      </c>
      <c r="D3254" t="s">
        <v>192</v>
      </c>
      <c r="E3254" t="s">
        <v>14</v>
      </c>
      <c r="F3254" t="s">
        <v>26</v>
      </c>
      <c r="G3254" t="s">
        <v>14968</v>
      </c>
      <c r="T3254" t="s">
        <v>14969</v>
      </c>
      <c r="U3254" t="s">
        <v>14970</v>
      </c>
      <c r="V3254" t="s">
        <v>14971</v>
      </c>
      <c r="W3254" t="s">
        <v>65</v>
      </c>
      <c r="X3254" t="s">
        <v>14972</v>
      </c>
      <c r="Y3254">
        <v>0</v>
      </c>
      <c r="Z3254">
        <v>4765</v>
      </c>
    </row>
    <row r="3255" spans="1:26">
      <c r="A3255" s="1">
        <v>3253</v>
      </c>
      <c r="B3255" t="str">
        <f>HYPERLINK("https://bugs.eclipse.org/bugs/show_bug.cgi?id=157784", "157784")</f>
        <v>157784</v>
      </c>
      <c r="C3255" t="s">
        <v>149</v>
      </c>
      <c r="D3255" t="s">
        <v>10</v>
      </c>
      <c r="E3255" t="s">
        <v>12</v>
      </c>
      <c r="F3255" t="s">
        <v>26</v>
      </c>
      <c r="L3255" t="s">
        <v>14973</v>
      </c>
      <c r="N3255" t="s">
        <v>14973</v>
      </c>
      <c r="T3255" t="s">
        <v>14974</v>
      </c>
      <c r="U3255" t="s">
        <v>14975</v>
      </c>
      <c r="V3255" t="s">
        <v>14973</v>
      </c>
      <c r="W3255" t="s">
        <v>851</v>
      </c>
      <c r="X3255" t="s">
        <v>14976</v>
      </c>
      <c r="Y3255">
        <v>6</v>
      </c>
      <c r="Z3255">
        <v>113.0416666666667</v>
      </c>
    </row>
    <row r="3256" spans="1:26">
      <c r="A3256" s="1">
        <v>3254</v>
      </c>
      <c r="B3256" t="str">
        <f>HYPERLINK("https://bugs.eclipse.org/bugs/show_bug.cgi?id=157785", "157785")</f>
        <v>157785</v>
      </c>
      <c r="C3256" t="s">
        <v>191</v>
      </c>
      <c r="D3256" t="s">
        <v>192</v>
      </c>
      <c r="E3256" t="s">
        <v>14</v>
      </c>
      <c r="F3256" t="s">
        <v>26</v>
      </c>
      <c r="P3256" t="s">
        <v>14977</v>
      </c>
      <c r="T3256" t="s">
        <v>14978</v>
      </c>
      <c r="U3256" t="s">
        <v>14979</v>
      </c>
      <c r="V3256" t="s">
        <v>14977</v>
      </c>
      <c r="W3256" t="s">
        <v>65</v>
      </c>
      <c r="X3256" t="s">
        <v>14980</v>
      </c>
      <c r="Y3256">
        <v>0</v>
      </c>
      <c r="Z3256">
        <v>4943</v>
      </c>
    </row>
    <row r="3257" spans="1:26">
      <c r="A3257" s="1">
        <v>3255</v>
      </c>
      <c r="B3257" t="str">
        <f>HYPERLINK("https://bugs.eclipse.org/bugs/show_bug.cgi?id=157794", "157794")</f>
        <v>157794</v>
      </c>
      <c r="C3257" t="s">
        <v>14981</v>
      </c>
      <c r="D3257" t="s">
        <v>10</v>
      </c>
      <c r="E3257" t="s">
        <v>15</v>
      </c>
      <c r="F3257" t="s">
        <v>26</v>
      </c>
      <c r="L3257" t="s">
        <v>14982</v>
      </c>
      <c r="Q3257" t="s">
        <v>14982</v>
      </c>
      <c r="T3257" t="s">
        <v>14983</v>
      </c>
      <c r="U3257" t="s">
        <v>14984</v>
      </c>
      <c r="V3257" t="s">
        <v>14982</v>
      </c>
      <c r="W3257" t="s">
        <v>2668</v>
      </c>
      <c r="X3257" t="s">
        <v>14985</v>
      </c>
      <c r="Y3257">
        <v>0</v>
      </c>
      <c r="Z3257">
        <v>0</v>
      </c>
    </row>
    <row r="3258" spans="1:26">
      <c r="A3258" s="1">
        <v>3256</v>
      </c>
      <c r="B3258" t="str">
        <f>HYPERLINK("https://bugs.eclipse.org/bugs/show_bug.cgi?id=157798", "157798")</f>
        <v>157798</v>
      </c>
      <c r="C3258" t="s">
        <v>149</v>
      </c>
      <c r="D3258" t="s">
        <v>10</v>
      </c>
      <c r="E3258" t="s">
        <v>12</v>
      </c>
      <c r="F3258" t="s">
        <v>26</v>
      </c>
      <c r="G3258" t="s">
        <v>14986</v>
      </c>
      <c r="L3258" t="s">
        <v>14987</v>
      </c>
      <c r="N3258" t="s">
        <v>14987</v>
      </c>
      <c r="T3258" t="s">
        <v>14988</v>
      </c>
      <c r="U3258" t="s">
        <v>14989</v>
      </c>
      <c r="V3258" t="s">
        <v>14728</v>
      </c>
      <c r="W3258" t="s">
        <v>1954</v>
      </c>
      <c r="X3258" t="s">
        <v>14990</v>
      </c>
      <c r="Y3258">
        <v>42.041666666666657</v>
      </c>
      <c r="Z3258">
        <v>118.0416666666667</v>
      </c>
    </row>
    <row r="3259" spans="1:26">
      <c r="A3259" s="1">
        <v>3257</v>
      </c>
      <c r="B3259" t="str">
        <f>HYPERLINK("https://bugs.eclipse.org/bugs/show_bug.cgi?id=157830", "157830")</f>
        <v>157830</v>
      </c>
      <c r="C3259" t="s">
        <v>14991</v>
      </c>
      <c r="D3259" t="s">
        <v>10</v>
      </c>
      <c r="E3259" t="s">
        <v>15</v>
      </c>
      <c r="F3259" t="s">
        <v>26</v>
      </c>
      <c r="L3259" t="s">
        <v>14992</v>
      </c>
      <c r="Q3259" t="s">
        <v>14992</v>
      </c>
      <c r="T3259" t="s">
        <v>14993</v>
      </c>
      <c r="U3259" t="s">
        <v>14992</v>
      </c>
      <c r="V3259" t="s">
        <v>14992</v>
      </c>
      <c r="W3259" t="s">
        <v>851</v>
      </c>
      <c r="X3259" t="s">
        <v>14994</v>
      </c>
      <c r="Y3259">
        <v>0</v>
      </c>
      <c r="Z3259">
        <v>0</v>
      </c>
    </row>
    <row r="3260" spans="1:26">
      <c r="A3260" s="1">
        <v>3258</v>
      </c>
      <c r="B3260" t="str">
        <f>HYPERLINK("https://bugs.eclipse.org/bugs/show_bug.cgi?id=157969", "157969")</f>
        <v>157969</v>
      </c>
      <c r="C3260" t="s">
        <v>88</v>
      </c>
      <c r="D3260" t="s">
        <v>10</v>
      </c>
      <c r="E3260" t="s">
        <v>13</v>
      </c>
      <c r="F3260" t="s">
        <v>26</v>
      </c>
      <c r="L3260" t="s">
        <v>14995</v>
      </c>
      <c r="O3260" t="s">
        <v>14996</v>
      </c>
      <c r="T3260" t="s">
        <v>14997</v>
      </c>
      <c r="U3260" t="s">
        <v>14998</v>
      </c>
      <c r="V3260" t="s">
        <v>14996</v>
      </c>
      <c r="W3260" t="s">
        <v>75</v>
      </c>
      <c r="X3260" t="s">
        <v>14999</v>
      </c>
      <c r="Y3260">
        <v>0</v>
      </c>
      <c r="Z3260">
        <v>1075</v>
      </c>
    </row>
    <row r="3261" spans="1:26">
      <c r="A3261" s="1">
        <v>3259</v>
      </c>
      <c r="B3261" t="str">
        <f>HYPERLINK("https://bugs.eclipse.org/bugs/show_bug.cgi?id=158008", "158008")</f>
        <v>158008</v>
      </c>
      <c r="C3261" t="s">
        <v>149</v>
      </c>
      <c r="D3261" t="s">
        <v>10</v>
      </c>
      <c r="E3261" t="s">
        <v>12</v>
      </c>
      <c r="F3261" t="s">
        <v>26</v>
      </c>
      <c r="G3261" t="s">
        <v>15000</v>
      </c>
      <c r="L3261" t="s">
        <v>15001</v>
      </c>
      <c r="N3261" t="s">
        <v>15001</v>
      </c>
      <c r="S3261" t="s">
        <v>15002</v>
      </c>
      <c r="T3261" t="s">
        <v>15003</v>
      </c>
      <c r="U3261" t="s">
        <v>15004</v>
      </c>
      <c r="V3261" t="s">
        <v>15005</v>
      </c>
      <c r="W3261" t="s">
        <v>143</v>
      </c>
      <c r="X3261" t="s">
        <v>15006</v>
      </c>
      <c r="Y3261">
        <v>1</v>
      </c>
      <c r="Z3261">
        <v>348</v>
      </c>
    </row>
    <row r="3262" spans="1:26">
      <c r="A3262" s="1">
        <v>3260</v>
      </c>
      <c r="B3262" t="str">
        <f>HYPERLINK("https://bugs.eclipse.org/bugs/show_bug.cgi?id=158105", "158105")</f>
        <v>158105</v>
      </c>
      <c r="C3262" t="s">
        <v>25</v>
      </c>
      <c r="D3262" t="s">
        <v>25</v>
      </c>
      <c r="F3262" t="s">
        <v>26</v>
      </c>
      <c r="G3262" t="s">
        <v>15007</v>
      </c>
      <c r="L3262" t="s">
        <v>15008</v>
      </c>
      <c r="R3262" t="s">
        <v>15008</v>
      </c>
      <c r="S3262" t="s">
        <v>15009</v>
      </c>
      <c r="T3262" t="s">
        <v>15010</v>
      </c>
      <c r="U3262" t="s">
        <v>15011</v>
      </c>
      <c r="V3262" t="s">
        <v>15012</v>
      </c>
      <c r="W3262" t="s">
        <v>65</v>
      </c>
      <c r="X3262" t="s">
        <v>15013</v>
      </c>
      <c r="Y3262">
        <v>0</v>
      </c>
    </row>
    <row r="3263" spans="1:26">
      <c r="A3263" s="1">
        <v>3261</v>
      </c>
      <c r="B3263" t="str">
        <f>HYPERLINK("https://bugs.eclipse.org/bugs/show_bug.cgi?id=158396", "158396")</f>
        <v>158396</v>
      </c>
      <c r="C3263" t="s">
        <v>56</v>
      </c>
      <c r="D3263" t="s">
        <v>10</v>
      </c>
      <c r="E3263" t="s">
        <v>14</v>
      </c>
      <c r="F3263" t="s">
        <v>26</v>
      </c>
      <c r="L3263" t="s">
        <v>15014</v>
      </c>
      <c r="P3263" t="s">
        <v>15015</v>
      </c>
      <c r="T3263" t="s">
        <v>15016</v>
      </c>
      <c r="U3263" t="s">
        <v>15017</v>
      </c>
      <c r="V3263" t="s">
        <v>15015</v>
      </c>
      <c r="W3263" t="s">
        <v>75</v>
      </c>
      <c r="X3263" t="s">
        <v>15018</v>
      </c>
      <c r="Y3263">
        <v>3</v>
      </c>
      <c r="Z3263">
        <v>1073</v>
      </c>
    </row>
    <row r="3264" spans="1:26">
      <c r="A3264" s="1">
        <v>3262</v>
      </c>
      <c r="B3264" t="str">
        <f>HYPERLINK("https://bugs.eclipse.org/bugs/show_bug.cgi?id=158457", "158457")</f>
        <v>158457</v>
      </c>
      <c r="C3264" t="s">
        <v>88</v>
      </c>
      <c r="D3264" t="s">
        <v>10</v>
      </c>
      <c r="E3264" t="s">
        <v>13</v>
      </c>
      <c r="F3264" t="s">
        <v>26</v>
      </c>
      <c r="L3264" t="s">
        <v>15019</v>
      </c>
      <c r="O3264" t="s">
        <v>15019</v>
      </c>
      <c r="T3264" t="s">
        <v>15020</v>
      </c>
      <c r="U3264" t="s">
        <v>15021</v>
      </c>
      <c r="V3264" t="s">
        <v>15019</v>
      </c>
      <c r="W3264" t="s">
        <v>15022</v>
      </c>
      <c r="X3264" t="s">
        <v>15023</v>
      </c>
      <c r="Y3264">
        <v>1</v>
      </c>
      <c r="Z3264">
        <v>2</v>
      </c>
    </row>
    <row r="3265" spans="1:26">
      <c r="A3265" s="1">
        <v>3263</v>
      </c>
      <c r="B3265" t="str">
        <f>HYPERLINK("https://bugs.eclipse.org/bugs/show_bug.cgi?id=158932", "158932")</f>
        <v>158932</v>
      </c>
      <c r="C3265" t="s">
        <v>10486</v>
      </c>
      <c r="D3265" t="s">
        <v>10</v>
      </c>
      <c r="E3265" t="s">
        <v>15</v>
      </c>
      <c r="F3265" t="s">
        <v>26</v>
      </c>
      <c r="L3265" t="s">
        <v>15024</v>
      </c>
      <c r="Q3265" t="s">
        <v>15024</v>
      </c>
      <c r="T3265" t="s">
        <v>15025</v>
      </c>
      <c r="U3265" t="s">
        <v>15024</v>
      </c>
      <c r="V3265" t="s">
        <v>15024</v>
      </c>
      <c r="W3265" t="s">
        <v>49</v>
      </c>
      <c r="X3265" t="s">
        <v>15026</v>
      </c>
      <c r="Y3265">
        <v>7</v>
      </c>
      <c r="Z3265">
        <v>7</v>
      </c>
    </row>
    <row r="3266" spans="1:26">
      <c r="A3266" s="1">
        <v>3264</v>
      </c>
      <c r="B3266" t="str">
        <f>HYPERLINK("https://bugs.eclipse.org/bugs/show_bug.cgi?id=158956", "158956")</f>
        <v>158956</v>
      </c>
      <c r="C3266" t="s">
        <v>149</v>
      </c>
      <c r="D3266" t="s">
        <v>10</v>
      </c>
      <c r="E3266" t="s">
        <v>12</v>
      </c>
      <c r="F3266" t="s">
        <v>460</v>
      </c>
      <c r="G3266" t="s">
        <v>15027</v>
      </c>
      <c r="L3266" t="s">
        <v>15028</v>
      </c>
      <c r="N3266" t="s">
        <v>15028</v>
      </c>
      <c r="T3266" t="s">
        <v>15029</v>
      </c>
      <c r="U3266" t="s">
        <v>15030</v>
      </c>
      <c r="V3266" t="s">
        <v>15028</v>
      </c>
      <c r="W3266" t="s">
        <v>143</v>
      </c>
      <c r="X3266" t="s">
        <v>15031</v>
      </c>
      <c r="Y3266">
        <v>7</v>
      </c>
      <c r="Z3266">
        <v>692</v>
      </c>
    </row>
    <row r="3267" spans="1:26">
      <c r="A3267" s="1">
        <v>3265</v>
      </c>
      <c r="B3267" t="str">
        <f>HYPERLINK("https://bugs.eclipse.org/bugs/show_bug.cgi?id=159073", "159073")</f>
        <v>159073</v>
      </c>
      <c r="C3267" t="s">
        <v>35</v>
      </c>
      <c r="D3267" t="s">
        <v>11</v>
      </c>
      <c r="E3267" t="s">
        <v>12</v>
      </c>
      <c r="F3267" t="s">
        <v>26</v>
      </c>
      <c r="G3267" t="s">
        <v>15032</v>
      </c>
      <c r="L3267" t="s">
        <v>15033</v>
      </c>
      <c r="M3267" t="s">
        <v>15034</v>
      </c>
      <c r="N3267" t="s">
        <v>15033</v>
      </c>
      <c r="T3267" t="s">
        <v>15035</v>
      </c>
      <c r="U3267" t="s">
        <v>15036</v>
      </c>
      <c r="V3267" t="s">
        <v>15037</v>
      </c>
      <c r="W3267" t="s">
        <v>49</v>
      </c>
      <c r="X3267" t="s">
        <v>15038</v>
      </c>
      <c r="Y3267">
        <v>0</v>
      </c>
      <c r="Z3267">
        <v>306</v>
      </c>
    </row>
    <row r="3268" spans="1:26">
      <c r="A3268" s="1">
        <v>3266</v>
      </c>
      <c r="B3268" t="str">
        <f>HYPERLINK("https://bugs.eclipse.org/bugs/show_bug.cgi?id=159262", "159262")</f>
        <v>159262</v>
      </c>
      <c r="C3268" t="s">
        <v>8439</v>
      </c>
      <c r="D3268" t="s">
        <v>192</v>
      </c>
      <c r="E3268" t="s">
        <v>13</v>
      </c>
      <c r="F3268" t="s">
        <v>26</v>
      </c>
      <c r="L3268" t="s">
        <v>15039</v>
      </c>
      <c r="O3268" t="s">
        <v>15039</v>
      </c>
      <c r="T3268" t="s">
        <v>15040</v>
      </c>
      <c r="U3268" t="s">
        <v>15041</v>
      </c>
      <c r="V3268" t="s">
        <v>15042</v>
      </c>
      <c r="W3268" t="s">
        <v>15043</v>
      </c>
      <c r="X3268" t="s">
        <v>15044</v>
      </c>
      <c r="Y3268">
        <v>0</v>
      </c>
      <c r="Z3268">
        <v>68.041666666666671</v>
      </c>
    </row>
    <row r="3269" spans="1:26">
      <c r="A3269" s="1">
        <v>3267</v>
      </c>
      <c r="B3269" t="str">
        <f>HYPERLINK("https://bugs.eclipse.org/bugs/show_bug.cgi?id=159438", "159438")</f>
        <v>159438</v>
      </c>
      <c r="C3269" t="s">
        <v>25</v>
      </c>
      <c r="D3269" t="s">
        <v>25</v>
      </c>
      <c r="F3269" t="s">
        <v>26</v>
      </c>
      <c r="T3269" t="s">
        <v>15045</v>
      </c>
      <c r="U3269" t="s">
        <v>15046</v>
      </c>
      <c r="V3269" t="s">
        <v>15046</v>
      </c>
      <c r="W3269" t="s">
        <v>49</v>
      </c>
      <c r="X3269" t="s">
        <v>15047</v>
      </c>
      <c r="Y3269">
        <v>3</v>
      </c>
    </row>
    <row r="3270" spans="1:26">
      <c r="A3270" s="1">
        <v>3268</v>
      </c>
      <c r="B3270" t="str">
        <f>HYPERLINK("https://bugs.eclipse.org/bugs/show_bug.cgi?id=159449", "159449")</f>
        <v>159449</v>
      </c>
      <c r="C3270" t="s">
        <v>149</v>
      </c>
      <c r="D3270" t="s">
        <v>10</v>
      </c>
      <c r="E3270" t="s">
        <v>12</v>
      </c>
      <c r="F3270" t="s">
        <v>26</v>
      </c>
      <c r="L3270" t="s">
        <v>15048</v>
      </c>
      <c r="N3270" t="s">
        <v>15048</v>
      </c>
      <c r="S3270" t="s">
        <v>15049</v>
      </c>
      <c r="T3270" t="s">
        <v>15050</v>
      </c>
      <c r="U3270" t="s">
        <v>15051</v>
      </c>
      <c r="V3270" t="s">
        <v>15048</v>
      </c>
      <c r="W3270" t="s">
        <v>1954</v>
      </c>
      <c r="X3270" t="s">
        <v>15052</v>
      </c>
      <c r="Y3270">
        <v>3</v>
      </c>
      <c r="Z3270">
        <v>8</v>
      </c>
    </row>
    <row r="3271" spans="1:26">
      <c r="A3271" s="1">
        <v>3269</v>
      </c>
      <c r="B3271" t="str">
        <f>HYPERLINK("https://bugs.eclipse.org/bugs/show_bug.cgi?id=159551", "159551")</f>
        <v>159551</v>
      </c>
      <c r="C3271" t="s">
        <v>191</v>
      </c>
      <c r="D3271" t="s">
        <v>192</v>
      </c>
      <c r="E3271" t="s">
        <v>14</v>
      </c>
      <c r="F3271" t="s">
        <v>26</v>
      </c>
      <c r="P3271" t="s">
        <v>15053</v>
      </c>
      <c r="T3271" t="s">
        <v>15054</v>
      </c>
      <c r="U3271" t="s">
        <v>15055</v>
      </c>
      <c r="V3271" t="s">
        <v>15053</v>
      </c>
      <c r="W3271" t="s">
        <v>65</v>
      </c>
      <c r="X3271" t="s">
        <v>15056</v>
      </c>
      <c r="Y3271">
        <v>2</v>
      </c>
      <c r="Z3271">
        <v>4854.041666666667</v>
      </c>
    </row>
    <row r="3272" spans="1:26">
      <c r="A3272" s="1">
        <v>3270</v>
      </c>
      <c r="B3272" t="str">
        <f>HYPERLINK("https://bugs.eclipse.org/bugs/show_bug.cgi?id=159733", "159733")</f>
        <v>159733</v>
      </c>
      <c r="C3272" t="s">
        <v>140</v>
      </c>
      <c r="D3272" t="s">
        <v>10</v>
      </c>
      <c r="E3272" t="s">
        <v>16</v>
      </c>
      <c r="F3272" t="s">
        <v>26</v>
      </c>
      <c r="L3272" t="s">
        <v>15057</v>
      </c>
      <c r="R3272" t="s">
        <v>15057</v>
      </c>
      <c r="T3272" t="s">
        <v>15058</v>
      </c>
      <c r="U3272" t="s">
        <v>15057</v>
      </c>
      <c r="V3272" t="s">
        <v>15057</v>
      </c>
      <c r="W3272" t="s">
        <v>49</v>
      </c>
      <c r="X3272" t="s">
        <v>15059</v>
      </c>
      <c r="Y3272">
        <v>1</v>
      </c>
      <c r="Z3272">
        <v>1</v>
      </c>
    </row>
    <row r="3273" spans="1:26">
      <c r="A3273" s="1">
        <v>3271</v>
      </c>
      <c r="B3273" t="str">
        <f>HYPERLINK("https://bugs.eclipse.org/bugs/show_bug.cgi?id=159917", "159917")</f>
        <v>159917</v>
      </c>
      <c r="C3273" t="s">
        <v>149</v>
      </c>
      <c r="D3273" t="s">
        <v>10</v>
      </c>
      <c r="E3273" t="s">
        <v>12</v>
      </c>
      <c r="F3273" t="s">
        <v>26</v>
      </c>
      <c r="L3273" t="s">
        <v>15060</v>
      </c>
      <c r="N3273" t="s">
        <v>15060</v>
      </c>
      <c r="T3273" t="s">
        <v>15061</v>
      </c>
      <c r="U3273" t="s">
        <v>15062</v>
      </c>
      <c r="V3273" t="s">
        <v>15060</v>
      </c>
      <c r="W3273" t="s">
        <v>4846</v>
      </c>
      <c r="X3273" t="s">
        <v>15063</v>
      </c>
      <c r="Y3273">
        <v>1</v>
      </c>
      <c r="Z3273">
        <v>2507</v>
      </c>
    </row>
    <row r="3274" spans="1:26">
      <c r="A3274" s="1">
        <v>3272</v>
      </c>
      <c r="B3274" t="str">
        <f>HYPERLINK("https://bugs.eclipse.org/bugs/show_bug.cgi?id=160010", "160010")</f>
        <v>160010</v>
      </c>
      <c r="C3274" t="s">
        <v>149</v>
      </c>
      <c r="D3274" t="s">
        <v>10</v>
      </c>
      <c r="E3274" t="s">
        <v>12</v>
      </c>
      <c r="F3274" t="s">
        <v>26</v>
      </c>
      <c r="L3274" t="s">
        <v>15064</v>
      </c>
      <c r="N3274" t="s">
        <v>15064</v>
      </c>
      <c r="T3274" t="s">
        <v>15065</v>
      </c>
      <c r="U3274" t="s">
        <v>15064</v>
      </c>
      <c r="V3274" t="s">
        <v>15064</v>
      </c>
      <c r="W3274" t="s">
        <v>49</v>
      </c>
      <c r="X3274" t="s">
        <v>15066</v>
      </c>
      <c r="Y3274">
        <v>0</v>
      </c>
      <c r="Z3274">
        <v>0</v>
      </c>
    </row>
    <row r="3275" spans="1:26">
      <c r="A3275" s="1">
        <v>3273</v>
      </c>
      <c r="B3275" t="str">
        <f>HYPERLINK("https://bugs.eclipse.org/bugs/show_bug.cgi?id=160212", "160212")</f>
        <v>160212</v>
      </c>
      <c r="C3275" t="s">
        <v>25</v>
      </c>
      <c r="D3275" t="s">
        <v>25</v>
      </c>
      <c r="F3275" t="s">
        <v>26</v>
      </c>
      <c r="G3275" t="s">
        <v>15067</v>
      </c>
      <c r="T3275" t="s">
        <v>15068</v>
      </c>
      <c r="U3275" t="s">
        <v>15069</v>
      </c>
      <c r="V3275" t="s">
        <v>15070</v>
      </c>
      <c r="W3275" t="s">
        <v>6360</v>
      </c>
      <c r="X3275" t="s">
        <v>15071</v>
      </c>
      <c r="Y3275">
        <v>1</v>
      </c>
    </row>
    <row r="3276" spans="1:26">
      <c r="A3276" s="1">
        <v>3274</v>
      </c>
      <c r="B3276" t="str">
        <f>HYPERLINK("https://bugs.eclipse.org/bugs/show_bug.cgi?id=160218", "160218")</f>
        <v>160218</v>
      </c>
      <c r="C3276" t="s">
        <v>149</v>
      </c>
      <c r="D3276" t="s">
        <v>10</v>
      </c>
      <c r="E3276" t="s">
        <v>12</v>
      </c>
      <c r="F3276" t="s">
        <v>26</v>
      </c>
      <c r="L3276" t="s">
        <v>15072</v>
      </c>
      <c r="N3276" t="s">
        <v>15072</v>
      </c>
      <c r="T3276" t="s">
        <v>15073</v>
      </c>
      <c r="U3276" t="s">
        <v>15072</v>
      </c>
      <c r="V3276" t="s">
        <v>15072</v>
      </c>
      <c r="W3276" t="s">
        <v>1954</v>
      </c>
      <c r="X3276" t="s">
        <v>15074</v>
      </c>
      <c r="Y3276">
        <v>0</v>
      </c>
      <c r="Z3276">
        <v>0</v>
      </c>
    </row>
    <row r="3277" spans="1:26">
      <c r="A3277" s="1">
        <v>3275</v>
      </c>
      <c r="B3277" t="str">
        <f>HYPERLINK("https://bugs.eclipse.org/bugs/show_bug.cgi?id=160444", "160444")</f>
        <v>160444</v>
      </c>
      <c r="C3277" t="s">
        <v>191</v>
      </c>
      <c r="D3277" t="s">
        <v>192</v>
      </c>
      <c r="E3277" t="s">
        <v>14</v>
      </c>
      <c r="F3277" t="s">
        <v>26</v>
      </c>
      <c r="T3277" t="s">
        <v>15075</v>
      </c>
      <c r="U3277" t="s">
        <v>15076</v>
      </c>
      <c r="V3277" t="s">
        <v>15077</v>
      </c>
      <c r="W3277" t="s">
        <v>65</v>
      </c>
      <c r="X3277" t="s">
        <v>15078</v>
      </c>
      <c r="Y3277">
        <v>5</v>
      </c>
      <c r="Z3277">
        <v>4801.041666666667</v>
      </c>
    </row>
    <row r="3278" spans="1:26">
      <c r="A3278" s="1">
        <v>3276</v>
      </c>
      <c r="B3278" t="str">
        <f>HYPERLINK("https://bugs.eclipse.org/bugs/show_bug.cgi?id=160553", "160553")</f>
        <v>160553</v>
      </c>
      <c r="C3278" t="s">
        <v>35</v>
      </c>
      <c r="D3278" t="s">
        <v>11</v>
      </c>
      <c r="E3278" t="s">
        <v>12</v>
      </c>
      <c r="F3278" t="s">
        <v>150</v>
      </c>
      <c r="L3278" t="s">
        <v>15079</v>
      </c>
      <c r="M3278" t="s">
        <v>15080</v>
      </c>
      <c r="N3278" t="s">
        <v>15079</v>
      </c>
      <c r="T3278" t="s">
        <v>15081</v>
      </c>
      <c r="U3278" t="s">
        <v>15082</v>
      </c>
      <c r="V3278" t="s">
        <v>15080</v>
      </c>
      <c r="W3278" t="s">
        <v>1954</v>
      </c>
      <c r="X3278" t="s">
        <v>15083</v>
      </c>
      <c r="Y3278">
        <v>0</v>
      </c>
      <c r="Z3278">
        <v>203</v>
      </c>
    </row>
    <row r="3279" spans="1:26">
      <c r="A3279" s="1">
        <v>3277</v>
      </c>
      <c r="B3279" t="str">
        <f>HYPERLINK("https://bugs.eclipse.org/bugs/show_bug.cgi?id=160609", "160609")</f>
        <v>160609</v>
      </c>
      <c r="C3279" t="s">
        <v>140</v>
      </c>
      <c r="D3279" t="s">
        <v>10</v>
      </c>
      <c r="E3279" t="s">
        <v>16</v>
      </c>
      <c r="F3279" t="s">
        <v>26</v>
      </c>
      <c r="G3279" t="s">
        <v>15084</v>
      </c>
      <c r="L3279" t="s">
        <v>15085</v>
      </c>
      <c r="R3279" t="s">
        <v>15085</v>
      </c>
      <c r="T3279" t="s">
        <v>15086</v>
      </c>
      <c r="U3279" t="s">
        <v>15087</v>
      </c>
      <c r="V3279" t="s">
        <v>15085</v>
      </c>
      <c r="W3279" t="s">
        <v>143</v>
      </c>
      <c r="X3279" t="s">
        <v>15088</v>
      </c>
      <c r="Y3279">
        <v>1</v>
      </c>
      <c r="Z3279">
        <v>1315</v>
      </c>
    </row>
    <row r="3280" spans="1:26">
      <c r="A3280" s="1">
        <v>3278</v>
      </c>
      <c r="B3280" t="str">
        <f>HYPERLINK("https://bugs.eclipse.org/bugs/show_bug.cgi?id=160729", "160729")</f>
        <v>160729</v>
      </c>
      <c r="C3280" t="s">
        <v>56</v>
      </c>
      <c r="D3280" t="s">
        <v>10</v>
      </c>
      <c r="E3280" t="s">
        <v>14</v>
      </c>
      <c r="F3280" t="s">
        <v>460</v>
      </c>
      <c r="G3280" t="s">
        <v>15089</v>
      </c>
      <c r="H3280" t="s">
        <v>15090</v>
      </c>
      <c r="L3280" t="s">
        <v>15091</v>
      </c>
      <c r="P3280" t="s">
        <v>15091</v>
      </c>
      <c r="S3280" t="s">
        <v>15092</v>
      </c>
      <c r="T3280" t="s">
        <v>15093</v>
      </c>
      <c r="U3280" t="s">
        <v>15094</v>
      </c>
      <c r="V3280" t="s">
        <v>15091</v>
      </c>
      <c r="W3280" t="s">
        <v>143</v>
      </c>
      <c r="X3280" t="s">
        <v>15095</v>
      </c>
      <c r="Y3280">
        <v>0</v>
      </c>
      <c r="Z3280">
        <v>4819.041666666667</v>
      </c>
    </row>
    <row r="3281" spans="1:26">
      <c r="A3281" s="1">
        <v>3279</v>
      </c>
      <c r="B3281" t="str">
        <f>HYPERLINK("https://bugs.eclipse.org/bugs/show_bug.cgi?id=160853", "160853")</f>
        <v>160853</v>
      </c>
      <c r="C3281" t="s">
        <v>35</v>
      </c>
      <c r="D3281" t="s">
        <v>11</v>
      </c>
      <c r="E3281" t="s">
        <v>12</v>
      </c>
      <c r="F3281" t="s">
        <v>26</v>
      </c>
      <c r="L3281" t="s">
        <v>15096</v>
      </c>
      <c r="M3281" t="s">
        <v>15097</v>
      </c>
      <c r="N3281" t="s">
        <v>15096</v>
      </c>
      <c r="T3281" t="s">
        <v>15098</v>
      </c>
      <c r="U3281" t="s">
        <v>15099</v>
      </c>
      <c r="V3281" t="s">
        <v>15100</v>
      </c>
      <c r="W3281" t="s">
        <v>143</v>
      </c>
      <c r="X3281" t="s">
        <v>15101</v>
      </c>
      <c r="Y3281">
        <v>3</v>
      </c>
      <c r="Z3281">
        <v>1026</v>
      </c>
    </row>
    <row r="3282" spans="1:26">
      <c r="A3282" s="1">
        <v>3280</v>
      </c>
      <c r="B3282" t="str">
        <f>HYPERLINK("https://bugs.eclipse.org/bugs/show_bug.cgi?id=161522", "161522")</f>
        <v>161522</v>
      </c>
      <c r="C3282" t="s">
        <v>15102</v>
      </c>
      <c r="D3282" t="s">
        <v>10</v>
      </c>
      <c r="E3282" t="s">
        <v>15</v>
      </c>
      <c r="F3282" t="s">
        <v>26</v>
      </c>
      <c r="L3282" t="s">
        <v>15103</v>
      </c>
      <c r="Q3282" t="s">
        <v>15103</v>
      </c>
      <c r="T3282" t="s">
        <v>15104</v>
      </c>
      <c r="U3282" t="s">
        <v>15105</v>
      </c>
      <c r="V3282" t="s">
        <v>15103</v>
      </c>
      <c r="W3282" t="s">
        <v>49</v>
      </c>
      <c r="X3282" t="s">
        <v>15106</v>
      </c>
      <c r="Y3282">
        <v>0</v>
      </c>
      <c r="Z3282">
        <v>1</v>
      </c>
    </row>
    <row r="3283" spans="1:26">
      <c r="A3283" s="1">
        <v>3281</v>
      </c>
      <c r="B3283" t="str">
        <f>HYPERLINK("https://bugs.eclipse.org/bugs/show_bug.cgi?id=161713", "161713")</f>
        <v>161713</v>
      </c>
      <c r="C3283" t="s">
        <v>149</v>
      </c>
      <c r="D3283" t="s">
        <v>10</v>
      </c>
      <c r="E3283" t="s">
        <v>12</v>
      </c>
      <c r="F3283" t="s">
        <v>26</v>
      </c>
      <c r="L3283" t="s">
        <v>15107</v>
      </c>
      <c r="N3283" t="s">
        <v>15107</v>
      </c>
      <c r="T3283" t="s">
        <v>15108</v>
      </c>
      <c r="U3283" t="s">
        <v>15107</v>
      </c>
      <c r="V3283" t="s">
        <v>15107</v>
      </c>
      <c r="W3283" t="s">
        <v>1954</v>
      </c>
      <c r="X3283" t="s">
        <v>15109</v>
      </c>
      <c r="Y3283">
        <v>0</v>
      </c>
      <c r="Z3283">
        <v>0</v>
      </c>
    </row>
    <row r="3284" spans="1:26">
      <c r="A3284" s="1">
        <v>3282</v>
      </c>
      <c r="B3284" t="str">
        <f>HYPERLINK("https://bugs.eclipse.org/bugs/show_bug.cgi?id=161927", "161927")</f>
        <v>161927</v>
      </c>
      <c r="C3284" t="s">
        <v>149</v>
      </c>
      <c r="D3284" t="s">
        <v>10</v>
      </c>
      <c r="E3284" t="s">
        <v>12</v>
      </c>
      <c r="F3284" t="s">
        <v>26</v>
      </c>
      <c r="G3284" t="s">
        <v>15110</v>
      </c>
      <c r="L3284" t="s">
        <v>15111</v>
      </c>
      <c r="N3284" t="s">
        <v>15111</v>
      </c>
      <c r="T3284" t="s">
        <v>15112</v>
      </c>
      <c r="U3284" t="s">
        <v>15113</v>
      </c>
      <c r="V3284" t="s">
        <v>15111</v>
      </c>
      <c r="W3284" t="s">
        <v>1954</v>
      </c>
      <c r="X3284" t="s">
        <v>15114</v>
      </c>
      <c r="Y3284">
        <v>0</v>
      </c>
      <c r="Z3284">
        <v>3</v>
      </c>
    </row>
    <row r="3285" spans="1:26">
      <c r="A3285" s="1">
        <v>3283</v>
      </c>
      <c r="B3285" t="str">
        <f>HYPERLINK("https://bugs.eclipse.org/bugs/show_bug.cgi?id=161954", "161954")</f>
        <v>161954</v>
      </c>
      <c r="C3285" t="s">
        <v>15115</v>
      </c>
      <c r="D3285" t="s">
        <v>10</v>
      </c>
      <c r="E3285" t="s">
        <v>15</v>
      </c>
      <c r="F3285" t="s">
        <v>26</v>
      </c>
      <c r="L3285" t="s">
        <v>15116</v>
      </c>
      <c r="Q3285" t="s">
        <v>15116</v>
      </c>
      <c r="T3285" t="s">
        <v>15117</v>
      </c>
      <c r="U3285" t="s">
        <v>15118</v>
      </c>
      <c r="V3285" t="s">
        <v>15116</v>
      </c>
      <c r="W3285" t="s">
        <v>851</v>
      </c>
      <c r="X3285" t="s">
        <v>15119</v>
      </c>
      <c r="Y3285">
        <v>0</v>
      </c>
      <c r="Z3285">
        <v>1</v>
      </c>
    </row>
    <row r="3286" spans="1:26">
      <c r="A3286" s="1">
        <v>3284</v>
      </c>
      <c r="B3286" t="str">
        <f>HYPERLINK("https://bugs.eclipse.org/bugs/show_bug.cgi?id=162196", "162196")</f>
        <v>162196</v>
      </c>
      <c r="C3286" t="s">
        <v>15120</v>
      </c>
      <c r="D3286" t="s">
        <v>10</v>
      </c>
      <c r="E3286" t="s">
        <v>15</v>
      </c>
      <c r="F3286" t="s">
        <v>26</v>
      </c>
      <c r="L3286" t="s">
        <v>15121</v>
      </c>
      <c r="Q3286" t="s">
        <v>15121</v>
      </c>
      <c r="T3286" t="s">
        <v>15122</v>
      </c>
      <c r="U3286" t="s">
        <v>15121</v>
      </c>
      <c r="V3286" t="s">
        <v>15121</v>
      </c>
      <c r="W3286" t="s">
        <v>851</v>
      </c>
      <c r="X3286" t="s">
        <v>15123</v>
      </c>
      <c r="Y3286">
        <v>0</v>
      </c>
      <c r="Z3286">
        <v>0</v>
      </c>
    </row>
    <row r="3287" spans="1:26">
      <c r="A3287" s="1">
        <v>3285</v>
      </c>
      <c r="B3287" t="str">
        <f>HYPERLINK("https://bugs.eclipse.org/bugs/show_bug.cgi?id=162342", "162342")</f>
        <v>162342</v>
      </c>
      <c r="C3287" t="s">
        <v>15124</v>
      </c>
      <c r="D3287" t="s">
        <v>10</v>
      </c>
      <c r="E3287" t="s">
        <v>15</v>
      </c>
      <c r="F3287" t="s">
        <v>26</v>
      </c>
      <c r="L3287" t="s">
        <v>15125</v>
      </c>
      <c r="Q3287" t="s">
        <v>15125</v>
      </c>
      <c r="T3287" t="s">
        <v>15126</v>
      </c>
      <c r="U3287" t="s">
        <v>15125</v>
      </c>
      <c r="V3287" t="s">
        <v>15125</v>
      </c>
      <c r="W3287" t="s">
        <v>851</v>
      </c>
      <c r="X3287" t="s">
        <v>15127</v>
      </c>
      <c r="Y3287">
        <v>1</v>
      </c>
      <c r="Z3287">
        <v>1</v>
      </c>
    </row>
    <row r="3288" spans="1:26">
      <c r="A3288" s="1">
        <v>3286</v>
      </c>
      <c r="B3288" t="str">
        <f>HYPERLINK("https://bugs.eclipse.org/bugs/show_bug.cgi?id=162424", "162424")</f>
        <v>162424</v>
      </c>
      <c r="C3288" t="s">
        <v>2160</v>
      </c>
      <c r="D3288" t="s">
        <v>192</v>
      </c>
      <c r="E3288" t="s">
        <v>16</v>
      </c>
      <c r="F3288" t="s">
        <v>26</v>
      </c>
      <c r="L3288" t="s">
        <v>15128</v>
      </c>
      <c r="R3288" t="s">
        <v>15128</v>
      </c>
      <c r="T3288" t="s">
        <v>15129</v>
      </c>
      <c r="U3288" t="s">
        <v>15130</v>
      </c>
      <c r="V3288" t="s">
        <v>15131</v>
      </c>
      <c r="W3288" t="s">
        <v>15132</v>
      </c>
      <c r="X3288" t="s">
        <v>15133</v>
      </c>
      <c r="Y3288">
        <v>0</v>
      </c>
      <c r="Z3288">
        <v>1</v>
      </c>
    </row>
    <row r="3289" spans="1:26">
      <c r="A3289" s="1">
        <v>3287</v>
      </c>
      <c r="B3289" t="str">
        <f>HYPERLINK("https://bugs.eclipse.org/bugs/show_bug.cgi?id=162908", "162908")</f>
        <v>162908</v>
      </c>
      <c r="C3289" t="s">
        <v>149</v>
      </c>
      <c r="D3289" t="s">
        <v>10</v>
      </c>
      <c r="E3289" t="s">
        <v>12</v>
      </c>
      <c r="F3289" t="s">
        <v>26</v>
      </c>
      <c r="L3289" t="s">
        <v>15134</v>
      </c>
      <c r="N3289" t="s">
        <v>15134</v>
      </c>
      <c r="T3289" t="s">
        <v>15135</v>
      </c>
      <c r="U3289" t="s">
        <v>15136</v>
      </c>
      <c r="V3289" t="s">
        <v>15134</v>
      </c>
      <c r="W3289" t="s">
        <v>851</v>
      </c>
      <c r="X3289" t="s">
        <v>15137</v>
      </c>
      <c r="Y3289">
        <v>0</v>
      </c>
      <c r="Z3289">
        <v>6</v>
      </c>
    </row>
    <row r="3290" spans="1:26">
      <c r="A3290" s="1">
        <v>3288</v>
      </c>
      <c r="B3290" t="str">
        <f>HYPERLINK("https://bugs.eclipse.org/bugs/show_bug.cgi?id=162911", "162911")</f>
        <v>162911</v>
      </c>
      <c r="C3290" t="s">
        <v>149</v>
      </c>
      <c r="D3290" t="s">
        <v>10</v>
      </c>
      <c r="E3290" t="s">
        <v>12</v>
      </c>
      <c r="F3290" t="s">
        <v>26</v>
      </c>
      <c r="L3290" t="s">
        <v>15138</v>
      </c>
      <c r="N3290" t="s">
        <v>15138</v>
      </c>
      <c r="T3290" t="s">
        <v>15139</v>
      </c>
      <c r="U3290" t="s">
        <v>15140</v>
      </c>
      <c r="V3290" t="s">
        <v>15138</v>
      </c>
      <c r="W3290" t="s">
        <v>851</v>
      </c>
      <c r="X3290" t="s">
        <v>15141</v>
      </c>
      <c r="Y3290">
        <v>0</v>
      </c>
      <c r="Z3290">
        <v>6</v>
      </c>
    </row>
    <row r="3291" spans="1:26">
      <c r="A3291" s="1">
        <v>3289</v>
      </c>
      <c r="B3291" t="str">
        <f>HYPERLINK("https://bugs.eclipse.org/bugs/show_bug.cgi?id=162913", "162913")</f>
        <v>162913</v>
      </c>
      <c r="C3291" t="s">
        <v>4692</v>
      </c>
      <c r="D3291" t="s">
        <v>4692</v>
      </c>
      <c r="F3291" t="s">
        <v>26</v>
      </c>
      <c r="T3291" t="s">
        <v>15142</v>
      </c>
      <c r="U3291" t="s">
        <v>15143</v>
      </c>
      <c r="V3291" t="s">
        <v>15144</v>
      </c>
      <c r="W3291" t="s">
        <v>143</v>
      </c>
      <c r="X3291" t="s">
        <v>15145</v>
      </c>
      <c r="Y3291">
        <v>0</v>
      </c>
    </row>
    <row r="3292" spans="1:26">
      <c r="A3292" s="1">
        <v>3290</v>
      </c>
      <c r="B3292" t="str">
        <f>HYPERLINK("https://bugs.eclipse.org/bugs/show_bug.cgi?id=162914", "162914")</f>
        <v>162914</v>
      </c>
      <c r="C3292" t="s">
        <v>149</v>
      </c>
      <c r="D3292" t="s">
        <v>10</v>
      </c>
      <c r="E3292" t="s">
        <v>12</v>
      </c>
      <c r="F3292" t="s">
        <v>26</v>
      </c>
      <c r="L3292" t="s">
        <v>15146</v>
      </c>
      <c r="N3292" t="s">
        <v>15146</v>
      </c>
      <c r="T3292" t="s">
        <v>15147</v>
      </c>
      <c r="U3292" t="s">
        <v>15148</v>
      </c>
      <c r="V3292" t="s">
        <v>15146</v>
      </c>
      <c r="W3292" t="s">
        <v>851</v>
      </c>
      <c r="X3292" t="s">
        <v>15149</v>
      </c>
      <c r="Y3292">
        <v>0</v>
      </c>
      <c r="Z3292">
        <v>6</v>
      </c>
    </row>
    <row r="3293" spans="1:26">
      <c r="A3293" s="1">
        <v>3291</v>
      </c>
      <c r="B3293" t="str">
        <f>HYPERLINK("https://bugs.eclipse.org/bugs/show_bug.cgi?id=163063", "163063")</f>
        <v>163063</v>
      </c>
      <c r="C3293" t="s">
        <v>149</v>
      </c>
      <c r="D3293" t="s">
        <v>10</v>
      </c>
      <c r="E3293" t="s">
        <v>12</v>
      </c>
      <c r="F3293" t="s">
        <v>26</v>
      </c>
      <c r="L3293" t="s">
        <v>15150</v>
      </c>
      <c r="N3293" t="s">
        <v>15150</v>
      </c>
      <c r="T3293" t="s">
        <v>15151</v>
      </c>
      <c r="U3293" t="s">
        <v>15152</v>
      </c>
      <c r="V3293" t="s">
        <v>15150</v>
      </c>
      <c r="W3293" t="s">
        <v>49</v>
      </c>
      <c r="X3293" t="s">
        <v>15153</v>
      </c>
      <c r="Y3293">
        <v>1</v>
      </c>
      <c r="Z3293">
        <v>28</v>
      </c>
    </row>
    <row r="3294" spans="1:26">
      <c r="A3294" s="1">
        <v>3292</v>
      </c>
      <c r="B3294" t="str">
        <f>HYPERLINK("https://bugs.eclipse.org/bugs/show_bug.cgi?id=163238", "163238")</f>
        <v>163238</v>
      </c>
      <c r="C3294" t="s">
        <v>56</v>
      </c>
      <c r="D3294" t="s">
        <v>10</v>
      </c>
      <c r="E3294" t="s">
        <v>14</v>
      </c>
      <c r="F3294" t="s">
        <v>26</v>
      </c>
      <c r="L3294" t="s">
        <v>15154</v>
      </c>
      <c r="P3294" t="s">
        <v>15154</v>
      </c>
      <c r="T3294" t="s">
        <v>15155</v>
      </c>
      <c r="U3294" t="s">
        <v>15156</v>
      </c>
      <c r="V3294" t="s">
        <v>15154</v>
      </c>
      <c r="W3294" t="s">
        <v>143</v>
      </c>
      <c r="X3294" t="s">
        <v>15157</v>
      </c>
      <c r="Y3294">
        <v>0</v>
      </c>
      <c r="Z3294">
        <v>4803</v>
      </c>
    </row>
    <row r="3295" spans="1:26">
      <c r="A3295" s="1">
        <v>3293</v>
      </c>
      <c r="B3295" t="str">
        <f>HYPERLINK("https://bugs.eclipse.org/bugs/show_bug.cgi?id=163354", "163354")</f>
        <v>163354</v>
      </c>
      <c r="C3295" t="s">
        <v>14726</v>
      </c>
      <c r="D3295" t="s">
        <v>10</v>
      </c>
      <c r="E3295" t="s">
        <v>15</v>
      </c>
      <c r="F3295" t="s">
        <v>26</v>
      </c>
      <c r="L3295" t="s">
        <v>15158</v>
      </c>
      <c r="Q3295" t="s">
        <v>15158</v>
      </c>
      <c r="T3295" t="s">
        <v>15159</v>
      </c>
      <c r="U3295" t="s">
        <v>15158</v>
      </c>
      <c r="V3295" t="s">
        <v>15158</v>
      </c>
      <c r="W3295" t="s">
        <v>851</v>
      </c>
      <c r="X3295" t="s">
        <v>15160</v>
      </c>
      <c r="Y3295">
        <v>0</v>
      </c>
      <c r="Z3295">
        <v>0</v>
      </c>
    </row>
    <row r="3296" spans="1:26">
      <c r="A3296" s="1">
        <v>3294</v>
      </c>
      <c r="B3296" t="str">
        <f>HYPERLINK("https://bugs.eclipse.org/bugs/show_bug.cgi?id=163640", "163640")</f>
        <v>163640</v>
      </c>
      <c r="C3296" t="s">
        <v>140</v>
      </c>
      <c r="D3296" t="s">
        <v>10</v>
      </c>
      <c r="E3296" t="s">
        <v>16</v>
      </c>
      <c r="F3296" t="s">
        <v>26</v>
      </c>
      <c r="L3296" t="s">
        <v>15161</v>
      </c>
      <c r="R3296" t="s">
        <v>15161</v>
      </c>
      <c r="T3296" t="s">
        <v>15162</v>
      </c>
      <c r="U3296" t="s">
        <v>15163</v>
      </c>
      <c r="V3296" t="s">
        <v>15161</v>
      </c>
      <c r="W3296" t="s">
        <v>1954</v>
      </c>
      <c r="X3296" t="s">
        <v>15164</v>
      </c>
      <c r="Y3296">
        <v>0</v>
      </c>
      <c r="Z3296">
        <v>205.95833333333329</v>
      </c>
    </row>
    <row r="3297" spans="1:26">
      <c r="A3297" s="1">
        <v>3295</v>
      </c>
      <c r="B3297" t="str">
        <f>HYPERLINK("https://bugs.eclipse.org/bugs/show_bug.cgi?id=163772", "163772")</f>
        <v>163772</v>
      </c>
      <c r="C3297" t="s">
        <v>15165</v>
      </c>
      <c r="D3297" t="s">
        <v>10</v>
      </c>
      <c r="E3297" t="s">
        <v>15</v>
      </c>
      <c r="F3297" t="s">
        <v>26</v>
      </c>
      <c r="L3297" t="s">
        <v>15166</v>
      </c>
      <c r="Q3297" t="s">
        <v>15166</v>
      </c>
      <c r="T3297" t="s">
        <v>15167</v>
      </c>
      <c r="U3297" t="s">
        <v>15168</v>
      </c>
      <c r="V3297" t="s">
        <v>15166</v>
      </c>
      <c r="W3297" t="s">
        <v>851</v>
      </c>
      <c r="X3297" t="s">
        <v>15169</v>
      </c>
      <c r="Y3297">
        <v>2</v>
      </c>
      <c r="Z3297">
        <v>98</v>
      </c>
    </row>
    <row r="3298" spans="1:26">
      <c r="A3298" s="1">
        <v>3296</v>
      </c>
      <c r="B3298" t="str">
        <f>HYPERLINK("https://bugs.eclipse.org/bugs/show_bug.cgi?id=163960", "163960")</f>
        <v>163960</v>
      </c>
      <c r="C3298" t="s">
        <v>6919</v>
      </c>
      <c r="D3298" t="s">
        <v>10</v>
      </c>
      <c r="E3298" t="s">
        <v>15</v>
      </c>
      <c r="F3298" t="s">
        <v>26</v>
      </c>
      <c r="L3298" t="s">
        <v>15170</v>
      </c>
      <c r="Q3298" t="s">
        <v>15170</v>
      </c>
      <c r="T3298" t="s">
        <v>15171</v>
      </c>
      <c r="U3298" t="s">
        <v>15170</v>
      </c>
      <c r="V3298" t="s">
        <v>15170</v>
      </c>
      <c r="W3298" t="s">
        <v>49</v>
      </c>
      <c r="X3298" t="s">
        <v>15172</v>
      </c>
      <c r="Y3298">
        <v>1</v>
      </c>
      <c r="Z3298">
        <v>1</v>
      </c>
    </row>
    <row r="3299" spans="1:26">
      <c r="A3299" s="1">
        <v>3297</v>
      </c>
      <c r="B3299" t="str">
        <f>HYPERLINK("https://bugs.eclipse.org/bugs/show_bug.cgi?id=164105", "164105")</f>
        <v>164105</v>
      </c>
      <c r="C3299" t="s">
        <v>149</v>
      </c>
      <c r="D3299" t="s">
        <v>10</v>
      </c>
      <c r="E3299" t="s">
        <v>12</v>
      </c>
      <c r="F3299" t="s">
        <v>26</v>
      </c>
      <c r="L3299" t="s">
        <v>15173</v>
      </c>
      <c r="N3299" t="s">
        <v>15173</v>
      </c>
      <c r="T3299" t="s">
        <v>15174</v>
      </c>
      <c r="U3299" t="s">
        <v>15175</v>
      </c>
      <c r="V3299" t="s">
        <v>15173</v>
      </c>
      <c r="W3299" t="s">
        <v>851</v>
      </c>
      <c r="X3299" t="s">
        <v>15176</v>
      </c>
      <c r="Y3299">
        <v>3</v>
      </c>
      <c r="Z3299">
        <v>4</v>
      </c>
    </row>
    <row r="3300" spans="1:26">
      <c r="A3300" s="1">
        <v>3298</v>
      </c>
      <c r="B3300" t="str">
        <f>HYPERLINK("https://bugs.eclipse.org/bugs/show_bug.cgi?id=164156", "164156")</f>
        <v>164156</v>
      </c>
      <c r="C3300" t="s">
        <v>15177</v>
      </c>
      <c r="D3300" t="s">
        <v>10</v>
      </c>
      <c r="E3300" t="s">
        <v>15</v>
      </c>
      <c r="F3300" t="s">
        <v>26</v>
      </c>
      <c r="G3300" t="s">
        <v>15178</v>
      </c>
      <c r="L3300" t="s">
        <v>15179</v>
      </c>
      <c r="Q3300" t="s">
        <v>15179</v>
      </c>
      <c r="T3300" t="s">
        <v>15180</v>
      </c>
      <c r="U3300" t="s">
        <v>15181</v>
      </c>
      <c r="V3300" t="s">
        <v>15179</v>
      </c>
      <c r="W3300" t="s">
        <v>2738</v>
      </c>
      <c r="X3300" t="s">
        <v>15182</v>
      </c>
      <c r="Y3300">
        <v>4</v>
      </c>
      <c r="Z3300">
        <v>61</v>
      </c>
    </row>
    <row r="3301" spans="1:26">
      <c r="A3301" s="1">
        <v>3299</v>
      </c>
      <c r="B3301" t="str">
        <f>HYPERLINK("https://bugs.eclipse.org/bugs/show_bug.cgi?id=164955", "164955")</f>
        <v>164955</v>
      </c>
      <c r="C3301" t="s">
        <v>4692</v>
      </c>
      <c r="D3301" t="s">
        <v>4692</v>
      </c>
      <c r="F3301" t="s">
        <v>26</v>
      </c>
      <c r="T3301" t="s">
        <v>15183</v>
      </c>
      <c r="U3301" t="s">
        <v>15184</v>
      </c>
      <c r="V3301" t="s">
        <v>15185</v>
      </c>
      <c r="W3301" t="s">
        <v>49</v>
      </c>
      <c r="X3301" t="s">
        <v>15186</v>
      </c>
      <c r="Y3301">
        <v>0</v>
      </c>
    </row>
    <row r="3302" spans="1:26">
      <c r="A3302" s="1">
        <v>3300</v>
      </c>
      <c r="B3302" t="str">
        <f>HYPERLINK("https://bugs.eclipse.org/bugs/show_bug.cgi?id=164971", "164971")</f>
        <v>164971</v>
      </c>
      <c r="C3302" t="s">
        <v>88</v>
      </c>
      <c r="D3302" t="s">
        <v>10</v>
      </c>
      <c r="E3302" t="s">
        <v>13</v>
      </c>
      <c r="F3302" t="s">
        <v>26</v>
      </c>
      <c r="L3302" t="s">
        <v>15187</v>
      </c>
      <c r="O3302" t="s">
        <v>15187</v>
      </c>
      <c r="T3302" t="s">
        <v>15188</v>
      </c>
      <c r="U3302" t="s">
        <v>15189</v>
      </c>
      <c r="V3302" t="s">
        <v>15187</v>
      </c>
      <c r="W3302" t="s">
        <v>143</v>
      </c>
      <c r="X3302" t="s">
        <v>15190</v>
      </c>
      <c r="Y3302">
        <v>4</v>
      </c>
      <c r="Z3302">
        <v>1148</v>
      </c>
    </row>
    <row r="3303" spans="1:26">
      <c r="A3303" s="1">
        <v>3301</v>
      </c>
      <c r="B3303" t="str">
        <f>HYPERLINK("https://bugs.eclipse.org/bugs/show_bug.cgi?id=165063", "165063")</f>
        <v>165063</v>
      </c>
      <c r="C3303" t="s">
        <v>149</v>
      </c>
      <c r="D3303" t="s">
        <v>10</v>
      </c>
      <c r="E3303" t="s">
        <v>12</v>
      </c>
      <c r="F3303" t="s">
        <v>26</v>
      </c>
      <c r="G3303" t="s">
        <v>15191</v>
      </c>
      <c r="L3303" t="s">
        <v>15192</v>
      </c>
      <c r="N3303" t="s">
        <v>15192</v>
      </c>
      <c r="T3303" t="s">
        <v>15193</v>
      </c>
      <c r="U3303" t="s">
        <v>15194</v>
      </c>
      <c r="V3303" t="s">
        <v>15192</v>
      </c>
      <c r="W3303" t="s">
        <v>49</v>
      </c>
      <c r="X3303" t="s">
        <v>15195</v>
      </c>
      <c r="Y3303">
        <v>4</v>
      </c>
      <c r="Z3303">
        <v>377</v>
      </c>
    </row>
    <row r="3304" spans="1:26">
      <c r="A3304" s="1">
        <v>3302</v>
      </c>
      <c r="B3304" t="str">
        <f>HYPERLINK("https://bugs.eclipse.org/bugs/show_bug.cgi?id=165071", "165071")</f>
        <v>165071</v>
      </c>
      <c r="C3304" t="s">
        <v>140</v>
      </c>
      <c r="D3304" t="s">
        <v>10</v>
      </c>
      <c r="E3304" t="s">
        <v>16</v>
      </c>
      <c r="F3304" t="s">
        <v>26</v>
      </c>
      <c r="L3304" t="s">
        <v>15196</v>
      </c>
      <c r="R3304" t="s">
        <v>15196</v>
      </c>
      <c r="T3304" t="s">
        <v>15197</v>
      </c>
      <c r="U3304" t="s">
        <v>15198</v>
      </c>
      <c r="V3304" t="s">
        <v>15199</v>
      </c>
      <c r="W3304" t="s">
        <v>80</v>
      </c>
      <c r="X3304" t="s">
        <v>15200</v>
      </c>
      <c r="Y3304">
        <v>2</v>
      </c>
      <c r="Z3304">
        <v>252.95833333333329</v>
      </c>
    </row>
    <row r="3305" spans="1:26">
      <c r="A3305" s="1">
        <v>3303</v>
      </c>
      <c r="B3305" t="str">
        <f>HYPERLINK("https://bugs.eclipse.org/bugs/show_bug.cgi?id=165179", "165179")</f>
        <v>165179</v>
      </c>
      <c r="C3305" t="s">
        <v>14981</v>
      </c>
      <c r="D3305" t="s">
        <v>10</v>
      </c>
      <c r="E3305" t="s">
        <v>15</v>
      </c>
      <c r="F3305" t="s">
        <v>26</v>
      </c>
      <c r="L3305" t="s">
        <v>15201</v>
      </c>
      <c r="Q3305" t="s">
        <v>15201</v>
      </c>
      <c r="T3305" t="s">
        <v>15202</v>
      </c>
      <c r="U3305" t="s">
        <v>15203</v>
      </c>
      <c r="V3305" t="s">
        <v>15201</v>
      </c>
      <c r="W3305" t="s">
        <v>49</v>
      </c>
      <c r="X3305" t="s">
        <v>15204</v>
      </c>
      <c r="Y3305">
        <v>0</v>
      </c>
      <c r="Z3305">
        <v>2</v>
      </c>
    </row>
    <row r="3306" spans="1:26">
      <c r="A3306" s="1">
        <v>3304</v>
      </c>
      <c r="B3306" t="str">
        <f>HYPERLINK("https://bugs.eclipse.org/bugs/show_bug.cgi?id=165295", "165295")</f>
        <v>165295</v>
      </c>
      <c r="C3306" t="s">
        <v>56</v>
      </c>
      <c r="D3306" t="s">
        <v>10</v>
      </c>
      <c r="E3306" t="s">
        <v>14</v>
      </c>
      <c r="F3306" t="s">
        <v>26</v>
      </c>
      <c r="L3306" t="s">
        <v>15205</v>
      </c>
      <c r="P3306" t="s">
        <v>15206</v>
      </c>
      <c r="T3306" t="s">
        <v>15207</v>
      </c>
      <c r="U3306" t="s">
        <v>15208</v>
      </c>
      <c r="V3306" t="s">
        <v>15206</v>
      </c>
      <c r="W3306" t="s">
        <v>75</v>
      </c>
      <c r="X3306" t="s">
        <v>15209</v>
      </c>
      <c r="Y3306">
        <v>0</v>
      </c>
      <c r="Z3306">
        <v>1012.958333333333</v>
      </c>
    </row>
    <row r="3307" spans="1:26">
      <c r="A3307" s="1">
        <v>3305</v>
      </c>
      <c r="B3307" t="str">
        <f>HYPERLINK("https://bugs.eclipse.org/bugs/show_bug.cgi?id=165758", "165758")</f>
        <v>165758</v>
      </c>
      <c r="C3307" t="s">
        <v>149</v>
      </c>
      <c r="D3307" t="s">
        <v>10</v>
      </c>
      <c r="E3307" t="s">
        <v>12</v>
      </c>
      <c r="F3307" t="s">
        <v>26</v>
      </c>
      <c r="G3307" t="s">
        <v>15210</v>
      </c>
      <c r="L3307" t="s">
        <v>15211</v>
      </c>
      <c r="N3307" t="s">
        <v>15211</v>
      </c>
      <c r="T3307" t="s">
        <v>15212</v>
      </c>
      <c r="U3307" t="s">
        <v>15213</v>
      </c>
      <c r="V3307" t="s">
        <v>15211</v>
      </c>
      <c r="W3307" t="s">
        <v>851</v>
      </c>
      <c r="X3307" t="s">
        <v>15214</v>
      </c>
      <c r="Y3307">
        <v>0</v>
      </c>
      <c r="Z3307">
        <v>128.95833333333329</v>
      </c>
    </row>
    <row r="3308" spans="1:26">
      <c r="A3308" s="1">
        <v>3306</v>
      </c>
      <c r="B3308" t="str">
        <f>HYPERLINK("https://bugs.eclipse.org/bugs/show_bug.cgi?id=165784", "165784")</f>
        <v>165784</v>
      </c>
      <c r="C3308" t="s">
        <v>140</v>
      </c>
      <c r="D3308" t="s">
        <v>10</v>
      </c>
      <c r="E3308" t="s">
        <v>16</v>
      </c>
      <c r="F3308" t="s">
        <v>26</v>
      </c>
      <c r="G3308" t="s">
        <v>15215</v>
      </c>
      <c r="L3308" t="s">
        <v>15216</v>
      </c>
      <c r="O3308" t="s">
        <v>15217</v>
      </c>
      <c r="R3308" t="s">
        <v>15216</v>
      </c>
      <c r="S3308" t="s">
        <v>15218</v>
      </c>
      <c r="T3308" t="s">
        <v>15219</v>
      </c>
      <c r="U3308" t="s">
        <v>15220</v>
      </c>
      <c r="V3308" t="s">
        <v>15216</v>
      </c>
      <c r="W3308" t="s">
        <v>851</v>
      </c>
      <c r="X3308" t="s">
        <v>15221</v>
      </c>
      <c r="Y3308">
        <v>0</v>
      </c>
      <c r="Z3308">
        <v>4</v>
      </c>
    </row>
    <row r="3309" spans="1:26">
      <c r="A3309" s="1">
        <v>3307</v>
      </c>
      <c r="B3309" t="str">
        <f>HYPERLINK("https://bugs.eclipse.org/bugs/show_bug.cgi?id=165973", "165973")</f>
        <v>165973</v>
      </c>
      <c r="C3309" t="s">
        <v>88</v>
      </c>
      <c r="D3309" t="s">
        <v>10</v>
      </c>
      <c r="E3309" t="s">
        <v>13</v>
      </c>
      <c r="F3309" t="s">
        <v>26</v>
      </c>
      <c r="L3309" t="s">
        <v>15222</v>
      </c>
      <c r="O3309" t="s">
        <v>15222</v>
      </c>
      <c r="T3309" t="s">
        <v>15223</v>
      </c>
      <c r="U3309" t="s">
        <v>15224</v>
      </c>
      <c r="V3309" t="s">
        <v>15222</v>
      </c>
      <c r="W3309" t="s">
        <v>49</v>
      </c>
      <c r="X3309" t="s">
        <v>15225</v>
      </c>
      <c r="Y3309">
        <v>205.95833333333329</v>
      </c>
      <c r="Z3309">
        <v>217.95833333333329</v>
      </c>
    </row>
    <row r="3310" spans="1:26">
      <c r="A3310" s="1">
        <v>3308</v>
      </c>
      <c r="B3310" t="str">
        <f>HYPERLINK("https://bugs.eclipse.org/bugs/show_bug.cgi?id=166053", "166053")</f>
        <v>166053</v>
      </c>
      <c r="C3310" t="s">
        <v>140</v>
      </c>
      <c r="D3310" t="s">
        <v>10</v>
      </c>
      <c r="E3310" t="s">
        <v>16</v>
      </c>
      <c r="F3310" t="s">
        <v>145</v>
      </c>
      <c r="L3310" t="s">
        <v>15226</v>
      </c>
      <c r="R3310" t="s">
        <v>15226</v>
      </c>
      <c r="T3310" t="s">
        <v>15227</v>
      </c>
      <c r="U3310" t="s">
        <v>15228</v>
      </c>
      <c r="V3310" t="s">
        <v>15226</v>
      </c>
      <c r="W3310" t="s">
        <v>2668</v>
      </c>
      <c r="X3310" t="s">
        <v>15229</v>
      </c>
      <c r="Y3310">
        <v>0</v>
      </c>
      <c r="Z3310">
        <v>141.95833333333329</v>
      </c>
    </row>
    <row r="3311" spans="1:26">
      <c r="A3311" s="1">
        <v>3309</v>
      </c>
      <c r="B3311" t="str">
        <f>HYPERLINK("https://bugs.eclipse.org/bugs/show_bug.cgi?id=166164", "166164")</f>
        <v>166164</v>
      </c>
      <c r="C3311" t="s">
        <v>191</v>
      </c>
      <c r="D3311" t="s">
        <v>192</v>
      </c>
      <c r="E3311" t="s">
        <v>14</v>
      </c>
      <c r="F3311" t="s">
        <v>26</v>
      </c>
      <c r="G3311" t="s">
        <v>15230</v>
      </c>
      <c r="P3311" t="s">
        <v>15231</v>
      </c>
      <c r="T3311" t="s">
        <v>15232</v>
      </c>
      <c r="U3311" t="s">
        <v>15233</v>
      </c>
      <c r="V3311" t="s">
        <v>15231</v>
      </c>
      <c r="W3311" t="s">
        <v>65</v>
      </c>
      <c r="X3311" t="s">
        <v>15234</v>
      </c>
      <c r="Y3311">
        <v>0</v>
      </c>
      <c r="Z3311">
        <v>4866.958333333333</v>
      </c>
    </row>
    <row r="3312" spans="1:26">
      <c r="A3312" s="1">
        <v>3310</v>
      </c>
      <c r="B3312" t="str">
        <f>HYPERLINK("https://bugs.eclipse.org/bugs/show_bug.cgi?id=166186", "166186")</f>
        <v>166186</v>
      </c>
      <c r="C3312" t="s">
        <v>149</v>
      </c>
      <c r="D3312" t="s">
        <v>10</v>
      </c>
      <c r="E3312" t="s">
        <v>12</v>
      </c>
      <c r="F3312" t="s">
        <v>26</v>
      </c>
      <c r="L3312" t="s">
        <v>15235</v>
      </c>
      <c r="N3312" t="s">
        <v>15235</v>
      </c>
      <c r="T3312" t="s">
        <v>15236</v>
      </c>
      <c r="U3312" t="s">
        <v>15235</v>
      </c>
      <c r="V3312" t="s">
        <v>15235</v>
      </c>
      <c r="W3312" t="s">
        <v>851</v>
      </c>
      <c r="X3312" t="s">
        <v>15237</v>
      </c>
      <c r="Y3312">
        <v>0</v>
      </c>
      <c r="Z3312">
        <v>0</v>
      </c>
    </row>
    <row r="3313" spans="1:26">
      <c r="A3313" s="1">
        <v>3311</v>
      </c>
      <c r="B3313" t="str">
        <f>HYPERLINK("https://bugs.eclipse.org/bugs/show_bug.cgi?id=166222", "166222")</f>
        <v>166222</v>
      </c>
      <c r="C3313" t="s">
        <v>35</v>
      </c>
      <c r="D3313" t="s">
        <v>11</v>
      </c>
      <c r="E3313" t="s">
        <v>12</v>
      </c>
      <c r="F3313" t="s">
        <v>26</v>
      </c>
      <c r="L3313" t="s">
        <v>15238</v>
      </c>
      <c r="M3313" t="s">
        <v>15239</v>
      </c>
      <c r="N3313" t="s">
        <v>15238</v>
      </c>
      <c r="T3313" t="s">
        <v>15240</v>
      </c>
      <c r="U3313" t="s">
        <v>15241</v>
      </c>
      <c r="V3313" t="s">
        <v>15239</v>
      </c>
      <c r="W3313" t="s">
        <v>851</v>
      </c>
      <c r="X3313" t="s">
        <v>15242</v>
      </c>
      <c r="Y3313">
        <v>0</v>
      </c>
      <c r="Z3313">
        <v>1</v>
      </c>
    </row>
    <row r="3314" spans="1:26">
      <c r="A3314" s="1">
        <v>3312</v>
      </c>
      <c r="B3314" t="str">
        <f>HYPERLINK("https://bugs.eclipse.org/bugs/show_bug.cgi?id=166457", "166457")</f>
        <v>166457</v>
      </c>
      <c r="C3314" t="s">
        <v>56</v>
      </c>
      <c r="D3314" t="s">
        <v>10</v>
      </c>
      <c r="E3314" t="s">
        <v>14</v>
      </c>
      <c r="F3314" t="s">
        <v>26</v>
      </c>
      <c r="G3314" t="s">
        <v>15243</v>
      </c>
      <c r="L3314" t="s">
        <v>15244</v>
      </c>
      <c r="P3314" t="s">
        <v>15244</v>
      </c>
      <c r="T3314" t="s">
        <v>15245</v>
      </c>
      <c r="U3314" t="s">
        <v>15246</v>
      </c>
      <c r="V3314" t="s">
        <v>14142</v>
      </c>
      <c r="W3314" t="s">
        <v>851</v>
      </c>
      <c r="X3314" t="s">
        <v>15247</v>
      </c>
      <c r="Y3314">
        <v>0</v>
      </c>
      <c r="Z3314">
        <v>969.95833333333337</v>
      </c>
    </row>
    <row r="3315" spans="1:26">
      <c r="A3315" s="1">
        <v>3313</v>
      </c>
      <c r="B3315" t="str">
        <f>HYPERLINK("https://bugs.eclipse.org/bugs/show_bug.cgi?id=166731", "166731")</f>
        <v>166731</v>
      </c>
      <c r="C3315" t="s">
        <v>191</v>
      </c>
      <c r="D3315" t="s">
        <v>192</v>
      </c>
      <c r="E3315" t="s">
        <v>14</v>
      </c>
      <c r="F3315" t="s">
        <v>26</v>
      </c>
      <c r="T3315" t="s">
        <v>15248</v>
      </c>
      <c r="U3315" t="s">
        <v>15249</v>
      </c>
      <c r="V3315" t="s">
        <v>15250</v>
      </c>
      <c r="W3315" t="s">
        <v>65</v>
      </c>
      <c r="X3315" t="s">
        <v>15251</v>
      </c>
      <c r="Y3315">
        <v>1</v>
      </c>
      <c r="Z3315">
        <v>4684.958333333333</v>
      </c>
    </row>
    <row r="3316" spans="1:26">
      <c r="A3316" s="1">
        <v>3314</v>
      </c>
      <c r="B3316" t="str">
        <f>HYPERLINK("https://bugs.eclipse.org/bugs/show_bug.cgi?id=167269", "167269")</f>
        <v>167269</v>
      </c>
      <c r="C3316" t="s">
        <v>149</v>
      </c>
      <c r="D3316" t="s">
        <v>10</v>
      </c>
      <c r="E3316" t="s">
        <v>12</v>
      </c>
      <c r="F3316" t="s">
        <v>26</v>
      </c>
      <c r="L3316" t="s">
        <v>15252</v>
      </c>
      <c r="N3316" t="s">
        <v>15252</v>
      </c>
      <c r="T3316" t="s">
        <v>15253</v>
      </c>
      <c r="U3316" t="s">
        <v>15254</v>
      </c>
      <c r="V3316" t="s">
        <v>15252</v>
      </c>
      <c r="W3316" t="s">
        <v>49</v>
      </c>
      <c r="X3316" t="s">
        <v>15255</v>
      </c>
      <c r="Y3316">
        <v>6</v>
      </c>
      <c r="Z3316">
        <v>6</v>
      </c>
    </row>
    <row r="3317" spans="1:26">
      <c r="A3317" s="1">
        <v>3315</v>
      </c>
      <c r="B3317" t="str">
        <f>HYPERLINK("https://bugs.eclipse.org/bugs/show_bug.cgi?id=167494", "167494")</f>
        <v>167494</v>
      </c>
      <c r="C3317" t="s">
        <v>191</v>
      </c>
      <c r="D3317" t="s">
        <v>192</v>
      </c>
      <c r="E3317" t="s">
        <v>14</v>
      </c>
      <c r="F3317" t="s">
        <v>26</v>
      </c>
      <c r="P3317" t="s">
        <v>15256</v>
      </c>
      <c r="T3317" t="s">
        <v>15257</v>
      </c>
      <c r="U3317" t="s">
        <v>15258</v>
      </c>
      <c r="V3317" t="s">
        <v>15256</v>
      </c>
      <c r="W3317" t="s">
        <v>65</v>
      </c>
      <c r="X3317" t="s">
        <v>15259</v>
      </c>
      <c r="Y3317">
        <v>2</v>
      </c>
      <c r="Z3317">
        <v>4818</v>
      </c>
    </row>
    <row r="3318" spans="1:26">
      <c r="A3318" s="1">
        <v>3316</v>
      </c>
      <c r="B3318" t="str">
        <f>HYPERLINK("https://bugs.eclipse.org/bugs/show_bug.cgi?id=167590", "167590")</f>
        <v>167590</v>
      </c>
      <c r="C3318" t="s">
        <v>149</v>
      </c>
      <c r="D3318" t="s">
        <v>10</v>
      </c>
      <c r="E3318" t="s">
        <v>12</v>
      </c>
      <c r="F3318" t="s">
        <v>26</v>
      </c>
      <c r="L3318" t="s">
        <v>15260</v>
      </c>
      <c r="N3318" t="s">
        <v>15260</v>
      </c>
      <c r="S3318" t="s">
        <v>15261</v>
      </c>
      <c r="T3318" t="s">
        <v>15262</v>
      </c>
      <c r="U3318" t="s">
        <v>15263</v>
      </c>
      <c r="V3318" t="s">
        <v>15260</v>
      </c>
      <c r="W3318" t="s">
        <v>14114</v>
      </c>
      <c r="X3318" t="s">
        <v>15264</v>
      </c>
      <c r="Y3318">
        <v>1</v>
      </c>
      <c r="Z3318">
        <v>1308.958333333333</v>
      </c>
    </row>
    <row r="3319" spans="1:26">
      <c r="A3319" s="1">
        <v>3317</v>
      </c>
      <c r="B3319" t="str">
        <f>HYPERLINK("https://bugs.eclipse.org/bugs/show_bug.cgi?id=167591", "167591")</f>
        <v>167591</v>
      </c>
      <c r="C3319" t="s">
        <v>25</v>
      </c>
      <c r="D3319" t="s">
        <v>25</v>
      </c>
      <c r="F3319" t="s">
        <v>26</v>
      </c>
      <c r="T3319" t="s">
        <v>15265</v>
      </c>
      <c r="U3319" t="s">
        <v>15266</v>
      </c>
      <c r="V3319" t="s">
        <v>15267</v>
      </c>
      <c r="W3319" t="s">
        <v>143</v>
      </c>
      <c r="X3319" t="s">
        <v>15268</v>
      </c>
      <c r="Y3319">
        <v>1</v>
      </c>
    </row>
    <row r="3320" spans="1:26">
      <c r="A3320" s="1">
        <v>3318</v>
      </c>
      <c r="B3320" t="str">
        <f>HYPERLINK("https://bugs.eclipse.org/bugs/show_bug.cgi?id=167714", "167714")</f>
        <v>167714</v>
      </c>
      <c r="C3320" t="s">
        <v>149</v>
      </c>
      <c r="D3320" t="s">
        <v>10</v>
      </c>
      <c r="E3320" t="s">
        <v>12</v>
      </c>
      <c r="F3320" t="s">
        <v>26</v>
      </c>
      <c r="L3320" t="s">
        <v>15269</v>
      </c>
      <c r="N3320" t="s">
        <v>15269</v>
      </c>
      <c r="T3320" t="s">
        <v>15270</v>
      </c>
      <c r="U3320" t="s">
        <v>15271</v>
      </c>
      <c r="V3320" t="s">
        <v>15269</v>
      </c>
      <c r="W3320" t="s">
        <v>49</v>
      </c>
      <c r="X3320" t="s">
        <v>15272</v>
      </c>
      <c r="Y3320">
        <v>3</v>
      </c>
      <c r="Z3320">
        <v>3</v>
      </c>
    </row>
    <row r="3321" spans="1:26">
      <c r="A3321" s="1">
        <v>3319</v>
      </c>
      <c r="B3321" t="str">
        <f>HYPERLINK("https://bugs.eclipse.org/bugs/show_bug.cgi?id=167826", "167826")</f>
        <v>167826</v>
      </c>
      <c r="C3321" t="s">
        <v>149</v>
      </c>
      <c r="D3321" t="s">
        <v>10</v>
      </c>
      <c r="E3321" t="s">
        <v>12</v>
      </c>
      <c r="F3321" t="s">
        <v>26</v>
      </c>
      <c r="L3321" t="s">
        <v>15273</v>
      </c>
      <c r="N3321" t="s">
        <v>15273</v>
      </c>
      <c r="T3321" t="s">
        <v>15274</v>
      </c>
      <c r="U3321" t="s">
        <v>15275</v>
      </c>
      <c r="V3321" t="s">
        <v>15276</v>
      </c>
      <c r="W3321" t="s">
        <v>851</v>
      </c>
      <c r="X3321" t="s">
        <v>15277</v>
      </c>
      <c r="Y3321">
        <v>2</v>
      </c>
      <c r="Z3321">
        <v>21</v>
      </c>
    </row>
    <row r="3322" spans="1:26">
      <c r="A3322" s="1">
        <v>3320</v>
      </c>
      <c r="B3322" t="str">
        <f>HYPERLINK("https://bugs.eclipse.org/bugs/show_bug.cgi?id=167945", "167945")</f>
        <v>167945</v>
      </c>
      <c r="C3322" t="s">
        <v>15278</v>
      </c>
      <c r="D3322" t="s">
        <v>10</v>
      </c>
      <c r="E3322" t="s">
        <v>15</v>
      </c>
      <c r="F3322" t="s">
        <v>26</v>
      </c>
      <c r="L3322" t="s">
        <v>15279</v>
      </c>
      <c r="Q3322" t="s">
        <v>15279</v>
      </c>
      <c r="T3322" t="s">
        <v>15280</v>
      </c>
      <c r="U3322" t="s">
        <v>15279</v>
      </c>
      <c r="V3322" t="s">
        <v>15279</v>
      </c>
      <c r="W3322" t="s">
        <v>49</v>
      </c>
      <c r="X3322" t="s">
        <v>15281</v>
      </c>
      <c r="Y3322">
        <v>6</v>
      </c>
      <c r="Z3322">
        <v>6</v>
      </c>
    </row>
    <row r="3323" spans="1:26">
      <c r="A3323" s="1">
        <v>3321</v>
      </c>
      <c r="B3323" t="str">
        <f>HYPERLINK("https://bugs.eclipse.org/bugs/show_bug.cgi?id=168844", "168844")</f>
        <v>168844</v>
      </c>
      <c r="C3323" t="s">
        <v>191</v>
      </c>
      <c r="D3323" t="s">
        <v>192</v>
      </c>
      <c r="E3323" t="s">
        <v>14</v>
      </c>
      <c r="F3323" t="s">
        <v>26</v>
      </c>
      <c r="T3323" t="s">
        <v>15282</v>
      </c>
      <c r="U3323" t="s">
        <v>15283</v>
      </c>
      <c r="V3323" t="s">
        <v>15284</v>
      </c>
      <c r="W3323" t="s">
        <v>65</v>
      </c>
      <c r="X3323" t="s">
        <v>15285</v>
      </c>
      <c r="Y3323">
        <v>1</v>
      </c>
      <c r="Z3323">
        <v>4721</v>
      </c>
    </row>
    <row r="3324" spans="1:26">
      <c r="A3324" s="1">
        <v>3322</v>
      </c>
      <c r="B3324" t="str">
        <f>HYPERLINK("https://bugs.eclipse.org/bugs/show_bug.cgi?id=168954", "168954")</f>
        <v>168954</v>
      </c>
      <c r="C3324" t="s">
        <v>995</v>
      </c>
      <c r="D3324" t="s">
        <v>192</v>
      </c>
      <c r="E3324" t="s">
        <v>12</v>
      </c>
      <c r="F3324" t="s">
        <v>26</v>
      </c>
      <c r="G3324" t="s">
        <v>15286</v>
      </c>
      <c r="L3324" t="s">
        <v>15287</v>
      </c>
      <c r="M3324" t="s">
        <v>15288</v>
      </c>
      <c r="N3324" t="s">
        <v>15287</v>
      </c>
      <c r="T3324" t="s">
        <v>15289</v>
      </c>
      <c r="U3324" t="s">
        <v>15290</v>
      </c>
      <c r="V3324" t="s">
        <v>15291</v>
      </c>
      <c r="W3324" t="s">
        <v>3492</v>
      </c>
      <c r="X3324" t="s">
        <v>15292</v>
      </c>
      <c r="Y3324">
        <v>11</v>
      </c>
      <c r="Z3324">
        <v>191.95833333333329</v>
      </c>
    </row>
    <row r="3325" spans="1:26">
      <c r="A3325" s="1">
        <v>3323</v>
      </c>
      <c r="B3325" t="str">
        <f>HYPERLINK("https://bugs.eclipse.org/bugs/show_bug.cgi?id=169121", "169121")</f>
        <v>169121</v>
      </c>
      <c r="C3325" t="s">
        <v>88</v>
      </c>
      <c r="D3325" t="s">
        <v>10</v>
      </c>
      <c r="E3325" t="s">
        <v>13</v>
      </c>
      <c r="F3325" t="s">
        <v>26</v>
      </c>
      <c r="L3325" t="s">
        <v>15293</v>
      </c>
      <c r="O3325" t="s">
        <v>15293</v>
      </c>
      <c r="T3325" t="s">
        <v>15294</v>
      </c>
      <c r="U3325" t="s">
        <v>15295</v>
      </c>
      <c r="V3325" t="s">
        <v>15293</v>
      </c>
      <c r="W3325" t="s">
        <v>49</v>
      </c>
      <c r="X3325" t="s">
        <v>15296</v>
      </c>
      <c r="Y3325">
        <v>175.95833333333329</v>
      </c>
      <c r="Z3325">
        <v>187.95833333333329</v>
      </c>
    </row>
    <row r="3326" spans="1:26">
      <c r="A3326" s="1">
        <v>3324</v>
      </c>
      <c r="B3326" t="str">
        <f>HYPERLINK("https://bugs.eclipse.org/bugs/show_bug.cgi?id=169331", "169331")</f>
        <v>169331</v>
      </c>
      <c r="C3326" t="s">
        <v>149</v>
      </c>
      <c r="D3326" t="s">
        <v>10</v>
      </c>
      <c r="E3326" t="s">
        <v>12</v>
      </c>
      <c r="F3326" t="s">
        <v>26</v>
      </c>
      <c r="L3326" t="s">
        <v>15297</v>
      </c>
      <c r="N3326" t="s">
        <v>15297</v>
      </c>
      <c r="T3326" t="s">
        <v>15298</v>
      </c>
      <c r="U3326" t="s">
        <v>15299</v>
      </c>
      <c r="V3326" t="s">
        <v>15297</v>
      </c>
      <c r="W3326" t="s">
        <v>851</v>
      </c>
      <c r="X3326" t="s">
        <v>15300</v>
      </c>
      <c r="Y3326">
        <v>1</v>
      </c>
      <c r="Z3326">
        <v>3</v>
      </c>
    </row>
    <row r="3327" spans="1:26">
      <c r="A3327" s="1">
        <v>3325</v>
      </c>
      <c r="B3327" t="str">
        <f>HYPERLINK("https://bugs.eclipse.org/bugs/show_bug.cgi?id=169441", "169441")</f>
        <v>169441</v>
      </c>
      <c r="C3327" t="s">
        <v>14451</v>
      </c>
      <c r="D3327" t="s">
        <v>10</v>
      </c>
      <c r="E3327" t="s">
        <v>15</v>
      </c>
      <c r="F3327" t="s">
        <v>26</v>
      </c>
      <c r="L3327" t="s">
        <v>14394</v>
      </c>
      <c r="Q3327" t="s">
        <v>14394</v>
      </c>
      <c r="T3327" t="s">
        <v>15301</v>
      </c>
      <c r="U3327" t="s">
        <v>14394</v>
      </c>
      <c r="V3327" t="s">
        <v>14394</v>
      </c>
      <c r="W3327" t="s">
        <v>49</v>
      </c>
      <c r="X3327" t="s">
        <v>15302</v>
      </c>
      <c r="Y3327">
        <v>1</v>
      </c>
      <c r="Z3327">
        <v>1</v>
      </c>
    </row>
    <row r="3328" spans="1:26">
      <c r="A3328" s="1">
        <v>3326</v>
      </c>
      <c r="B3328" t="str">
        <f>HYPERLINK("https://bugs.eclipse.org/bugs/show_bug.cgi?id=169445", "169445")</f>
        <v>169445</v>
      </c>
      <c r="C3328" t="s">
        <v>14981</v>
      </c>
      <c r="D3328" t="s">
        <v>10</v>
      </c>
      <c r="E3328" t="s">
        <v>15</v>
      </c>
      <c r="F3328" t="s">
        <v>26</v>
      </c>
      <c r="L3328" t="s">
        <v>15303</v>
      </c>
      <c r="Q3328" t="s">
        <v>15303</v>
      </c>
      <c r="T3328" t="s">
        <v>15304</v>
      </c>
      <c r="U3328" t="s">
        <v>15305</v>
      </c>
      <c r="V3328" t="s">
        <v>15303</v>
      </c>
      <c r="W3328" t="s">
        <v>49</v>
      </c>
      <c r="X3328" t="s">
        <v>15306</v>
      </c>
      <c r="Y3328">
        <v>0</v>
      </c>
      <c r="Z3328">
        <v>1</v>
      </c>
    </row>
    <row r="3329" spans="1:26">
      <c r="A3329" s="1">
        <v>3327</v>
      </c>
      <c r="B3329" t="str">
        <f>HYPERLINK("https://bugs.eclipse.org/bugs/show_bug.cgi?id=169599", "169599")</f>
        <v>169599</v>
      </c>
      <c r="C3329" t="s">
        <v>15307</v>
      </c>
      <c r="D3329" t="s">
        <v>10</v>
      </c>
      <c r="E3329" t="s">
        <v>15</v>
      </c>
      <c r="F3329" t="s">
        <v>26</v>
      </c>
      <c r="L3329" t="s">
        <v>15308</v>
      </c>
      <c r="Q3329" t="s">
        <v>15308</v>
      </c>
      <c r="T3329" t="s">
        <v>15309</v>
      </c>
      <c r="U3329" t="s">
        <v>15310</v>
      </c>
      <c r="V3329" t="s">
        <v>15311</v>
      </c>
      <c r="W3329" t="s">
        <v>1954</v>
      </c>
      <c r="X3329" t="s">
        <v>15312</v>
      </c>
      <c r="Y3329">
        <v>1</v>
      </c>
      <c r="Z3329">
        <v>558.95833333333337</v>
      </c>
    </row>
    <row r="3330" spans="1:26">
      <c r="A3330" s="1">
        <v>3328</v>
      </c>
      <c r="B3330" t="str">
        <f>HYPERLINK("https://bugs.eclipse.org/bugs/show_bug.cgi?id=169608", "169608")</f>
        <v>169608</v>
      </c>
      <c r="C3330" t="s">
        <v>35</v>
      </c>
      <c r="D3330" t="s">
        <v>11</v>
      </c>
      <c r="E3330" t="s">
        <v>12</v>
      </c>
      <c r="F3330" t="s">
        <v>26</v>
      </c>
      <c r="L3330" t="s">
        <v>15313</v>
      </c>
      <c r="M3330" t="s">
        <v>15314</v>
      </c>
      <c r="N3330" t="s">
        <v>15313</v>
      </c>
      <c r="T3330" t="s">
        <v>15315</v>
      </c>
      <c r="U3330" t="s">
        <v>15316</v>
      </c>
      <c r="V3330" t="s">
        <v>15314</v>
      </c>
      <c r="W3330" t="s">
        <v>143</v>
      </c>
      <c r="X3330" t="s">
        <v>15317</v>
      </c>
      <c r="Y3330">
        <v>0</v>
      </c>
      <c r="Z3330">
        <v>11</v>
      </c>
    </row>
    <row r="3331" spans="1:26">
      <c r="A3331" s="1">
        <v>3329</v>
      </c>
      <c r="B3331" t="str">
        <f>HYPERLINK("https://bugs.eclipse.org/bugs/show_bug.cgi?id=169932", "169932")</f>
        <v>169932</v>
      </c>
      <c r="C3331" t="s">
        <v>149</v>
      </c>
      <c r="D3331" t="s">
        <v>10</v>
      </c>
      <c r="E3331" t="s">
        <v>12</v>
      </c>
      <c r="F3331" t="s">
        <v>26</v>
      </c>
      <c r="L3331" t="s">
        <v>15318</v>
      </c>
      <c r="N3331" t="s">
        <v>15318</v>
      </c>
      <c r="T3331" t="s">
        <v>15319</v>
      </c>
      <c r="U3331" t="s">
        <v>15320</v>
      </c>
      <c r="V3331" t="s">
        <v>15318</v>
      </c>
      <c r="W3331" t="s">
        <v>851</v>
      </c>
      <c r="X3331" t="s">
        <v>15321</v>
      </c>
      <c r="Y3331">
        <v>0</v>
      </c>
      <c r="Z3331">
        <v>1</v>
      </c>
    </row>
    <row r="3332" spans="1:26">
      <c r="A3332" s="1">
        <v>3330</v>
      </c>
      <c r="B3332" t="str">
        <f>HYPERLINK("https://bugs.eclipse.org/bugs/show_bug.cgi?id=169950", "169950")</f>
        <v>169950</v>
      </c>
      <c r="C3332" t="s">
        <v>191</v>
      </c>
      <c r="D3332" t="s">
        <v>192</v>
      </c>
      <c r="E3332" t="s">
        <v>14</v>
      </c>
      <c r="F3332" t="s">
        <v>26</v>
      </c>
      <c r="P3332" t="s">
        <v>15322</v>
      </c>
      <c r="T3332" t="s">
        <v>15323</v>
      </c>
      <c r="U3332" t="s">
        <v>15324</v>
      </c>
      <c r="V3332" t="s">
        <v>15322</v>
      </c>
      <c r="W3332" t="s">
        <v>65</v>
      </c>
      <c r="X3332" t="s">
        <v>15325</v>
      </c>
      <c r="Y3332">
        <v>0</v>
      </c>
      <c r="Z3332">
        <v>4771</v>
      </c>
    </row>
    <row r="3333" spans="1:26">
      <c r="A3333" s="1">
        <v>3331</v>
      </c>
      <c r="B3333" t="str">
        <f>HYPERLINK("https://bugs.eclipse.org/bugs/show_bug.cgi?id=170019", "170019")</f>
        <v>170019</v>
      </c>
      <c r="C3333" t="s">
        <v>25</v>
      </c>
      <c r="D3333" t="s">
        <v>25</v>
      </c>
      <c r="F3333" t="s">
        <v>26</v>
      </c>
      <c r="T3333" t="s">
        <v>15326</v>
      </c>
      <c r="U3333" t="s">
        <v>15327</v>
      </c>
      <c r="V3333" t="s">
        <v>15328</v>
      </c>
      <c r="W3333" t="s">
        <v>143</v>
      </c>
      <c r="X3333" t="s">
        <v>15329</v>
      </c>
      <c r="Y3333">
        <v>119.9583333333333</v>
      </c>
    </row>
    <row r="3334" spans="1:26">
      <c r="A3334" s="1">
        <v>3332</v>
      </c>
      <c r="B3334" t="str">
        <f>HYPERLINK("https://bugs.eclipse.org/bugs/show_bug.cgi?id=170070", "170070")</f>
        <v>170070</v>
      </c>
      <c r="C3334" t="s">
        <v>14726</v>
      </c>
      <c r="D3334" t="s">
        <v>10</v>
      </c>
      <c r="E3334" t="s">
        <v>15</v>
      </c>
      <c r="F3334" t="s">
        <v>26</v>
      </c>
      <c r="L3334" t="s">
        <v>15330</v>
      </c>
      <c r="Q3334" t="s">
        <v>15330</v>
      </c>
      <c r="T3334" t="s">
        <v>15331</v>
      </c>
      <c r="U3334" t="s">
        <v>15330</v>
      </c>
      <c r="V3334" t="s">
        <v>15330</v>
      </c>
      <c r="W3334" t="s">
        <v>1954</v>
      </c>
      <c r="X3334" t="s">
        <v>15332</v>
      </c>
      <c r="Y3334">
        <v>0</v>
      </c>
      <c r="Z3334">
        <v>0</v>
      </c>
    </row>
    <row r="3335" spans="1:26">
      <c r="A3335" s="1">
        <v>3333</v>
      </c>
      <c r="B3335" t="str">
        <f>HYPERLINK("https://bugs.eclipse.org/bugs/show_bug.cgi?id=170124", "170124")</f>
        <v>170124</v>
      </c>
      <c r="C3335" t="s">
        <v>149</v>
      </c>
      <c r="D3335" t="s">
        <v>10</v>
      </c>
      <c r="E3335" t="s">
        <v>12</v>
      </c>
      <c r="F3335" t="s">
        <v>26</v>
      </c>
      <c r="L3335" t="s">
        <v>15333</v>
      </c>
      <c r="N3335" t="s">
        <v>15333</v>
      </c>
      <c r="T3335" t="s">
        <v>15334</v>
      </c>
      <c r="U3335" t="s">
        <v>15333</v>
      </c>
      <c r="V3335" t="s">
        <v>15333</v>
      </c>
      <c r="W3335" t="s">
        <v>49</v>
      </c>
      <c r="X3335" t="s">
        <v>15335</v>
      </c>
      <c r="Y3335">
        <v>2</v>
      </c>
      <c r="Z3335">
        <v>2</v>
      </c>
    </row>
    <row r="3336" spans="1:26">
      <c r="A3336" s="1">
        <v>3334</v>
      </c>
      <c r="B3336" t="str">
        <f>HYPERLINK("https://bugs.eclipse.org/bugs/show_bug.cgi?id=170237", "170237")</f>
        <v>170237</v>
      </c>
      <c r="C3336" t="s">
        <v>149</v>
      </c>
      <c r="D3336" t="s">
        <v>10</v>
      </c>
      <c r="E3336" t="s">
        <v>12</v>
      </c>
      <c r="F3336" t="s">
        <v>26</v>
      </c>
      <c r="L3336" t="s">
        <v>15336</v>
      </c>
      <c r="N3336" t="s">
        <v>15336</v>
      </c>
      <c r="T3336" t="s">
        <v>15337</v>
      </c>
      <c r="U3336" t="s">
        <v>15338</v>
      </c>
      <c r="V3336" t="s">
        <v>15336</v>
      </c>
      <c r="W3336" t="s">
        <v>2668</v>
      </c>
      <c r="X3336" t="s">
        <v>15339</v>
      </c>
      <c r="Y3336">
        <v>36</v>
      </c>
      <c r="Z3336">
        <v>53</v>
      </c>
    </row>
    <row r="3337" spans="1:26">
      <c r="A3337" s="1">
        <v>3335</v>
      </c>
      <c r="B3337" t="str">
        <f>HYPERLINK("https://bugs.eclipse.org/bugs/show_bug.cgi?id=170239", "170239")</f>
        <v>170239</v>
      </c>
      <c r="C3337" t="s">
        <v>35</v>
      </c>
      <c r="D3337" t="s">
        <v>11</v>
      </c>
      <c r="E3337" t="s">
        <v>12</v>
      </c>
      <c r="F3337" t="s">
        <v>150</v>
      </c>
      <c r="L3337" t="s">
        <v>15340</v>
      </c>
      <c r="M3337" t="s">
        <v>15341</v>
      </c>
      <c r="N3337" t="s">
        <v>15340</v>
      </c>
      <c r="T3337" t="s">
        <v>15342</v>
      </c>
      <c r="U3337" t="s">
        <v>15343</v>
      </c>
      <c r="V3337" t="s">
        <v>15341</v>
      </c>
      <c r="W3337" t="s">
        <v>1954</v>
      </c>
      <c r="X3337" t="s">
        <v>15344</v>
      </c>
      <c r="Y3337">
        <v>0</v>
      </c>
      <c r="Z3337">
        <v>110.9583333333333</v>
      </c>
    </row>
    <row r="3338" spans="1:26">
      <c r="A3338" s="1">
        <v>3336</v>
      </c>
      <c r="B3338" t="str">
        <f>HYPERLINK("https://bugs.eclipse.org/bugs/show_bug.cgi?id=170755", "170755")</f>
        <v>170755</v>
      </c>
      <c r="C3338" t="s">
        <v>191</v>
      </c>
      <c r="D3338" t="s">
        <v>192</v>
      </c>
      <c r="E3338" t="s">
        <v>14</v>
      </c>
      <c r="F3338" t="s">
        <v>26</v>
      </c>
      <c r="T3338" t="s">
        <v>15345</v>
      </c>
      <c r="U3338" t="s">
        <v>15346</v>
      </c>
      <c r="V3338" t="s">
        <v>15347</v>
      </c>
      <c r="W3338" t="s">
        <v>65</v>
      </c>
      <c r="X3338" t="s">
        <v>15348</v>
      </c>
      <c r="Y3338">
        <v>0</v>
      </c>
      <c r="Z3338">
        <v>4584.958333333333</v>
      </c>
    </row>
    <row r="3339" spans="1:26">
      <c r="A3339" s="1">
        <v>3337</v>
      </c>
      <c r="B3339" t="str">
        <f>HYPERLINK("https://bugs.eclipse.org/bugs/show_bug.cgi?id=170942", "170942")</f>
        <v>170942</v>
      </c>
      <c r="C3339" t="s">
        <v>149</v>
      </c>
      <c r="D3339" t="s">
        <v>10</v>
      </c>
      <c r="E3339" t="s">
        <v>12</v>
      </c>
      <c r="F3339" t="s">
        <v>26</v>
      </c>
      <c r="L3339" t="s">
        <v>15349</v>
      </c>
      <c r="N3339" t="s">
        <v>15349</v>
      </c>
      <c r="T3339" t="s">
        <v>15350</v>
      </c>
      <c r="U3339" t="s">
        <v>15351</v>
      </c>
      <c r="V3339" t="s">
        <v>15349</v>
      </c>
      <c r="W3339" t="s">
        <v>1954</v>
      </c>
      <c r="X3339" t="s">
        <v>15352</v>
      </c>
      <c r="Y3339">
        <v>110.9583333333333</v>
      </c>
      <c r="Z3339">
        <v>400</v>
      </c>
    </row>
    <row r="3340" spans="1:26">
      <c r="A3340" s="1">
        <v>3338</v>
      </c>
      <c r="B3340" t="str">
        <f>HYPERLINK("https://bugs.eclipse.org/bugs/show_bug.cgi?id=171023", "171023")</f>
        <v>171023</v>
      </c>
      <c r="C3340" t="s">
        <v>25</v>
      </c>
      <c r="D3340" t="s">
        <v>25</v>
      </c>
      <c r="F3340" t="s">
        <v>26</v>
      </c>
      <c r="T3340" t="s">
        <v>15353</v>
      </c>
      <c r="U3340" t="s">
        <v>15354</v>
      </c>
      <c r="V3340" t="s">
        <v>15354</v>
      </c>
      <c r="W3340" t="s">
        <v>49</v>
      </c>
      <c r="X3340" t="s">
        <v>15355</v>
      </c>
      <c r="Y3340">
        <v>25</v>
      </c>
    </row>
    <row r="3341" spans="1:26">
      <c r="A3341" s="1">
        <v>3339</v>
      </c>
      <c r="B3341" t="str">
        <f>HYPERLINK("https://bugs.eclipse.org/bugs/show_bug.cgi?id=171356", "171356")</f>
        <v>171356</v>
      </c>
      <c r="C3341" t="s">
        <v>15177</v>
      </c>
      <c r="D3341" t="s">
        <v>10</v>
      </c>
      <c r="E3341" t="s">
        <v>15</v>
      </c>
      <c r="F3341" t="s">
        <v>26</v>
      </c>
      <c r="L3341" t="s">
        <v>15356</v>
      </c>
      <c r="Q3341" t="s">
        <v>15356</v>
      </c>
      <c r="T3341" t="s">
        <v>15357</v>
      </c>
      <c r="U3341" t="s">
        <v>15356</v>
      </c>
      <c r="V3341" t="s">
        <v>15356</v>
      </c>
      <c r="W3341" t="s">
        <v>851</v>
      </c>
      <c r="X3341" t="s">
        <v>15358</v>
      </c>
      <c r="Y3341">
        <v>0</v>
      </c>
      <c r="Z3341">
        <v>0</v>
      </c>
    </row>
    <row r="3342" spans="1:26">
      <c r="A3342" s="1">
        <v>3340</v>
      </c>
      <c r="B3342" t="str">
        <f>HYPERLINK("https://bugs.eclipse.org/bugs/show_bug.cgi?id=171770", "171770")</f>
        <v>171770</v>
      </c>
      <c r="C3342" t="s">
        <v>35</v>
      </c>
      <c r="D3342" t="s">
        <v>11</v>
      </c>
      <c r="E3342" t="s">
        <v>12</v>
      </c>
      <c r="F3342" t="s">
        <v>150</v>
      </c>
      <c r="L3342" t="s">
        <v>15359</v>
      </c>
      <c r="M3342" t="s">
        <v>15360</v>
      </c>
      <c r="N3342" t="s">
        <v>15359</v>
      </c>
      <c r="T3342" t="s">
        <v>15361</v>
      </c>
      <c r="U3342" t="s">
        <v>15362</v>
      </c>
      <c r="V3342" t="s">
        <v>15360</v>
      </c>
      <c r="W3342" t="s">
        <v>1954</v>
      </c>
      <c r="X3342" t="s">
        <v>15363</v>
      </c>
      <c r="Y3342">
        <v>0</v>
      </c>
      <c r="Z3342">
        <v>95.958333333333329</v>
      </c>
    </row>
    <row r="3343" spans="1:26">
      <c r="A3343" s="1">
        <v>3341</v>
      </c>
      <c r="B3343" t="str">
        <f>HYPERLINK("https://bugs.eclipse.org/bugs/show_bug.cgi?id=172014", "172014")</f>
        <v>172014</v>
      </c>
      <c r="C3343" t="s">
        <v>140</v>
      </c>
      <c r="D3343" t="s">
        <v>10</v>
      </c>
      <c r="E3343" t="s">
        <v>16</v>
      </c>
      <c r="F3343" t="s">
        <v>26</v>
      </c>
      <c r="L3343" t="s">
        <v>15364</v>
      </c>
      <c r="R3343" t="s">
        <v>15364</v>
      </c>
      <c r="T3343" t="s">
        <v>15365</v>
      </c>
      <c r="U3343" t="s">
        <v>15366</v>
      </c>
      <c r="V3343" t="s">
        <v>15364</v>
      </c>
      <c r="W3343" t="s">
        <v>851</v>
      </c>
      <c r="X3343" t="s">
        <v>15367</v>
      </c>
      <c r="Y3343">
        <v>15</v>
      </c>
      <c r="Z3343">
        <v>16</v>
      </c>
    </row>
    <row r="3344" spans="1:26">
      <c r="A3344" s="1">
        <v>3342</v>
      </c>
      <c r="B3344" t="str">
        <f>HYPERLINK("https://bugs.eclipse.org/bugs/show_bug.cgi?id=172595", "172595")</f>
        <v>172595</v>
      </c>
      <c r="C3344" t="s">
        <v>25</v>
      </c>
      <c r="D3344" t="s">
        <v>25</v>
      </c>
      <c r="F3344" t="s">
        <v>26</v>
      </c>
      <c r="G3344" t="s">
        <v>15368</v>
      </c>
      <c r="L3344" t="s">
        <v>15369</v>
      </c>
      <c r="P3344" t="s">
        <v>15370</v>
      </c>
      <c r="S3344" t="s">
        <v>15371</v>
      </c>
      <c r="T3344" t="s">
        <v>15372</v>
      </c>
      <c r="U3344" t="s">
        <v>15369</v>
      </c>
      <c r="V3344" t="s">
        <v>15373</v>
      </c>
      <c r="W3344" t="s">
        <v>15374</v>
      </c>
      <c r="X3344" t="s">
        <v>15375</v>
      </c>
      <c r="Y3344">
        <v>12</v>
      </c>
    </row>
    <row r="3345" spans="1:26">
      <c r="A3345" s="1">
        <v>3343</v>
      </c>
      <c r="B3345" t="str">
        <f>HYPERLINK("https://bugs.eclipse.org/bugs/show_bug.cgi?id=173014", "173014")</f>
        <v>173014</v>
      </c>
      <c r="C3345" t="s">
        <v>35</v>
      </c>
      <c r="D3345" t="s">
        <v>11</v>
      </c>
      <c r="E3345" t="s">
        <v>12</v>
      </c>
      <c r="F3345" t="s">
        <v>26</v>
      </c>
      <c r="G3345" t="s">
        <v>15376</v>
      </c>
      <c r="L3345" t="s">
        <v>15377</v>
      </c>
      <c r="M3345" t="s">
        <v>15378</v>
      </c>
      <c r="N3345" t="s">
        <v>15377</v>
      </c>
      <c r="T3345" t="s">
        <v>15379</v>
      </c>
      <c r="U3345" t="s">
        <v>15380</v>
      </c>
      <c r="V3345" t="s">
        <v>15378</v>
      </c>
      <c r="W3345" t="s">
        <v>143</v>
      </c>
      <c r="X3345" t="s">
        <v>15381</v>
      </c>
      <c r="Y3345">
        <v>0</v>
      </c>
      <c r="Z3345">
        <v>1</v>
      </c>
    </row>
    <row r="3346" spans="1:26">
      <c r="A3346" s="1">
        <v>3344</v>
      </c>
      <c r="B3346" t="str">
        <f>HYPERLINK("https://bugs.eclipse.org/bugs/show_bug.cgi?id=173020", "173020")</f>
        <v>173020</v>
      </c>
      <c r="C3346" t="s">
        <v>149</v>
      </c>
      <c r="D3346" t="s">
        <v>10</v>
      </c>
      <c r="E3346" t="s">
        <v>12</v>
      </c>
      <c r="F3346" t="s">
        <v>26</v>
      </c>
      <c r="L3346" t="s">
        <v>15382</v>
      </c>
      <c r="N3346" t="s">
        <v>15382</v>
      </c>
      <c r="T3346" t="s">
        <v>15383</v>
      </c>
      <c r="U3346" t="s">
        <v>15384</v>
      </c>
      <c r="V3346" t="s">
        <v>15382</v>
      </c>
      <c r="W3346" t="s">
        <v>851</v>
      </c>
      <c r="X3346" t="s">
        <v>15385</v>
      </c>
      <c r="Y3346">
        <v>1</v>
      </c>
      <c r="Z3346">
        <v>7</v>
      </c>
    </row>
    <row r="3347" spans="1:26">
      <c r="A3347" s="1">
        <v>3345</v>
      </c>
      <c r="B3347" t="str">
        <f>HYPERLINK("https://bugs.eclipse.org/bugs/show_bug.cgi?id=173021", "173021")</f>
        <v>173021</v>
      </c>
      <c r="C3347" t="s">
        <v>35</v>
      </c>
      <c r="D3347" t="s">
        <v>11</v>
      </c>
      <c r="E3347" t="s">
        <v>12</v>
      </c>
      <c r="F3347" t="s">
        <v>26</v>
      </c>
      <c r="L3347" t="s">
        <v>15386</v>
      </c>
      <c r="M3347" t="s">
        <v>15387</v>
      </c>
      <c r="N3347" t="s">
        <v>15386</v>
      </c>
      <c r="T3347" t="s">
        <v>15388</v>
      </c>
      <c r="U3347" t="s">
        <v>15389</v>
      </c>
      <c r="V3347" t="s">
        <v>15387</v>
      </c>
      <c r="W3347" t="s">
        <v>143</v>
      </c>
      <c r="X3347" t="s">
        <v>15390</v>
      </c>
      <c r="Y3347">
        <v>1</v>
      </c>
      <c r="Z3347">
        <v>1</v>
      </c>
    </row>
    <row r="3348" spans="1:26">
      <c r="A3348" s="1">
        <v>3346</v>
      </c>
      <c r="B3348" t="str">
        <f>HYPERLINK("https://bugs.eclipse.org/bugs/show_bug.cgi?id=173022", "173022")</f>
        <v>173022</v>
      </c>
      <c r="C3348" t="s">
        <v>25</v>
      </c>
      <c r="D3348" t="s">
        <v>25</v>
      </c>
      <c r="F3348" t="s">
        <v>26</v>
      </c>
      <c r="G3348" t="s">
        <v>15391</v>
      </c>
      <c r="T3348" t="s">
        <v>15392</v>
      </c>
      <c r="U3348" t="s">
        <v>15393</v>
      </c>
      <c r="V3348" t="s">
        <v>15394</v>
      </c>
      <c r="W3348" t="s">
        <v>851</v>
      </c>
      <c r="X3348" t="s">
        <v>15395</v>
      </c>
      <c r="Y3348">
        <v>0</v>
      </c>
    </row>
    <row r="3349" spans="1:26">
      <c r="A3349" s="1">
        <v>3347</v>
      </c>
      <c r="B3349" t="str">
        <f>HYPERLINK("https://bugs.eclipse.org/bugs/show_bug.cgi?id=173023", "173023")</f>
        <v>173023</v>
      </c>
      <c r="C3349" t="s">
        <v>149</v>
      </c>
      <c r="D3349" t="s">
        <v>10</v>
      </c>
      <c r="E3349" t="s">
        <v>12</v>
      </c>
      <c r="F3349" t="s">
        <v>26</v>
      </c>
      <c r="L3349" t="s">
        <v>15396</v>
      </c>
      <c r="N3349" t="s">
        <v>15396</v>
      </c>
      <c r="T3349" t="s">
        <v>15397</v>
      </c>
      <c r="U3349" t="s">
        <v>15398</v>
      </c>
      <c r="V3349" t="s">
        <v>15396</v>
      </c>
      <c r="W3349" t="s">
        <v>851</v>
      </c>
      <c r="X3349" t="s">
        <v>15399</v>
      </c>
      <c r="Y3349">
        <v>1</v>
      </c>
      <c r="Z3349">
        <v>7</v>
      </c>
    </row>
    <row r="3350" spans="1:26">
      <c r="A3350" s="1">
        <v>3348</v>
      </c>
      <c r="B3350" t="str">
        <f>HYPERLINK("https://bugs.eclipse.org/bugs/show_bug.cgi?id=173026", "173026")</f>
        <v>173026</v>
      </c>
      <c r="C3350" t="s">
        <v>35</v>
      </c>
      <c r="D3350" t="s">
        <v>11</v>
      </c>
      <c r="E3350" t="s">
        <v>12</v>
      </c>
      <c r="F3350" t="s">
        <v>26</v>
      </c>
      <c r="L3350" t="s">
        <v>15400</v>
      </c>
      <c r="M3350" t="s">
        <v>15401</v>
      </c>
      <c r="N3350" t="s">
        <v>15400</v>
      </c>
      <c r="T3350" t="s">
        <v>15402</v>
      </c>
      <c r="U3350" t="s">
        <v>15400</v>
      </c>
      <c r="V3350" t="s">
        <v>15401</v>
      </c>
      <c r="W3350" t="s">
        <v>143</v>
      </c>
      <c r="X3350" t="s">
        <v>15403</v>
      </c>
      <c r="Y3350">
        <v>1</v>
      </c>
      <c r="Z3350">
        <v>1</v>
      </c>
    </row>
    <row r="3351" spans="1:26">
      <c r="A3351" s="1">
        <v>3349</v>
      </c>
      <c r="B3351" t="str">
        <f>HYPERLINK("https://bugs.eclipse.org/bugs/show_bug.cgi?id=173030", "173030")</f>
        <v>173030</v>
      </c>
      <c r="C3351" t="s">
        <v>149</v>
      </c>
      <c r="D3351" t="s">
        <v>10</v>
      </c>
      <c r="E3351" t="s">
        <v>12</v>
      </c>
      <c r="F3351" t="s">
        <v>26</v>
      </c>
      <c r="L3351" t="s">
        <v>15404</v>
      </c>
      <c r="N3351" t="s">
        <v>15404</v>
      </c>
      <c r="T3351" t="s">
        <v>15405</v>
      </c>
      <c r="U3351" t="s">
        <v>15406</v>
      </c>
      <c r="V3351" t="s">
        <v>15404</v>
      </c>
      <c r="W3351" t="s">
        <v>851</v>
      </c>
      <c r="X3351" t="s">
        <v>15407</v>
      </c>
      <c r="Y3351">
        <v>7</v>
      </c>
      <c r="Z3351">
        <v>8</v>
      </c>
    </row>
    <row r="3352" spans="1:26">
      <c r="A3352" s="1">
        <v>3350</v>
      </c>
      <c r="B3352" t="str">
        <f>HYPERLINK("https://bugs.eclipse.org/bugs/show_bug.cgi?id=173053", "173053")</f>
        <v>173053</v>
      </c>
      <c r="C3352" t="s">
        <v>149</v>
      </c>
      <c r="D3352" t="s">
        <v>10</v>
      </c>
      <c r="E3352" t="s">
        <v>12</v>
      </c>
      <c r="F3352" t="s">
        <v>26</v>
      </c>
      <c r="L3352" t="s">
        <v>15408</v>
      </c>
      <c r="N3352" t="s">
        <v>15408</v>
      </c>
      <c r="T3352" t="s">
        <v>15409</v>
      </c>
      <c r="U3352" t="s">
        <v>15410</v>
      </c>
      <c r="V3352" t="s">
        <v>15408</v>
      </c>
      <c r="W3352" t="s">
        <v>851</v>
      </c>
      <c r="X3352" t="s">
        <v>15411</v>
      </c>
      <c r="Y3352">
        <v>1</v>
      </c>
      <c r="Z3352">
        <v>7</v>
      </c>
    </row>
    <row r="3353" spans="1:26">
      <c r="A3353" s="1">
        <v>3351</v>
      </c>
      <c r="B3353" t="str">
        <f>HYPERLINK("https://bugs.eclipse.org/bugs/show_bug.cgi?id=173056", "173056")</f>
        <v>173056</v>
      </c>
      <c r="C3353" t="s">
        <v>15412</v>
      </c>
      <c r="D3353" t="s">
        <v>10</v>
      </c>
      <c r="E3353" t="s">
        <v>15</v>
      </c>
      <c r="F3353" t="s">
        <v>26</v>
      </c>
      <c r="L3353" t="s">
        <v>15393</v>
      </c>
      <c r="Q3353" t="s">
        <v>15393</v>
      </c>
      <c r="T3353" t="s">
        <v>15413</v>
      </c>
      <c r="U3353" t="s">
        <v>15393</v>
      </c>
      <c r="V3353" t="s">
        <v>15393</v>
      </c>
      <c r="W3353" t="s">
        <v>143</v>
      </c>
      <c r="X3353" t="s">
        <v>15414</v>
      </c>
      <c r="Y3353">
        <v>0</v>
      </c>
      <c r="Z3353">
        <v>0</v>
      </c>
    </row>
    <row r="3354" spans="1:26">
      <c r="A3354" s="1">
        <v>3352</v>
      </c>
      <c r="B3354" t="str">
        <f>HYPERLINK("https://bugs.eclipse.org/bugs/show_bug.cgi?id=173184", "173184")</f>
        <v>173184</v>
      </c>
      <c r="C3354" t="s">
        <v>140</v>
      </c>
      <c r="D3354" t="s">
        <v>10</v>
      </c>
      <c r="E3354" t="s">
        <v>16</v>
      </c>
      <c r="F3354" t="s">
        <v>26</v>
      </c>
      <c r="L3354" t="s">
        <v>15415</v>
      </c>
      <c r="R3354" t="s">
        <v>15415</v>
      </c>
      <c r="T3354" t="s">
        <v>15416</v>
      </c>
      <c r="U3354" t="s">
        <v>15417</v>
      </c>
      <c r="V3354" t="s">
        <v>15415</v>
      </c>
      <c r="W3354" t="s">
        <v>143</v>
      </c>
      <c r="X3354" t="s">
        <v>15418</v>
      </c>
      <c r="Y3354">
        <v>0</v>
      </c>
      <c r="Z3354">
        <v>41.958333333333343</v>
      </c>
    </row>
    <row r="3355" spans="1:26">
      <c r="A3355" s="1">
        <v>3353</v>
      </c>
      <c r="B3355" t="str">
        <f>HYPERLINK("https://bugs.eclipse.org/bugs/show_bug.cgi?id=174405", "174405")</f>
        <v>174405</v>
      </c>
      <c r="C3355" t="s">
        <v>149</v>
      </c>
      <c r="D3355" t="s">
        <v>10</v>
      </c>
      <c r="E3355" t="s">
        <v>12</v>
      </c>
      <c r="F3355" t="s">
        <v>26</v>
      </c>
      <c r="L3355" t="s">
        <v>15419</v>
      </c>
      <c r="N3355" t="s">
        <v>15419</v>
      </c>
      <c r="T3355" t="s">
        <v>15420</v>
      </c>
      <c r="U3355" t="s">
        <v>15421</v>
      </c>
      <c r="V3355" t="s">
        <v>15419</v>
      </c>
      <c r="W3355" t="s">
        <v>851</v>
      </c>
      <c r="X3355" t="s">
        <v>15422</v>
      </c>
      <c r="Y3355">
        <v>1</v>
      </c>
      <c r="Z3355">
        <v>19</v>
      </c>
    </row>
    <row r="3356" spans="1:26">
      <c r="A3356" s="1">
        <v>3354</v>
      </c>
      <c r="B3356" t="str">
        <f>HYPERLINK("https://bugs.eclipse.org/bugs/show_bug.cgi?id=174609", "174609")</f>
        <v>174609</v>
      </c>
      <c r="C3356" t="s">
        <v>149</v>
      </c>
      <c r="D3356" t="s">
        <v>10</v>
      </c>
      <c r="E3356" t="s">
        <v>12</v>
      </c>
      <c r="F3356" t="s">
        <v>26</v>
      </c>
      <c r="H3356" t="s">
        <v>15423</v>
      </c>
      <c r="L3356" t="s">
        <v>15424</v>
      </c>
      <c r="N3356" t="s">
        <v>15424</v>
      </c>
      <c r="T3356" t="s">
        <v>15425</v>
      </c>
      <c r="U3356" t="s">
        <v>15426</v>
      </c>
      <c r="V3356" t="s">
        <v>15424</v>
      </c>
      <c r="W3356" t="s">
        <v>1954</v>
      </c>
      <c r="X3356" t="s">
        <v>15427</v>
      </c>
      <c r="Y3356">
        <v>0</v>
      </c>
      <c r="Z3356">
        <v>8</v>
      </c>
    </row>
    <row r="3357" spans="1:26">
      <c r="A3357" s="1">
        <v>3355</v>
      </c>
      <c r="B3357" t="str">
        <f>HYPERLINK("https://bugs.eclipse.org/bugs/show_bug.cgi?id=174750", "174750")</f>
        <v>174750</v>
      </c>
      <c r="C3357" t="s">
        <v>88</v>
      </c>
      <c r="D3357" t="s">
        <v>10</v>
      </c>
      <c r="E3357" t="s">
        <v>13</v>
      </c>
      <c r="F3357" t="s">
        <v>26</v>
      </c>
      <c r="L3357" t="s">
        <v>15428</v>
      </c>
      <c r="O3357" t="s">
        <v>15428</v>
      </c>
      <c r="T3357" t="s">
        <v>15429</v>
      </c>
      <c r="U3357" t="s">
        <v>15430</v>
      </c>
      <c r="V3357" t="s">
        <v>15428</v>
      </c>
      <c r="W3357" t="s">
        <v>851</v>
      </c>
      <c r="X3357" t="s">
        <v>15431</v>
      </c>
      <c r="Y3357">
        <v>0</v>
      </c>
      <c r="Z3357">
        <v>0</v>
      </c>
    </row>
    <row r="3358" spans="1:26">
      <c r="A3358" s="1">
        <v>3356</v>
      </c>
      <c r="B3358" t="str">
        <f>HYPERLINK("https://bugs.eclipse.org/bugs/show_bug.cgi?id=174781", "174781")</f>
        <v>174781</v>
      </c>
      <c r="C3358" t="s">
        <v>149</v>
      </c>
      <c r="D3358" t="s">
        <v>10</v>
      </c>
      <c r="E3358" t="s">
        <v>12</v>
      </c>
      <c r="F3358" t="s">
        <v>150</v>
      </c>
      <c r="L3358" t="s">
        <v>15432</v>
      </c>
      <c r="N3358" t="s">
        <v>15432</v>
      </c>
      <c r="T3358" t="s">
        <v>15433</v>
      </c>
      <c r="U3358" t="s">
        <v>15434</v>
      </c>
      <c r="V3358" t="s">
        <v>15435</v>
      </c>
      <c r="W3358" t="s">
        <v>851</v>
      </c>
      <c r="X3358" t="s">
        <v>15436</v>
      </c>
      <c r="Y3358">
        <v>0</v>
      </c>
      <c r="Z3358">
        <v>120.9583333333333</v>
      </c>
    </row>
    <row r="3359" spans="1:26">
      <c r="A3359" s="1">
        <v>3357</v>
      </c>
      <c r="B3359" t="str">
        <f>HYPERLINK("https://bugs.eclipse.org/bugs/show_bug.cgi?id=174829", "174829")</f>
        <v>174829</v>
      </c>
      <c r="C3359" t="s">
        <v>25</v>
      </c>
      <c r="D3359" t="s">
        <v>25</v>
      </c>
      <c r="F3359" t="s">
        <v>26</v>
      </c>
      <c r="G3359" t="s">
        <v>15437</v>
      </c>
      <c r="T3359" t="s">
        <v>15438</v>
      </c>
      <c r="U3359" t="s">
        <v>15439</v>
      </c>
      <c r="V3359" t="s">
        <v>15440</v>
      </c>
      <c r="W3359" t="s">
        <v>143</v>
      </c>
      <c r="X3359" t="s">
        <v>15441</v>
      </c>
      <c r="Y3359">
        <v>6</v>
      </c>
    </row>
    <row r="3360" spans="1:26">
      <c r="A3360" s="1">
        <v>3358</v>
      </c>
      <c r="B3360" t="str">
        <f>HYPERLINK("https://bugs.eclipse.org/bugs/show_bug.cgi?id=175103", "175103")</f>
        <v>175103</v>
      </c>
      <c r="C3360" t="s">
        <v>56</v>
      </c>
      <c r="D3360" t="s">
        <v>10</v>
      </c>
      <c r="E3360" t="s">
        <v>14</v>
      </c>
      <c r="F3360" t="s">
        <v>26</v>
      </c>
      <c r="L3360" t="s">
        <v>15442</v>
      </c>
      <c r="P3360" t="s">
        <v>15442</v>
      </c>
      <c r="T3360" t="s">
        <v>15443</v>
      </c>
      <c r="U3360" t="s">
        <v>15444</v>
      </c>
      <c r="V3360" t="s">
        <v>15442</v>
      </c>
      <c r="W3360" t="s">
        <v>49</v>
      </c>
      <c r="X3360" t="s">
        <v>15445</v>
      </c>
      <c r="Y3360">
        <v>0</v>
      </c>
      <c r="Z3360">
        <v>4</v>
      </c>
    </row>
    <row r="3361" spans="1:26">
      <c r="A3361" s="1">
        <v>3359</v>
      </c>
      <c r="B3361" t="str">
        <f>HYPERLINK("https://bugs.eclipse.org/bugs/show_bug.cgi?id=175234", "175234")</f>
        <v>175234</v>
      </c>
      <c r="C3361" t="s">
        <v>15446</v>
      </c>
      <c r="D3361" t="s">
        <v>10</v>
      </c>
      <c r="E3361" t="s">
        <v>15</v>
      </c>
      <c r="F3361" t="s">
        <v>26</v>
      </c>
      <c r="L3361" t="s">
        <v>15447</v>
      </c>
      <c r="Q3361" t="s">
        <v>15447</v>
      </c>
      <c r="T3361" t="s">
        <v>15448</v>
      </c>
      <c r="U3361" t="s">
        <v>15447</v>
      </c>
      <c r="V3361" t="s">
        <v>15447</v>
      </c>
      <c r="W3361" t="s">
        <v>851</v>
      </c>
      <c r="X3361" t="s">
        <v>15449</v>
      </c>
      <c r="Y3361">
        <v>0</v>
      </c>
      <c r="Z3361">
        <v>0</v>
      </c>
    </row>
    <row r="3362" spans="1:26">
      <c r="A3362" s="1">
        <v>3360</v>
      </c>
      <c r="B3362" t="str">
        <f>HYPERLINK("https://bugs.eclipse.org/bugs/show_bug.cgi?id=175495", "175495")</f>
        <v>175495</v>
      </c>
      <c r="C3362" t="s">
        <v>35</v>
      </c>
      <c r="D3362" t="s">
        <v>11</v>
      </c>
      <c r="E3362" t="s">
        <v>12</v>
      </c>
      <c r="F3362" t="s">
        <v>26</v>
      </c>
      <c r="L3362" t="s">
        <v>15450</v>
      </c>
      <c r="M3362" t="s">
        <v>15451</v>
      </c>
      <c r="N3362" t="s">
        <v>15450</v>
      </c>
      <c r="T3362" t="s">
        <v>15452</v>
      </c>
      <c r="U3362" t="s">
        <v>15453</v>
      </c>
      <c r="V3362" t="s">
        <v>15451</v>
      </c>
      <c r="W3362" t="s">
        <v>851</v>
      </c>
      <c r="X3362" t="s">
        <v>15454</v>
      </c>
      <c r="Y3362">
        <v>0</v>
      </c>
      <c r="Z3362">
        <v>178.95833333333329</v>
      </c>
    </row>
    <row r="3363" spans="1:26">
      <c r="A3363" s="1">
        <v>3361</v>
      </c>
      <c r="B3363" t="str">
        <f>HYPERLINK("https://bugs.eclipse.org/bugs/show_bug.cgi?id=175575", "175575")</f>
        <v>175575</v>
      </c>
      <c r="C3363" t="s">
        <v>149</v>
      </c>
      <c r="D3363" t="s">
        <v>10</v>
      </c>
      <c r="E3363" t="s">
        <v>12</v>
      </c>
      <c r="F3363" t="s">
        <v>26</v>
      </c>
      <c r="L3363" t="s">
        <v>15455</v>
      </c>
      <c r="N3363" t="s">
        <v>15455</v>
      </c>
      <c r="T3363" t="s">
        <v>15456</v>
      </c>
      <c r="U3363" t="s">
        <v>15455</v>
      </c>
      <c r="V3363" t="s">
        <v>15455</v>
      </c>
      <c r="W3363" t="s">
        <v>49</v>
      </c>
      <c r="X3363" t="s">
        <v>15457</v>
      </c>
      <c r="Y3363">
        <v>1</v>
      </c>
      <c r="Z3363">
        <v>1</v>
      </c>
    </row>
    <row r="3364" spans="1:26">
      <c r="A3364" s="1">
        <v>3362</v>
      </c>
      <c r="B3364" t="str">
        <f>HYPERLINK("https://bugs.eclipse.org/bugs/show_bug.cgi?id=175710", "175710")</f>
        <v>175710</v>
      </c>
      <c r="C3364" t="s">
        <v>995</v>
      </c>
      <c r="D3364" t="s">
        <v>192</v>
      </c>
      <c r="E3364" t="s">
        <v>12</v>
      </c>
      <c r="F3364" t="s">
        <v>26</v>
      </c>
      <c r="L3364" t="s">
        <v>15458</v>
      </c>
      <c r="N3364" t="s">
        <v>15458</v>
      </c>
      <c r="T3364" t="s">
        <v>15459</v>
      </c>
      <c r="U3364" t="s">
        <v>15460</v>
      </c>
      <c r="V3364" t="s">
        <v>15461</v>
      </c>
      <c r="W3364" t="s">
        <v>9590</v>
      </c>
      <c r="X3364" t="s">
        <v>15462</v>
      </c>
      <c r="Y3364">
        <v>0</v>
      </c>
      <c r="Z3364">
        <v>8</v>
      </c>
    </row>
    <row r="3365" spans="1:26">
      <c r="A3365" s="1">
        <v>3363</v>
      </c>
      <c r="B3365" t="str">
        <f>HYPERLINK("https://bugs.eclipse.org/bugs/show_bug.cgi?id=175733", "175733")</f>
        <v>175733</v>
      </c>
      <c r="C3365" t="s">
        <v>35</v>
      </c>
      <c r="D3365" t="s">
        <v>11</v>
      </c>
      <c r="E3365" t="s">
        <v>12</v>
      </c>
      <c r="F3365" t="s">
        <v>26</v>
      </c>
      <c r="G3365" t="s">
        <v>15463</v>
      </c>
      <c r="L3365" t="s">
        <v>15464</v>
      </c>
      <c r="M3365" t="s">
        <v>15465</v>
      </c>
      <c r="N3365" t="s">
        <v>15464</v>
      </c>
      <c r="T3365" t="s">
        <v>15466</v>
      </c>
      <c r="U3365" t="s">
        <v>15467</v>
      </c>
      <c r="V3365" t="s">
        <v>15465</v>
      </c>
      <c r="W3365" t="s">
        <v>143</v>
      </c>
      <c r="X3365" t="s">
        <v>15468</v>
      </c>
      <c r="Y3365">
        <v>1</v>
      </c>
      <c r="Z3365">
        <v>651</v>
      </c>
    </row>
    <row r="3366" spans="1:26">
      <c r="A3366" s="1">
        <v>3364</v>
      </c>
      <c r="B3366" t="str">
        <f>HYPERLINK("https://bugs.eclipse.org/bugs/show_bug.cgi?id=175827", "175827")</f>
        <v>175827</v>
      </c>
      <c r="C3366" t="s">
        <v>149</v>
      </c>
      <c r="D3366" t="s">
        <v>10</v>
      </c>
      <c r="E3366" t="s">
        <v>12</v>
      </c>
      <c r="F3366" t="s">
        <v>26</v>
      </c>
      <c r="L3366" t="s">
        <v>15469</v>
      </c>
      <c r="N3366" t="s">
        <v>15469</v>
      </c>
      <c r="T3366" t="s">
        <v>15470</v>
      </c>
      <c r="U3366" t="s">
        <v>15471</v>
      </c>
      <c r="V3366" t="s">
        <v>15469</v>
      </c>
      <c r="W3366" t="s">
        <v>1954</v>
      </c>
      <c r="X3366" t="s">
        <v>15472</v>
      </c>
      <c r="Y3366">
        <v>0</v>
      </c>
      <c r="Z3366">
        <v>0</v>
      </c>
    </row>
    <row r="3367" spans="1:26">
      <c r="A3367" s="1">
        <v>3365</v>
      </c>
      <c r="B3367" t="str">
        <f>HYPERLINK("https://bugs.eclipse.org/bugs/show_bug.cgi?id=175857", "175857")</f>
        <v>175857</v>
      </c>
      <c r="C3367" t="s">
        <v>35</v>
      </c>
      <c r="D3367" t="s">
        <v>11</v>
      </c>
      <c r="E3367" t="s">
        <v>12</v>
      </c>
      <c r="F3367" t="s">
        <v>26</v>
      </c>
      <c r="G3367" t="s">
        <v>15473</v>
      </c>
      <c r="L3367" t="s">
        <v>15474</v>
      </c>
      <c r="M3367" t="s">
        <v>15475</v>
      </c>
      <c r="N3367" t="s">
        <v>15474</v>
      </c>
      <c r="S3367" t="s">
        <v>15476</v>
      </c>
      <c r="T3367" t="s">
        <v>15477</v>
      </c>
      <c r="U3367" t="s">
        <v>15478</v>
      </c>
      <c r="V3367" t="s">
        <v>15475</v>
      </c>
      <c r="W3367" t="s">
        <v>14114</v>
      </c>
      <c r="X3367" t="s">
        <v>15479</v>
      </c>
      <c r="Y3367">
        <v>0</v>
      </c>
      <c r="Z3367">
        <v>1152.958333333333</v>
      </c>
    </row>
    <row r="3368" spans="1:26">
      <c r="A3368" s="1">
        <v>3366</v>
      </c>
      <c r="B3368" t="str">
        <f>HYPERLINK("https://bugs.eclipse.org/bugs/show_bug.cgi?id=175957", "175957")</f>
        <v>175957</v>
      </c>
      <c r="C3368" t="s">
        <v>15480</v>
      </c>
      <c r="D3368" t="s">
        <v>10</v>
      </c>
      <c r="E3368" t="s">
        <v>15</v>
      </c>
      <c r="F3368" t="s">
        <v>26</v>
      </c>
      <c r="L3368" t="s">
        <v>15481</v>
      </c>
      <c r="O3368" t="s">
        <v>15482</v>
      </c>
      <c r="Q3368" t="s">
        <v>15481</v>
      </c>
      <c r="S3368" t="s">
        <v>15483</v>
      </c>
      <c r="T3368" t="s">
        <v>15484</v>
      </c>
      <c r="U3368" t="s">
        <v>15485</v>
      </c>
      <c r="V3368" t="s">
        <v>15481</v>
      </c>
      <c r="W3368" t="s">
        <v>143</v>
      </c>
      <c r="X3368" t="s">
        <v>15486</v>
      </c>
      <c r="Y3368">
        <v>0</v>
      </c>
      <c r="Z3368">
        <v>48.958333333333343</v>
      </c>
    </row>
    <row r="3369" spans="1:26">
      <c r="A3369" s="1">
        <v>3367</v>
      </c>
      <c r="B3369" t="str">
        <f>HYPERLINK("https://bugs.eclipse.org/bugs/show_bug.cgi?id=176245", "176245")</f>
        <v>176245</v>
      </c>
      <c r="C3369" t="s">
        <v>191</v>
      </c>
      <c r="D3369" t="s">
        <v>192</v>
      </c>
      <c r="E3369" t="s">
        <v>14</v>
      </c>
      <c r="F3369" t="s">
        <v>26</v>
      </c>
      <c r="P3369" t="s">
        <v>15487</v>
      </c>
      <c r="T3369" t="s">
        <v>15488</v>
      </c>
      <c r="U3369" t="s">
        <v>15489</v>
      </c>
      <c r="V3369" t="s">
        <v>15487</v>
      </c>
      <c r="W3369" t="s">
        <v>65</v>
      </c>
      <c r="X3369" t="s">
        <v>15490</v>
      </c>
      <c r="Y3369">
        <v>3</v>
      </c>
      <c r="Z3369">
        <v>4778.958333333333</v>
      </c>
    </row>
    <row r="3370" spans="1:26">
      <c r="A3370" s="1">
        <v>3368</v>
      </c>
      <c r="B3370" t="str">
        <f>HYPERLINK("https://bugs.eclipse.org/bugs/show_bug.cgi?id=176273", "176273")</f>
        <v>176273</v>
      </c>
      <c r="C3370" t="s">
        <v>15491</v>
      </c>
      <c r="D3370" t="s">
        <v>10</v>
      </c>
      <c r="E3370" t="s">
        <v>15</v>
      </c>
      <c r="F3370" t="s">
        <v>26</v>
      </c>
      <c r="L3370" t="s">
        <v>15492</v>
      </c>
      <c r="Q3370" t="s">
        <v>15492</v>
      </c>
      <c r="T3370" t="s">
        <v>15493</v>
      </c>
      <c r="U3370" t="s">
        <v>15494</v>
      </c>
      <c r="V3370" t="s">
        <v>15492</v>
      </c>
      <c r="W3370" t="s">
        <v>15495</v>
      </c>
      <c r="X3370" t="s">
        <v>15496</v>
      </c>
      <c r="Y3370">
        <v>0</v>
      </c>
      <c r="Z3370">
        <v>8.9583333333333339</v>
      </c>
    </row>
    <row r="3371" spans="1:26">
      <c r="A3371" s="1">
        <v>3369</v>
      </c>
      <c r="B3371" t="str">
        <f>HYPERLINK("https://bugs.eclipse.org/bugs/show_bug.cgi?id=176293", "176293")</f>
        <v>176293</v>
      </c>
      <c r="C3371" t="s">
        <v>149</v>
      </c>
      <c r="D3371" t="s">
        <v>10</v>
      </c>
      <c r="E3371" t="s">
        <v>12</v>
      </c>
      <c r="F3371" t="s">
        <v>26</v>
      </c>
      <c r="L3371" t="s">
        <v>15497</v>
      </c>
      <c r="N3371" t="s">
        <v>15497</v>
      </c>
      <c r="T3371" t="s">
        <v>15498</v>
      </c>
      <c r="U3371" t="s">
        <v>15499</v>
      </c>
      <c r="V3371" t="s">
        <v>15500</v>
      </c>
      <c r="W3371" t="s">
        <v>49</v>
      </c>
      <c r="X3371" t="s">
        <v>15501</v>
      </c>
      <c r="Y3371">
        <v>2</v>
      </c>
      <c r="Z3371">
        <v>127.9583333333333</v>
      </c>
    </row>
    <row r="3372" spans="1:26">
      <c r="A3372" s="1">
        <v>3370</v>
      </c>
      <c r="B3372" t="str">
        <f>HYPERLINK("https://bugs.eclipse.org/bugs/show_bug.cgi?id=176304", "176304")</f>
        <v>176304</v>
      </c>
      <c r="C3372" t="s">
        <v>191</v>
      </c>
      <c r="D3372" t="s">
        <v>192</v>
      </c>
      <c r="E3372" t="s">
        <v>14</v>
      </c>
      <c r="F3372" t="s">
        <v>26</v>
      </c>
      <c r="T3372" t="s">
        <v>15502</v>
      </c>
      <c r="U3372" t="s">
        <v>15503</v>
      </c>
      <c r="V3372" t="s">
        <v>15504</v>
      </c>
      <c r="W3372" t="s">
        <v>65</v>
      </c>
      <c r="X3372" t="s">
        <v>15505</v>
      </c>
      <c r="Y3372">
        <v>0</v>
      </c>
      <c r="Z3372">
        <v>4429.958333333333</v>
      </c>
    </row>
    <row r="3373" spans="1:26">
      <c r="A3373" s="1">
        <v>3371</v>
      </c>
      <c r="B3373" t="str">
        <f>HYPERLINK("https://bugs.eclipse.org/bugs/show_bug.cgi?id=176502", "176502")</f>
        <v>176502</v>
      </c>
      <c r="C3373" t="s">
        <v>149</v>
      </c>
      <c r="D3373" t="s">
        <v>10</v>
      </c>
      <c r="E3373" t="s">
        <v>12</v>
      </c>
      <c r="F3373" t="s">
        <v>26</v>
      </c>
      <c r="L3373" t="s">
        <v>15506</v>
      </c>
      <c r="N3373" t="s">
        <v>15506</v>
      </c>
      <c r="T3373" t="s">
        <v>15507</v>
      </c>
      <c r="U3373" t="s">
        <v>15508</v>
      </c>
      <c r="V3373" t="s">
        <v>15506</v>
      </c>
      <c r="W3373" t="s">
        <v>1954</v>
      </c>
      <c r="X3373" t="s">
        <v>15509</v>
      </c>
      <c r="Y3373">
        <v>0</v>
      </c>
      <c r="Z3373">
        <v>42.958333333333343</v>
      </c>
    </row>
    <row r="3374" spans="1:26">
      <c r="A3374" s="1">
        <v>3372</v>
      </c>
      <c r="B3374" t="str">
        <f>HYPERLINK("https://bugs.eclipse.org/bugs/show_bug.cgi?id=176632", "176632")</f>
        <v>176632</v>
      </c>
      <c r="C3374" t="s">
        <v>4640</v>
      </c>
      <c r="D3374" t="s">
        <v>10</v>
      </c>
      <c r="E3374" t="s">
        <v>15</v>
      </c>
      <c r="F3374" t="s">
        <v>26</v>
      </c>
      <c r="L3374" t="s">
        <v>15510</v>
      </c>
      <c r="Q3374" t="s">
        <v>15510</v>
      </c>
      <c r="T3374" t="s">
        <v>15511</v>
      </c>
      <c r="U3374" t="s">
        <v>15512</v>
      </c>
      <c r="V3374" t="s">
        <v>15510</v>
      </c>
      <c r="W3374" t="s">
        <v>851</v>
      </c>
      <c r="X3374" t="s">
        <v>15513</v>
      </c>
      <c r="Y3374">
        <v>0</v>
      </c>
      <c r="Z3374">
        <v>1</v>
      </c>
    </row>
    <row r="3375" spans="1:26">
      <c r="A3375" s="1">
        <v>3373</v>
      </c>
      <c r="B3375" t="str">
        <f>HYPERLINK("https://bugs.eclipse.org/bugs/show_bug.cgi?id=176644", "176644")</f>
        <v>176644</v>
      </c>
      <c r="C3375" t="s">
        <v>35</v>
      </c>
      <c r="D3375" t="s">
        <v>11</v>
      </c>
      <c r="E3375" t="s">
        <v>12</v>
      </c>
      <c r="F3375" t="s">
        <v>150</v>
      </c>
      <c r="L3375" t="s">
        <v>15514</v>
      </c>
      <c r="M3375" t="s">
        <v>15515</v>
      </c>
      <c r="N3375" t="s">
        <v>15514</v>
      </c>
      <c r="S3375" t="s">
        <v>15516</v>
      </c>
      <c r="T3375" t="s">
        <v>15517</v>
      </c>
      <c r="U3375" t="s">
        <v>15518</v>
      </c>
      <c r="V3375" t="s">
        <v>15515</v>
      </c>
      <c r="W3375" t="s">
        <v>1954</v>
      </c>
      <c r="X3375" t="s">
        <v>15519</v>
      </c>
      <c r="Y3375">
        <v>1</v>
      </c>
      <c r="Z3375">
        <v>55.958333333333343</v>
      </c>
    </row>
    <row r="3376" spans="1:26">
      <c r="A3376" s="1">
        <v>3374</v>
      </c>
      <c r="B3376" t="str">
        <f>HYPERLINK("https://bugs.eclipse.org/bugs/show_bug.cgi?id=176742", "176742")</f>
        <v>176742</v>
      </c>
      <c r="C3376" t="s">
        <v>149</v>
      </c>
      <c r="D3376" t="s">
        <v>10</v>
      </c>
      <c r="E3376" t="s">
        <v>12</v>
      </c>
      <c r="F3376" t="s">
        <v>26</v>
      </c>
      <c r="L3376" t="s">
        <v>15520</v>
      </c>
      <c r="N3376" t="s">
        <v>15520</v>
      </c>
      <c r="T3376" t="s">
        <v>15521</v>
      </c>
      <c r="U3376" t="s">
        <v>15522</v>
      </c>
      <c r="V3376" t="s">
        <v>15520</v>
      </c>
      <c r="W3376" t="s">
        <v>851</v>
      </c>
      <c r="X3376" t="s">
        <v>15523</v>
      </c>
      <c r="Y3376">
        <v>0</v>
      </c>
      <c r="Z3376">
        <v>1</v>
      </c>
    </row>
    <row r="3377" spans="1:26">
      <c r="A3377" s="1">
        <v>3375</v>
      </c>
      <c r="B3377" t="str">
        <f>HYPERLINK("https://bugs.eclipse.org/bugs/show_bug.cgi?id=177093", "177093")</f>
        <v>177093</v>
      </c>
      <c r="C3377" t="s">
        <v>15524</v>
      </c>
      <c r="D3377" t="s">
        <v>192</v>
      </c>
      <c r="E3377" t="s">
        <v>15</v>
      </c>
      <c r="F3377" t="s">
        <v>26</v>
      </c>
      <c r="Q3377" t="s">
        <v>15525</v>
      </c>
      <c r="T3377" t="s">
        <v>15526</v>
      </c>
      <c r="U3377" t="s">
        <v>15527</v>
      </c>
      <c r="V3377" t="s">
        <v>15525</v>
      </c>
      <c r="W3377" t="s">
        <v>143</v>
      </c>
      <c r="X3377" t="s">
        <v>15528</v>
      </c>
      <c r="Y3377">
        <v>1</v>
      </c>
      <c r="Z3377">
        <v>2222</v>
      </c>
    </row>
    <row r="3378" spans="1:26">
      <c r="A3378" s="1">
        <v>3376</v>
      </c>
      <c r="B3378" t="str">
        <f>HYPERLINK("https://bugs.eclipse.org/bugs/show_bug.cgi?id=177095", "177095")</f>
        <v>177095</v>
      </c>
      <c r="C3378" t="s">
        <v>35</v>
      </c>
      <c r="D3378" t="s">
        <v>11</v>
      </c>
      <c r="E3378" t="s">
        <v>12</v>
      </c>
      <c r="F3378" t="s">
        <v>26</v>
      </c>
      <c r="G3378" t="s">
        <v>15529</v>
      </c>
      <c r="L3378" t="s">
        <v>15530</v>
      </c>
      <c r="M3378" t="s">
        <v>15531</v>
      </c>
      <c r="N3378" t="s">
        <v>15530</v>
      </c>
      <c r="T3378" t="s">
        <v>15532</v>
      </c>
      <c r="U3378" t="s">
        <v>15533</v>
      </c>
      <c r="V3378" t="s">
        <v>15531</v>
      </c>
      <c r="W3378" t="s">
        <v>851</v>
      </c>
      <c r="X3378" t="s">
        <v>15534</v>
      </c>
      <c r="Y3378">
        <v>1</v>
      </c>
      <c r="Z3378">
        <v>2397</v>
      </c>
    </row>
    <row r="3379" spans="1:26">
      <c r="A3379" s="1">
        <v>3377</v>
      </c>
      <c r="B3379" t="str">
        <f>HYPERLINK("https://bugs.eclipse.org/bugs/show_bug.cgi?id=177098", "177098")</f>
        <v>177098</v>
      </c>
      <c r="C3379" t="s">
        <v>191</v>
      </c>
      <c r="D3379" t="s">
        <v>192</v>
      </c>
      <c r="E3379" t="s">
        <v>14</v>
      </c>
      <c r="F3379" t="s">
        <v>26</v>
      </c>
      <c r="T3379" t="s">
        <v>15535</v>
      </c>
      <c r="U3379" t="s">
        <v>15536</v>
      </c>
      <c r="V3379" t="s">
        <v>15537</v>
      </c>
      <c r="W3379" t="s">
        <v>65</v>
      </c>
      <c r="X3379" t="s">
        <v>15538</v>
      </c>
      <c r="Y3379">
        <v>1</v>
      </c>
      <c r="Z3379">
        <v>4580</v>
      </c>
    </row>
    <row r="3380" spans="1:26">
      <c r="A3380" s="1">
        <v>3378</v>
      </c>
      <c r="B3380" t="str">
        <f>HYPERLINK("https://bugs.eclipse.org/bugs/show_bug.cgi?id=177182", "177182")</f>
        <v>177182</v>
      </c>
      <c r="C3380" t="s">
        <v>191</v>
      </c>
      <c r="D3380" t="s">
        <v>192</v>
      </c>
      <c r="E3380" t="s">
        <v>14</v>
      </c>
      <c r="F3380" t="s">
        <v>26</v>
      </c>
      <c r="P3380" t="s">
        <v>15539</v>
      </c>
      <c r="T3380" t="s">
        <v>15540</v>
      </c>
      <c r="U3380" t="s">
        <v>15541</v>
      </c>
      <c r="V3380" t="s">
        <v>15539</v>
      </c>
      <c r="W3380" t="s">
        <v>65</v>
      </c>
      <c r="X3380" t="s">
        <v>15542</v>
      </c>
      <c r="Y3380">
        <v>111</v>
      </c>
      <c r="Z3380">
        <v>4709.041666666667</v>
      </c>
    </row>
    <row r="3381" spans="1:26">
      <c r="A3381" s="1">
        <v>3379</v>
      </c>
      <c r="B3381" t="str">
        <f>HYPERLINK("https://bugs.eclipse.org/bugs/show_bug.cgi?id=177195", "177195")</f>
        <v>177195</v>
      </c>
      <c r="C3381" t="s">
        <v>149</v>
      </c>
      <c r="D3381" t="s">
        <v>10</v>
      </c>
      <c r="E3381" t="s">
        <v>12</v>
      </c>
      <c r="F3381" t="s">
        <v>26</v>
      </c>
      <c r="L3381" t="s">
        <v>15543</v>
      </c>
      <c r="N3381" t="s">
        <v>15543</v>
      </c>
      <c r="T3381" t="s">
        <v>15544</v>
      </c>
      <c r="U3381" t="s">
        <v>15545</v>
      </c>
      <c r="V3381" t="s">
        <v>15543</v>
      </c>
      <c r="W3381" t="s">
        <v>11693</v>
      </c>
      <c r="X3381" t="s">
        <v>15546</v>
      </c>
      <c r="Y3381">
        <v>111</v>
      </c>
      <c r="Z3381">
        <v>4369.041666666667</v>
      </c>
    </row>
    <row r="3382" spans="1:26">
      <c r="A3382" s="1">
        <v>3380</v>
      </c>
      <c r="B3382" t="str">
        <f>HYPERLINK("https://bugs.eclipse.org/bugs/show_bug.cgi?id=177552", "177552")</f>
        <v>177552</v>
      </c>
      <c r="C3382" t="s">
        <v>140</v>
      </c>
      <c r="D3382" t="s">
        <v>10</v>
      </c>
      <c r="E3382" t="s">
        <v>16</v>
      </c>
      <c r="F3382" t="s">
        <v>26</v>
      </c>
      <c r="L3382" t="s">
        <v>15547</v>
      </c>
      <c r="R3382" t="s">
        <v>15547</v>
      </c>
      <c r="T3382" t="s">
        <v>15548</v>
      </c>
      <c r="U3382" t="s">
        <v>15547</v>
      </c>
      <c r="V3382" t="s">
        <v>15549</v>
      </c>
      <c r="W3382" t="s">
        <v>49</v>
      </c>
      <c r="X3382" t="s">
        <v>15550</v>
      </c>
      <c r="Y3382">
        <v>2</v>
      </c>
      <c r="Z3382">
        <v>2</v>
      </c>
    </row>
    <row r="3383" spans="1:26">
      <c r="A3383" s="1">
        <v>3381</v>
      </c>
      <c r="B3383" t="str">
        <f>HYPERLINK("https://bugs.eclipse.org/bugs/show_bug.cgi?id=177636", "177636")</f>
        <v>177636</v>
      </c>
      <c r="C3383" t="s">
        <v>25</v>
      </c>
      <c r="D3383" t="s">
        <v>25</v>
      </c>
      <c r="F3383" t="s">
        <v>26</v>
      </c>
      <c r="G3383" t="s">
        <v>15551</v>
      </c>
      <c r="T3383" t="s">
        <v>15552</v>
      </c>
      <c r="U3383" t="s">
        <v>15553</v>
      </c>
      <c r="V3383" t="s">
        <v>15554</v>
      </c>
      <c r="W3383" t="s">
        <v>143</v>
      </c>
      <c r="X3383" t="s">
        <v>15555</v>
      </c>
      <c r="Y3383">
        <v>0</v>
      </c>
    </row>
    <row r="3384" spans="1:26">
      <c r="A3384" s="1">
        <v>3382</v>
      </c>
      <c r="B3384" t="str">
        <f>HYPERLINK("https://bugs.eclipse.org/bugs/show_bug.cgi?id=177646", "177646")</f>
        <v>177646</v>
      </c>
      <c r="C3384" t="s">
        <v>191</v>
      </c>
      <c r="D3384" t="s">
        <v>192</v>
      </c>
      <c r="E3384" t="s">
        <v>14</v>
      </c>
      <c r="F3384" t="s">
        <v>460</v>
      </c>
      <c r="H3384" t="s">
        <v>15556</v>
      </c>
      <c r="P3384" t="s">
        <v>15557</v>
      </c>
      <c r="T3384" t="s">
        <v>15558</v>
      </c>
      <c r="U3384" t="s">
        <v>15559</v>
      </c>
      <c r="V3384" t="s">
        <v>15557</v>
      </c>
      <c r="W3384" t="s">
        <v>65</v>
      </c>
      <c r="X3384" t="s">
        <v>15560</v>
      </c>
      <c r="Y3384">
        <v>0</v>
      </c>
      <c r="Z3384">
        <v>4766</v>
      </c>
    </row>
    <row r="3385" spans="1:26">
      <c r="A3385" s="1">
        <v>3383</v>
      </c>
      <c r="B3385" t="str">
        <f>HYPERLINK("https://bugs.eclipse.org/bugs/show_bug.cgi?id=177709", "177709")</f>
        <v>177709</v>
      </c>
      <c r="C3385" t="s">
        <v>149</v>
      </c>
      <c r="D3385" t="s">
        <v>10</v>
      </c>
      <c r="E3385" t="s">
        <v>12</v>
      </c>
      <c r="F3385" t="s">
        <v>26</v>
      </c>
      <c r="L3385" t="s">
        <v>15561</v>
      </c>
      <c r="N3385" t="s">
        <v>15561</v>
      </c>
      <c r="T3385" t="s">
        <v>15562</v>
      </c>
      <c r="U3385" t="s">
        <v>15563</v>
      </c>
      <c r="V3385" t="s">
        <v>15561</v>
      </c>
      <c r="W3385" t="s">
        <v>851</v>
      </c>
      <c r="X3385" t="s">
        <v>15564</v>
      </c>
      <c r="Y3385">
        <v>1</v>
      </c>
      <c r="Z3385">
        <v>20</v>
      </c>
    </row>
    <row r="3386" spans="1:26">
      <c r="A3386" s="1">
        <v>3384</v>
      </c>
      <c r="B3386" t="str">
        <f>HYPERLINK("https://bugs.eclipse.org/bugs/show_bug.cgi?id=177944", "177944")</f>
        <v>177944</v>
      </c>
      <c r="C3386" t="s">
        <v>149</v>
      </c>
      <c r="D3386" t="s">
        <v>10</v>
      </c>
      <c r="E3386" t="s">
        <v>12</v>
      </c>
      <c r="F3386" t="s">
        <v>26</v>
      </c>
      <c r="L3386" t="s">
        <v>15565</v>
      </c>
      <c r="N3386" t="s">
        <v>15565</v>
      </c>
      <c r="T3386" t="s">
        <v>15566</v>
      </c>
      <c r="U3386" t="s">
        <v>15567</v>
      </c>
      <c r="V3386" t="s">
        <v>15565</v>
      </c>
      <c r="W3386" t="s">
        <v>143</v>
      </c>
      <c r="X3386" t="s">
        <v>15568</v>
      </c>
      <c r="Y3386">
        <v>3</v>
      </c>
      <c r="Z3386">
        <v>2088.041666666667</v>
      </c>
    </row>
    <row r="3387" spans="1:26">
      <c r="A3387" s="1">
        <v>3385</v>
      </c>
      <c r="B3387" t="str">
        <f>HYPERLINK("https://bugs.eclipse.org/bugs/show_bug.cgi?id=177972", "177972")</f>
        <v>177972</v>
      </c>
      <c r="C3387" t="s">
        <v>56</v>
      </c>
      <c r="D3387" t="s">
        <v>10</v>
      </c>
      <c r="E3387" t="s">
        <v>14</v>
      </c>
      <c r="F3387" t="s">
        <v>26</v>
      </c>
      <c r="L3387" t="s">
        <v>15569</v>
      </c>
      <c r="P3387" t="s">
        <v>15570</v>
      </c>
      <c r="T3387" t="s">
        <v>15571</v>
      </c>
      <c r="U3387" t="s">
        <v>15572</v>
      </c>
      <c r="V3387" t="s">
        <v>15570</v>
      </c>
      <c r="W3387" t="s">
        <v>80</v>
      </c>
      <c r="X3387" t="s">
        <v>15573</v>
      </c>
      <c r="Y3387">
        <v>1</v>
      </c>
      <c r="Z3387">
        <v>896</v>
      </c>
    </row>
    <row r="3388" spans="1:26">
      <c r="A3388" s="1">
        <v>3386</v>
      </c>
      <c r="B3388" t="str">
        <f>HYPERLINK("https://bugs.eclipse.org/bugs/show_bug.cgi?id=178013", "178013")</f>
        <v>178013</v>
      </c>
      <c r="C3388" t="s">
        <v>35</v>
      </c>
      <c r="D3388" t="s">
        <v>11</v>
      </c>
      <c r="E3388" t="s">
        <v>12</v>
      </c>
      <c r="F3388" t="s">
        <v>26</v>
      </c>
      <c r="L3388" t="s">
        <v>15574</v>
      </c>
      <c r="M3388" t="s">
        <v>15575</v>
      </c>
      <c r="N3388" t="s">
        <v>15574</v>
      </c>
      <c r="T3388" t="s">
        <v>15576</v>
      </c>
      <c r="U3388" t="s">
        <v>15577</v>
      </c>
      <c r="V3388" t="s">
        <v>15575</v>
      </c>
      <c r="W3388" t="s">
        <v>1954</v>
      </c>
      <c r="X3388" t="s">
        <v>15578</v>
      </c>
      <c r="Y3388">
        <v>0</v>
      </c>
      <c r="Z3388">
        <v>58</v>
      </c>
    </row>
    <row r="3389" spans="1:26">
      <c r="A3389" s="1">
        <v>3387</v>
      </c>
      <c r="B3389" t="str">
        <f>HYPERLINK("https://bugs.eclipse.org/bugs/show_bug.cgi?id=178085", "178085")</f>
        <v>178085</v>
      </c>
      <c r="C3389" t="s">
        <v>25</v>
      </c>
      <c r="D3389" t="s">
        <v>25</v>
      </c>
      <c r="F3389" t="s">
        <v>26</v>
      </c>
      <c r="T3389" t="s">
        <v>15579</v>
      </c>
      <c r="U3389" t="s">
        <v>15580</v>
      </c>
      <c r="V3389" t="s">
        <v>15581</v>
      </c>
      <c r="W3389" t="s">
        <v>65</v>
      </c>
      <c r="X3389" t="s">
        <v>15582</v>
      </c>
      <c r="Y3389">
        <v>2</v>
      </c>
    </row>
    <row r="3390" spans="1:26">
      <c r="A3390" s="1">
        <v>3388</v>
      </c>
      <c r="B3390" t="str">
        <f>HYPERLINK("https://bugs.eclipse.org/bugs/show_bug.cgi?id=178441", "178441")</f>
        <v>178441</v>
      </c>
      <c r="C3390" t="s">
        <v>191</v>
      </c>
      <c r="D3390" t="s">
        <v>192</v>
      </c>
      <c r="E3390" t="s">
        <v>14</v>
      </c>
      <c r="F3390" t="s">
        <v>26</v>
      </c>
      <c r="T3390" t="s">
        <v>15583</v>
      </c>
      <c r="U3390" t="s">
        <v>15584</v>
      </c>
      <c r="V3390" t="s">
        <v>15585</v>
      </c>
      <c r="W3390" t="s">
        <v>65</v>
      </c>
      <c r="X3390" t="s">
        <v>15586</v>
      </c>
      <c r="Y3390">
        <v>0</v>
      </c>
      <c r="Z3390">
        <v>4553</v>
      </c>
    </row>
    <row r="3391" spans="1:26">
      <c r="A3391" s="1">
        <v>3389</v>
      </c>
      <c r="B3391" t="str">
        <f>HYPERLINK("https://bugs.eclipse.org/bugs/show_bug.cgi?id=178751", "178751")</f>
        <v>178751</v>
      </c>
      <c r="C3391" t="s">
        <v>191</v>
      </c>
      <c r="D3391" t="s">
        <v>192</v>
      </c>
      <c r="E3391" t="s">
        <v>14</v>
      </c>
      <c r="F3391" t="s">
        <v>26</v>
      </c>
      <c r="P3391" t="s">
        <v>15587</v>
      </c>
      <c r="T3391" t="s">
        <v>15588</v>
      </c>
      <c r="U3391" t="s">
        <v>15589</v>
      </c>
      <c r="V3391" t="s">
        <v>15587</v>
      </c>
      <c r="W3391" t="s">
        <v>65</v>
      </c>
      <c r="X3391" t="s">
        <v>15590</v>
      </c>
      <c r="Y3391">
        <v>0</v>
      </c>
      <c r="Z3391">
        <v>4737</v>
      </c>
    </row>
    <row r="3392" spans="1:26">
      <c r="A3392" s="1">
        <v>3390</v>
      </c>
      <c r="B3392" t="str">
        <f>HYPERLINK("https://bugs.eclipse.org/bugs/show_bug.cgi?id=178841", "178841")</f>
        <v>178841</v>
      </c>
      <c r="C3392" t="s">
        <v>140</v>
      </c>
      <c r="D3392" t="s">
        <v>10</v>
      </c>
      <c r="E3392" t="s">
        <v>16</v>
      </c>
      <c r="F3392" t="s">
        <v>26</v>
      </c>
      <c r="L3392" t="s">
        <v>15591</v>
      </c>
      <c r="R3392" t="s">
        <v>15591</v>
      </c>
      <c r="T3392" t="s">
        <v>15592</v>
      </c>
      <c r="U3392" t="s">
        <v>15593</v>
      </c>
      <c r="V3392" t="s">
        <v>15591</v>
      </c>
      <c r="W3392" t="s">
        <v>1954</v>
      </c>
      <c r="X3392" t="s">
        <v>15594</v>
      </c>
      <c r="Y3392">
        <v>1</v>
      </c>
      <c r="Z3392">
        <v>119</v>
      </c>
    </row>
    <row r="3393" spans="1:26">
      <c r="A3393" s="1">
        <v>3391</v>
      </c>
      <c r="B3393" t="str">
        <f>HYPERLINK("https://bugs.eclipse.org/bugs/show_bug.cgi?id=179160", "179160")</f>
        <v>179160</v>
      </c>
      <c r="C3393" t="s">
        <v>25</v>
      </c>
      <c r="D3393" t="s">
        <v>25</v>
      </c>
      <c r="F3393" t="s">
        <v>26</v>
      </c>
      <c r="T3393" t="s">
        <v>15595</v>
      </c>
      <c r="U3393" t="s">
        <v>15596</v>
      </c>
      <c r="V3393" t="s">
        <v>15597</v>
      </c>
      <c r="W3393" t="s">
        <v>143</v>
      </c>
      <c r="X3393" t="s">
        <v>15598</v>
      </c>
      <c r="Y3393">
        <v>1</v>
      </c>
    </row>
    <row r="3394" spans="1:26">
      <c r="A3394" s="1">
        <v>3392</v>
      </c>
      <c r="B3394" t="str">
        <f>HYPERLINK("https://bugs.eclipse.org/bugs/show_bug.cgi?id=179281", "179281")</f>
        <v>179281</v>
      </c>
      <c r="C3394" t="s">
        <v>191</v>
      </c>
      <c r="D3394" t="s">
        <v>192</v>
      </c>
      <c r="E3394" t="s">
        <v>14</v>
      </c>
      <c r="F3394" t="s">
        <v>26</v>
      </c>
      <c r="G3394" t="s">
        <v>15599</v>
      </c>
      <c r="T3394" t="s">
        <v>15600</v>
      </c>
      <c r="U3394" t="s">
        <v>15601</v>
      </c>
      <c r="V3394" t="s">
        <v>15602</v>
      </c>
      <c r="W3394" t="s">
        <v>65</v>
      </c>
      <c r="X3394" t="s">
        <v>15603</v>
      </c>
      <c r="Y3394">
        <v>1</v>
      </c>
      <c r="Z3394">
        <v>4556</v>
      </c>
    </row>
    <row r="3395" spans="1:26">
      <c r="A3395" s="1">
        <v>3393</v>
      </c>
      <c r="B3395" t="str">
        <f>HYPERLINK("https://bugs.eclipse.org/bugs/show_bug.cgi?id=179473", "179473")</f>
        <v>179473</v>
      </c>
      <c r="C3395" t="s">
        <v>149</v>
      </c>
      <c r="D3395" t="s">
        <v>10</v>
      </c>
      <c r="E3395" t="s">
        <v>12</v>
      </c>
      <c r="F3395" t="s">
        <v>26</v>
      </c>
      <c r="L3395" t="s">
        <v>15604</v>
      </c>
      <c r="N3395" t="s">
        <v>15604</v>
      </c>
      <c r="O3395" t="s">
        <v>15605</v>
      </c>
      <c r="S3395" t="s">
        <v>15606</v>
      </c>
      <c r="T3395" t="s">
        <v>15607</v>
      </c>
      <c r="U3395" t="s">
        <v>15608</v>
      </c>
      <c r="V3395" t="s">
        <v>15604</v>
      </c>
      <c r="W3395" t="s">
        <v>851</v>
      </c>
      <c r="X3395" t="s">
        <v>15609</v>
      </c>
      <c r="Y3395">
        <v>1</v>
      </c>
      <c r="Z3395">
        <v>906</v>
      </c>
    </row>
    <row r="3396" spans="1:26">
      <c r="A3396" s="1">
        <v>3394</v>
      </c>
      <c r="B3396" t="str">
        <f>HYPERLINK("https://bugs.eclipse.org/bugs/show_bug.cgi?id=179682", "179682")</f>
        <v>179682</v>
      </c>
      <c r="C3396" t="s">
        <v>191</v>
      </c>
      <c r="D3396" t="s">
        <v>192</v>
      </c>
      <c r="E3396" t="s">
        <v>14</v>
      </c>
      <c r="F3396" t="s">
        <v>26</v>
      </c>
      <c r="L3396" t="s">
        <v>15610</v>
      </c>
      <c r="O3396" t="s">
        <v>15611</v>
      </c>
      <c r="P3396" t="s">
        <v>15612</v>
      </c>
      <c r="S3396" t="s">
        <v>15613</v>
      </c>
      <c r="T3396" t="s">
        <v>15614</v>
      </c>
      <c r="U3396" t="s">
        <v>15610</v>
      </c>
      <c r="V3396" t="s">
        <v>15612</v>
      </c>
      <c r="W3396" t="s">
        <v>65</v>
      </c>
      <c r="X3396" t="s">
        <v>15615</v>
      </c>
      <c r="Y3396">
        <v>0</v>
      </c>
      <c r="Z3396">
        <v>4695.041666666667</v>
      </c>
    </row>
    <row r="3397" spans="1:26">
      <c r="A3397" s="1">
        <v>3395</v>
      </c>
      <c r="B3397" t="str">
        <f>HYPERLINK("https://bugs.eclipse.org/bugs/show_bug.cgi?id=179968", "179968")</f>
        <v>179968</v>
      </c>
      <c r="C3397" t="s">
        <v>88</v>
      </c>
      <c r="D3397" t="s">
        <v>10</v>
      </c>
      <c r="E3397" t="s">
        <v>13</v>
      </c>
      <c r="F3397" t="s">
        <v>26</v>
      </c>
      <c r="L3397" t="s">
        <v>15616</v>
      </c>
      <c r="O3397" t="s">
        <v>15616</v>
      </c>
      <c r="T3397" t="s">
        <v>15617</v>
      </c>
      <c r="U3397" t="s">
        <v>15618</v>
      </c>
      <c r="V3397" t="s">
        <v>15616</v>
      </c>
      <c r="W3397" t="s">
        <v>49</v>
      </c>
      <c r="X3397" t="s">
        <v>15619</v>
      </c>
      <c r="Y3397">
        <v>0</v>
      </c>
      <c r="Z3397">
        <v>15</v>
      </c>
    </row>
    <row r="3398" spans="1:26">
      <c r="A3398" s="1">
        <v>3396</v>
      </c>
      <c r="B3398" t="str">
        <f>HYPERLINK("https://bugs.eclipse.org/bugs/show_bug.cgi?id=180230", "180230")</f>
        <v>180230</v>
      </c>
      <c r="C3398" t="s">
        <v>149</v>
      </c>
      <c r="D3398" t="s">
        <v>10</v>
      </c>
      <c r="E3398" t="s">
        <v>12</v>
      </c>
      <c r="F3398" t="s">
        <v>26</v>
      </c>
      <c r="L3398" t="s">
        <v>15620</v>
      </c>
      <c r="N3398" t="s">
        <v>15620</v>
      </c>
      <c r="T3398" t="s">
        <v>15621</v>
      </c>
      <c r="U3398" t="s">
        <v>15622</v>
      </c>
      <c r="V3398" t="s">
        <v>15620</v>
      </c>
      <c r="W3398" t="s">
        <v>49</v>
      </c>
      <c r="X3398" t="s">
        <v>15623</v>
      </c>
      <c r="Y3398">
        <v>0</v>
      </c>
      <c r="Z3398">
        <v>14</v>
      </c>
    </row>
    <row r="3399" spans="1:26">
      <c r="A3399" s="1">
        <v>3397</v>
      </c>
      <c r="B3399" t="str">
        <f>HYPERLINK("https://bugs.eclipse.org/bugs/show_bug.cgi?id=180342", "180342")</f>
        <v>180342</v>
      </c>
      <c r="C3399" t="s">
        <v>191</v>
      </c>
      <c r="D3399" t="s">
        <v>192</v>
      </c>
      <c r="E3399" t="s">
        <v>14</v>
      </c>
      <c r="F3399" t="s">
        <v>26</v>
      </c>
      <c r="T3399" t="s">
        <v>15624</v>
      </c>
      <c r="U3399" t="s">
        <v>15625</v>
      </c>
      <c r="V3399" t="s">
        <v>15626</v>
      </c>
      <c r="W3399" t="s">
        <v>65</v>
      </c>
      <c r="X3399" t="s">
        <v>15627</v>
      </c>
      <c r="Y3399">
        <v>2</v>
      </c>
      <c r="Z3399">
        <v>4241.041666666667</v>
      </c>
    </row>
    <row r="3400" spans="1:26">
      <c r="A3400" s="1">
        <v>3398</v>
      </c>
      <c r="B3400" t="str">
        <f>HYPERLINK("https://bugs.eclipse.org/bugs/show_bug.cgi?id=180406", "180406")</f>
        <v>180406</v>
      </c>
      <c r="C3400" t="s">
        <v>149</v>
      </c>
      <c r="D3400" t="s">
        <v>10</v>
      </c>
      <c r="E3400" t="s">
        <v>12</v>
      </c>
      <c r="F3400" t="s">
        <v>26</v>
      </c>
      <c r="H3400" t="s">
        <v>15628</v>
      </c>
      <c r="L3400" t="s">
        <v>15629</v>
      </c>
      <c r="N3400" t="s">
        <v>15629</v>
      </c>
      <c r="T3400" t="s">
        <v>15630</v>
      </c>
      <c r="U3400" t="s">
        <v>15631</v>
      </c>
      <c r="V3400" t="s">
        <v>15629</v>
      </c>
      <c r="W3400" t="s">
        <v>49</v>
      </c>
      <c r="X3400" t="s">
        <v>15632</v>
      </c>
      <c r="Y3400">
        <v>0</v>
      </c>
      <c r="Z3400">
        <v>1</v>
      </c>
    </row>
    <row r="3401" spans="1:26">
      <c r="A3401" s="1">
        <v>3399</v>
      </c>
      <c r="B3401" t="str">
        <f>HYPERLINK("https://bugs.eclipse.org/bugs/show_bug.cgi?id=180884", "180884")</f>
        <v>180884</v>
      </c>
      <c r="C3401" t="s">
        <v>25</v>
      </c>
      <c r="D3401" t="s">
        <v>25</v>
      </c>
      <c r="F3401" t="s">
        <v>460</v>
      </c>
      <c r="G3401" t="s">
        <v>15633</v>
      </c>
      <c r="T3401" t="s">
        <v>15634</v>
      </c>
      <c r="U3401" t="s">
        <v>15635</v>
      </c>
      <c r="V3401" t="s">
        <v>15636</v>
      </c>
      <c r="W3401" t="s">
        <v>143</v>
      </c>
      <c r="X3401" t="s">
        <v>15637</v>
      </c>
      <c r="Y3401">
        <v>0</v>
      </c>
    </row>
    <row r="3402" spans="1:26">
      <c r="A3402" s="1">
        <v>3400</v>
      </c>
      <c r="B3402" t="str">
        <f>HYPERLINK("https://bugs.eclipse.org/bugs/show_bug.cgi?id=180929", "180929")</f>
        <v>180929</v>
      </c>
      <c r="C3402" t="s">
        <v>149</v>
      </c>
      <c r="D3402" t="s">
        <v>10</v>
      </c>
      <c r="E3402" t="s">
        <v>12</v>
      </c>
      <c r="F3402" t="s">
        <v>26</v>
      </c>
      <c r="L3402" t="s">
        <v>15638</v>
      </c>
      <c r="N3402" t="s">
        <v>15638</v>
      </c>
      <c r="T3402" t="s">
        <v>15639</v>
      </c>
      <c r="U3402" t="s">
        <v>15640</v>
      </c>
      <c r="V3402" t="s">
        <v>15638</v>
      </c>
      <c r="W3402" t="s">
        <v>1954</v>
      </c>
      <c r="X3402" t="s">
        <v>15641</v>
      </c>
      <c r="Y3402">
        <v>0</v>
      </c>
      <c r="Z3402">
        <v>19</v>
      </c>
    </row>
    <row r="3403" spans="1:26">
      <c r="A3403" s="1">
        <v>3401</v>
      </c>
      <c r="B3403" t="str">
        <f>HYPERLINK("https://bugs.eclipse.org/bugs/show_bug.cgi?id=180970", "180970")</f>
        <v>180970</v>
      </c>
      <c r="C3403" t="s">
        <v>56</v>
      </c>
      <c r="D3403" t="s">
        <v>10</v>
      </c>
      <c r="E3403" t="s">
        <v>14</v>
      </c>
      <c r="F3403" t="s">
        <v>26</v>
      </c>
      <c r="L3403" t="s">
        <v>15642</v>
      </c>
      <c r="P3403" t="s">
        <v>15642</v>
      </c>
      <c r="T3403" t="s">
        <v>15643</v>
      </c>
      <c r="U3403" t="s">
        <v>15642</v>
      </c>
      <c r="V3403" t="s">
        <v>15642</v>
      </c>
      <c r="W3403" t="s">
        <v>49</v>
      </c>
      <c r="X3403" t="s">
        <v>15644</v>
      </c>
      <c r="Y3403">
        <v>6</v>
      </c>
      <c r="Z3403">
        <v>6</v>
      </c>
    </row>
    <row r="3404" spans="1:26">
      <c r="A3404" s="1">
        <v>3402</v>
      </c>
      <c r="B3404" t="str">
        <f>HYPERLINK("https://bugs.eclipse.org/bugs/show_bug.cgi?id=181042", "181042")</f>
        <v>181042</v>
      </c>
      <c r="C3404" t="s">
        <v>25</v>
      </c>
      <c r="D3404" t="s">
        <v>25</v>
      </c>
      <c r="F3404" t="s">
        <v>26</v>
      </c>
      <c r="T3404" t="s">
        <v>15645</v>
      </c>
      <c r="U3404" t="s">
        <v>15646</v>
      </c>
      <c r="V3404" t="s">
        <v>15647</v>
      </c>
      <c r="W3404" t="s">
        <v>143</v>
      </c>
      <c r="X3404" t="s">
        <v>15648</v>
      </c>
      <c r="Y3404">
        <v>6</v>
      </c>
    </row>
    <row r="3405" spans="1:26">
      <c r="A3405" s="1">
        <v>3403</v>
      </c>
      <c r="B3405" t="str">
        <f>HYPERLINK("https://bugs.eclipse.org/bugs/show_bug.cgi?id=181054", "181054")</f>
        <v>181054</v>
      </c>
      <c r="C3405" t="s">
        <v>149</v>
      </c>
      <c r="D3405" t="s">
        <v>10</v>
      </c>
      <c r="E3405" t="s">
        <v>12</v>
      </c>
      <c r="F3405" t="s">
        <v>26</v>
      </c>
      <c r="L3405" t="s">
        <v>15649</v>
      </c>
      <c r="N3405" t="s">
        <v>15649</v>
      </c>
      <c r="T3405" t="s">
        <v>15650</v>
      </c>
      <c r="U3405" t="s">
        <v>15651</v>
      </c>
      <c r="V3405" t="s">
        <v>15649</v>
      </c>
      <c r="W3405" t="s">
        <v>49</v>
      </c>
      <c r="X3405" t="s">
        <v>15652</v>
      </c>
      <c r="Y3405">
        <v>6</v>
      </c>
      <c r="Z3405">
        <v>9</v>
      </c>
    </row>
    <row r="3406" spans="1:26">
      <c r="A3406" s="1">
        <v>3404</v>
      </c>
      <c r="B3406" t="str">
        <f>HYPERLINK("https://bugs.eclipse.org/bugs/show_bug.cgi?id=181059", "181059")</f>
        <v>181059</v>
      </c>
      <c r="C3406" t="s">
        <v>15653</v>
      </c>
      <c r="D3406" t="s">
        <v>10</v>
      </c>
      <c r="E3406" t="s">
        <v>15</v>
      </c>
      <c r="F3406" t="s">
        <v>26</v>
      </c>
      <c r="L3406" t="s">
        <v>15654</v>
      </c>
      <c r="Q3406" t="s">
        <v>15654</v>
      </c>
      <c r="T3406" t="s">
        <v>15655</v>
      </c>
      <c r="U3406" t="s">
        <v>15656</v>
      </c>
      <c r="V3406" t="s">
        <v>15654</v>
      </c>
      <c r="W3406" t="s">
        <v>15657</v>
      </c>
      <c r="X3406" t="s">
        <v>15658</v>
      </c>
      <c r="Y3406">
        <v>0</v>
      </c>
      <c r="Z3406">
        <v>2</v>
      </c>
    </row>
    <row r="3407" spans="1:26">
      <c r="A3407" s="1">
        <v>3405</v>
      </c>
      <c r="B3407" t="str">
        <f>HYPERLINK("https://bugs.eclipse.org/bugs/show_bug.cgi?id=181077", "181077")</f>
        <v>181077</v>
      </c>
      <c r="C3407" t="s">
        <v>191</v>
      </c>
      <c r="D3407" t="s">
        <v>192</v>
      </c>
      <c r="E3407" t="s">
        <v>14</v>
      </c>
      <c r="F3407" t="s">
        <v>26</v>
      </c>
      <c r="T3407" t="s">
        <v>15659</v>
      </c>
      <c r="U3407" t="s">
        <v>15660</v>
      </c>
      <c r="V3407" t="s">
        <v>15661</v>
      </c>
      <c r="W3407" t="s">
        <v>65</v>
      </c>
      <c r="X3407" t="s">
        <v>15662</v>
      </c>
      <c r="Y3407">
        <v>6</v>
      </c>
      <c r="Z3407">
        <v>4332.041666666667</v>
      </c>
    </row>
    <row r="3408" spans="1:26">
      <c r="A3408" s="1">
        <v>3406</v>
      </c>
      <c r="B3408" t="str">
        <f>HYPERLINK("https://bugs.eclipse.org/bugs/show_bug.cgi?id=181127", "181127")</f>
        <v>181127</v>
      </c>
      <c r="C3408" t="s">
        <v>15663</v>
      </c>
      <c r="D3408" t="s">
        <v>192</v>
      </c>
      <c r="E3408" t="s">
        <v>15</v>
      </c>
      <c r="F3408" t="s">
        <v>26</v>
      </c>
      <c r="Q3408" t="s">
        <v>15664</v>
      </c>
      <c r="T3408" t="s">
        <v>15665</v>
      </c>
      <c r="U3408" t="s">
        <v>15666</v>
      </c>
      <c r="V3408" t="s">
        <v>15664</v>
      </c>
      <c r="W3408" t="s">
        <v>143</v>
      </c>
      <c r="X3408" t="s">
        <v>15667</v>
      </c>
      <c r="Y3408">
        <v>18</v>
      </c>
      <c r="Z3408">
        <v>1231</v>
      </c>
    </row>
    <row r="3409" spans="1:26">
      <c r="A3409" s="1">
        <v>3407</v>
      </c>
      <c r="B3409" t="str">
        <f>HYPERLINK("https://bugs.eclipse.org/bugs/show_bug.cgi?id=181805", "181805")</f>
        <v>181805</v>
      </c>
      <c r="C3409" t="s">
        <v>149</v>
      </c>
      <c r="D3409" t="s">
        <v>10</v>
      </c>
      <c r="E3409" t="s">
        <v>12</v>
      </c>
      <c r="F3409" t="s">
        <v>26</v>
      </c>
      <c r="L3409" t="s">
        <v>15668</v>
      </c>
      <c r="N3409" t="s">
        <v>15668</v>
      </c>
      <c r="T3409" t="s">
        <v>15669</v>
      </c>
      <c r="U3409" t="s">
        <v>15670</v>
      </c>
      <c r="V3409" t="s">
        <v>15668</v>
      </c>
      <c r="W3409" t="s">
        <v>851</v>
      </c>
      <c r="X3409" t="s">
        <v>15671</v>
      </c>
      <c r="Y3409">
        <v>1</v>
      </c>
      <c r="Z3409">
        <v>1</v>
      </c>
    </row>
    <row r="3410" spans="1:26">
      <c r="A3410" s="1">
        <v>3408</v>
      </c>
      <c r="B3410" t="str">
        <f>HYPERLINK("https://bugs.eclipse.org/bugs/show_bug.cgi?id=181830", "181830")</f>
        <v>181830</v>
      </c>
      <c r="C3410" t="s">
        <v>149</v>
      </c>
      <c r="D3410" t="s">
        <v>10</v>
      </c>
      <c r="E3410" t="s">
        <v>12</v>
      </c>
      <c r="F3410" t="s">
        <v>26</v>
      </c>
      <c r="G3410" t="s">
        <v>15672</v>
      </c>
      <c r="H3410" t="s">
        <v>15673</v>
      </c>
      <c r="L3410" t="s">
        <v>15674</v>
      </c>
      <c r="N3410" t="s">
        <v>15674</v>
      </c>
      <c r="R3410" t="s">
        <v>15675</v>
      </c>
      <c r="T3410" t="s">
        <v>15676</v>
      </c>
      <c r="U3410" t="s">
        <v>15675</v>
      </c>
      <c r="V3410" t="s">
        <v>15677</v>
      </c>
      <c r="W3410" t="s">
        <v>15678</v>
      </c>
      <c r="X3410" t="s">
        <v>15679</v>
      </c>
      <c r="Y3410">
        <v>3</v>
      </c>
      <c r="Z3410">
        <v>23</v>
      </c>
    </row>
    <row r="3411" spans="1:26">
      <c r="A3411" s="1">
        <v>3409</v>
      </c>
      <c r="B3411" t="str">
        <f>HYPERLINK("https://bugs.eclipse.org/bugs/show_bug.cgi?id=181867", "181867")</f>
        <v>181867</v>
      </c>
      <c r="C3411" t="s">
        <v>4692</v>
      </c>
      <c r="D3411" t="s">
        <v>4692</v>
      </c>
      <c r="F3411" t="s">
        <v>26</v>
      </c>
      <c r="T3411" t="s">
        <v>15680</v>
      </c>
      <c r="U3411" t="s">
        <v>15681</v>
      </c>
      <c r="V3411" t="s">
        <v>15682</v>
      </c>
      <c r="W3411" t="s">
        <v>65</v>
      </c>
      <c r="X3411" t="s">
        <v>15683</v>
      </c>
      <c r="Y3411">
        <v>3</v>
      </c>
    </row>
    <row r="3412" spans="1:26">
      <c r="A3412" s="1">
        <v>3410</v>
      </c>
      <c r="B3412" t="str">
        <f>HYPERLINK("https://bugs.eclipse.org/bugs/show_bug.cgi?id=181897", "181897")</f>
        <v>181897</v>
      </c>
      <c r="C3412" t="s">
        <v>56</v>
      </c>
      <c r="D3412" t="s">
        <v>10</v>
      </c>
      <c r="E3412" t="s">
        <v>14</v>
      </c>
      <c r="F3412" t="s">
        <v>26</v>
      </c>
      <c r="L3412" t="s">
        <v>15684</v>
      </c>
      <c r="P3412" t="s">
        <v>15684</v>
      </c>
      <c r="T3412" t="s">
        <v>15685</v>
      </c>
      <c r="U3412" t="s">
        <v>15686</v>
      </c>
      <c r="V3412" t="s">
        <v>15684</v>
      </c>
      <c r="W3412" t="s">
        <v>49</v>
      </c>
      <c r="X3412" t="s">
        <v>15687</v>
      </c>
      <c r="Y3412">
        <v>4</v>
      </c>
      <c r="Z3412">
        <v>8</v>
      </c>
    </row>
    <row r="3413" spans="1:26">
      <c r="A3413" s="1">
        <v>3411</v>
      </c>
      <c r="B3413" t="str">
        <f>HYPERLINK("https://bugs.eclipse.org/bugs/show_bug.cgi?id=181915", "181915")</f>
        <v>181915</v>
      </c>
      <c r="C3413" t="s">
        <v>35</v>
      </c>
      <c r="D3413" t="s">
        <v>11</v>
      </c>
      <c r="E3413" t="s">
        <v>12</v>
      </c>
      <c r="F3413" t="s">
        <v>26</v>
      </c>
      <c r="L3413" t="s">
        <v>15688</v>
      </c>
      <c r="M3413" t="s">
        <v>15689</v>
      </c>
      <c r="N3413" t="s">
        <v>15688</v>
      </c>
      <c r="T3413" t="s">
        <v>15690</v>
      </c>
      <c r="U3413" t="s">
        <v>15691</v>
      </c>
      <c r="V3413" t="s">
        <v>15689</v>
      </c>
      <c r="W3413" t="s">
        <v>143</v>
      </c>
      <c r="X3413" t="s">
        <v>15692</v>
      </c>
      <c r="Y3413">
        <v>0</v>
      </c>
      <c r="Z3413">
        <v>21</v>
      </c>
    </row>
    <row r="3414" spans="1:26">
      <c r="A3414" s="1">
        <v>3412</v>
      </c>
      <c r="B3414" t="str">
        <f>HYPERLINK("https://bugs.eclipse.org/bugs/show_bug.cgi?id=181946", "181946")</f>
        <v>181946</v>
      </c>
      <c r="C3414" t="s">
        <v>191</v>
      </c>
      <c r="D3414" t="s">
        <v>192</v>
      </c>
      <c r="E3414" t="s">
        <v>14</v>
      </c>
      <c r="F3414" t="s">
        <v>26</v>
      </c>
      <c r="T3414" t="s">
        <v>15693</v>
      </c>
      <c r="U3414" t="s">
        <v>15694</v>
      </c>
      <c r="V3414" t="s">
        <v>15694</v>
      </c>
      <c r="W3414" t="s">
        <v>65</v>
      </c>
      <c r="X3414" t="s">
        <v>15695</v>
      </c>
      <c r="Y3414">
        <v>4612.041666666667</v>
      </c>
      <c r="Z3414">
        <v>4612.041666666667</v>
      </c>
    </row>
    <row r="3415" spans="1:26">
      <c r="A3415" s="1">
        <v>3413</v>
      </c>
      <c r="B3415" t="str">
        <f>HYPERLINK("https://bugs.eclipse.org/bugs/show_bug.cgi?id=182064", "182064")</f>
        <v>182064</v>
      </c>
      <c r="C3415" t="s">
        <v>191</v>
      </c>
      <c r="D3415" t="s">
        <v>192</v>
      </c>
      <c r="E3415" t="s">
        <v>14</v>
      </c>
      <c r="F3415" t="s">
        <v>26</v>
      </c>
      <c r="G3415" t="s">
        <v>15696</v>
      </c>
      <c r="P3415" t="s">
        <v>15697</v>
      </c>
      <c r="T3415" t="s">
        <v>15698</v>
      </c>
      <c r="U3415" t="s">
        <v>15699</v>
      </c>
      <c r="V3415" t="s">
        <v>15697</v>
      </c>
      <c r="W3415" t="s">
        <v>65</v>
      </c>
      <c r="X3415" t="s">
        <v>15700</v>
      </c>
      <c r="Y3415">
        <v>28</v>
      </c>
      <c r="Z3415">
        <v>4734</v>
      </c>
    </row>
    <row r="3416" spans="1:26">
      <c r="A3416" s="1">
        <v>3414</v>
      </c>
      <c r="B3416" t="str">
        <f>HYPERLINK("https://bugs.eclipse.org/bugs/show_bug.cgi?id=182155", "182155")</f>
        <v>182155</v>
      </c>
      <c r="C3416" t="s">
        <v>191</v>
      </c>
      <c r="D3416" t="s">
        <v>192</v>
      </c>
      <c r="E3416" t="s">
        <v>14</v>
      </c>
      <c r="F3416" t="s">
        <v>26</v>
      </c>
      <c r="T3416" t="s">
        <v>15701</v>
      </c>
      <c r="U3416" t="s">
        <v>15702</v>
      </c>
      <c r="V3416" t="s">
        <v>15703</v>
      </c>
      <c r="W3416" t="s">
        <v>65</v>
      </c>
      <c r="X3416" t="s">
        <v>15704</v>
      </c>
      <c r="Y3416">
        <v>3</v>
      </c>
      <c r="Z3416">
        <v>4554</v>
      </c>
    </row>
    <row r="3417" spans="1:26">
      <c r="A3417" s="1">
        <v>3415</v>
      </c>
      <c r="B3417" t="str">
        <f>HYPERLINK("https://bugs.eclipse.org/bugs/show_bug.cgi?id=182346", "182346")</f>
        <v>182346</v>
      </c>
      <c r="C3417" t="s">
        <v>149</v>
      </c>
      <c r="D3417" t="s">
        <v>10</v>
      </c>
      <c r="E3417" t="s">
        <v>12</v>
      </c>
      <c r="F3417" t="s">
        <v>26</v>
      </c>
      <c r="G3417" t="s">
        <v>15705</v>
      </c>
      <c r="L3417" t="s">
        <v>15706</v>
      </c>
      <c r="N3417" t="s">
        <v>15706</v>
      </c>
      <c r="T3417" t="s">
        <v>15707</v>
      </c>
      <c r="U3417" t="s">
        <v>15708</v>
      </c>
      <c r="V3417" t="s">
        <v>15706</v>
      </c>
      <c r="W3417" t="s">
        <v>851</v>
      </c>
      <c r="X3417" t="s">
        <v>15709</v>
      </c>
      <c r="Y3417">
        <v>0</v>
      </c>
      <c r="Z3417">
        <v>374</v>
      </c>
    </row>
    <row r="3418" spans="1:26">
      <c r="A3418" s="1">
        <v>3416</v>
      </c>
      <c r="B3418" t="str">
        <f>HYPERLINK("https://bugs.eclipse.org/bugs/show_bug.cgi?id=182458", "182458")</f>
        <v>182458</v>
      </c>
      <c r="C3418" t="s">
        <v>35</v>
      </c>
      <c r="D3418" t="s">
        <v>11</v>
      </c>
      <c r="E3418" t="s">
        <v>12</v>
      </c>
      <c r="F3418" t="s">
        <v>26</v>
      </c>
      <c r="L3418" t="s">
        <v>15710</v>
      </c>
      <c r="M3418" t="s">
        <v>15711</v>
      </c>
      <c r="N3418" t="s">
        <v>15710</v>
      </c>
      <c r="T3418" t="s">
        <v>15712</v>
      </c>
      <c r="U3418" t="s">
        <v>15713</v>
      </c>
      <c r="V3418" t="s">
        <v>15711</v>
      </c>
      <c r="W3418" t="s">
        <v>143</v>
      </c>
      <c r="X3418" t="s">
        <v>15714</v>
      </c>
      <c r="Y3418">
        <v>0</v>
      </c>
      <c r="Z3418">
        <v>17</v>
      </c>
    </row>
    <row r="3419" spans="1:26">
      <c r="A3419" s="1">
        <v>3417</v>
      </c>
      <c r="B3419" t="str">
        <f>HYPERLINK("https://bugs.eclipse.org/bugs/show_bug.cgi?id=182469", "182469")</f>
        <v>182469</v>
      </c>
      <c r="C3419" t="s">
        <v>35</v>
      </c>
      <c r="D3419" t="s">
        <v>11</v>
      </c>
      <c r="E3419" t="s">
        <v>12</v>
      </c>
      <c r="F3419" t="s">
        <v>26</v>
      </c>
      <c r="G3419" t="s">
        <v>15715</v>
      </c>
      <c r="L3419" t="s">
        <v>15716</v>
      </c>
      <c r="M3419" t="s">
        <v>15717</v>
      </c>
      <c r="N3419" t="s">
        <v>15716</v>
      </c>
      <c r="S3419" t="s">
        <v>15718</v>
      </c>
      <c r="T3419" t="s">
        <v>15719</v>
      </c>
      <c r="U3419" t="s">
        <v>15720</v>
      </c>
      <c r="V3419" t="s">
        <v>15717</v>
      </c>
      <c r="W3419" t="s">
        <v>1954</v>
      </c>
      <c r="X3419" t="s">
        <v>15721</v>
      </c>
      <c r="Y3419">
        <v>1</v>
      </c>
      <c r="Z3419">
        <v>31</v>
      </c>
    </row>
    <row r="3420" spans="1:26">
      <c r="A3420" s="1">
        <v>3418</v>
      </c>
      <c r="B3420" t="str">
        <f>HYPERLINK("https://bugs.eclipse.org/bugs/show_bug.cgi?id=182539", "182539")</f>
        <v>182539</v>
      </c>
      <c r="C3420" t="s">
        <v>35</v>
      </c>
      <c r="D3420" t="s">
        <v>11</v>
      </c>
      <c r="E3420" t="s">
        <v>12</v>
      </c>
      <c r="F3420" t="s">
        <v>26</v>
      </c>
      <c r="G3420" t="s">
        <v>15722</v>
      </c>
      <c r="L3420" t="s">
        <v>15723</v>
      </c>
      <c r="M3420" t="s">
        <v>15724</v>
      </c>
      <c r="N3420" t="s">
        <v>15723</v>
      </c>
      <c r="T3420" t="s">
        <v>15725</v>
      </c>
      <c r="U3420" t="s">
        <v>15726</v>
      </c>
      <c r="V3420" t="s">
        <v>15724</v>
      </c>
      <c r="W3420" t="s">
        <v>143</v>
      </c>
      <c r="X3420" t="s">
        <v>15727</v>
      </c>
      <c r="Y3420">
        <v>1</v>
      </c>
      <c r="Z3420">
        <v>603.04166666666663</v>
      </c>
    </row>
    <row r="3421" spans="1:26">
      <c r="A3421" s="1">
        <v>3419</v>
      </c>
      <c r="B3421" t="str">
        <f>HYPERLINK("https://bugs.eclipse.org/bugs/show_bug.cgi?id=182993", "182993")</f>
        <v>182993</v>
      </c>
      <c r="C3421" t="s">
        <v>35</v>
      </c>
      <c r="D3421" t="s">
        <v>11</v>
      </c>
      <c r="E3421" t="s">
        <v>12</v>
      </c>
      <c r="F3421" t="s">
        <v>26</v>
      </c>
      <c r="L3421" t="s">
        <v>15728</v>
      </c>
      <c r="M3421" t="s">
        <v>15729</v>
      </c>
      <c r="N3421" t="s">
        <v>15728</v>
      </c>
      <c r="T3421" t="s">
        <v>15730</v>
      </c>
      <c r="U3421" t="s">
        <v>15731</v>
      </c>
      <c r="V3421" t="s">
        <v>15729</v>
      </c>
      <c r="W3421" t="s">
        <v>143</v>
      </c>
      <c r="X3421" t="s">
        <v>15732</v>
      </c>
      <c r="Y3421">
        <v>1</v>
      </c>
      <c r="Z3421">
        <v>14</v>
      </c>
    </row>
    <row r="3422" spans="1:26">
      <c r="A3422" s="1">
        <v>3420</v>
      </c>
      <c r="B3422" t="str">
        <f>HYPERLINK("https://bugs.eclipse.org/bugs/show_bug.cgi?id=183074", "183074")</f>
        <v>183074</v>
      </c>
      <c r="C3422" t="s">
        <v>14981</v>
      </c>
      <c r="D3422" t="s">
        <v>10</v>
      </c>
      <c r="E3422" t="s">
        <v>15</v>
      </c>
      <c r="F3422" t="s">
        <v>26</v>
      </c>
      <c r="L3422" t="s">
        <v>14854</v>
      </c>
      <c r="Q3422" t="s">
        <v>14854</v>
      </c>
      <c r="T3422" t="s">
        <v>15733</v>
      </c>
      <c r="U3422" t="s">
        <v>15734</v>
      </c>
      <c r="V3422" t="s">
        <v>14854</v>
      </c>
      <c r="W3422" t="s">
        <v>49</v>
      </c>
      <c r="X3422" t="s">
        <v>15735</v>
      </c>
      <c r="Y3422">
        <v>0</v>
      </c>
      <c r="Z3422">
        <v>6</v>
      </c>
    </row>
    <row r="3423" spans="1:26">
      <c r="A3423" s="1">
        <v>3421</v>
      </c>
      <c r="B3423" t="str">
        <f>HYPERLINK("https://bugs.eclipse.org/bugs/show_bug.cgi?id=183180", "183180")</f>
        <v>183180</v>
      </c>
      <c r="C3423" t="s">
        <v>56</v>
      </c>
      <c r="D3423" t="s">
        <v>10</v>
      </c>
      <c r="E3423" t="s">
        <v>14</v>
      </c>
      <c r="F3423" t="s">
        <v>26</v>
      </c>
      <c r="L3423" t="s">
        <v>15736</v>
      </c>
      <c r="P3423" t="s">
        <v>15736</v>
      </c>
      <c r="T3423" t="s">
        <v>15737</v>
      </c>
      <c r="U3423" t="s">
        <v>15736</v>
      </c>
      <c r="V3423" t="s">
        <v>15736</v>
      </c>
      <c r="W3423" t="s">
        <v>49</v>
      </c>
      <c r="X3423" t="s">
        <v>15738</v>
      </c>
      <c r="Y3423">
        <v>1</v>
      </c>
      <c r="Z3423">
        <v>1</v>
      </c>
    </row>
    <row r="3424" spans="1:26">
      <c r="A3424" s="1">
        <v>3422</v>
      </c>
      <c r="B3424" t="str">
        <f>HYPERLINK("https://bugs.eclipse.org/bugs/show_bug.cgi?id=183189", "183189")</f>
        <v>183189</v>
      </c>
      <c r="C3424" t="s">
        <v>191</v>
      </c>
      <c r="D3424" t="s">
        <v>192</v>
      </c>
      <c r="E3424" t="s">
        <v>14</v>
      </c>
      <c r="F3424" t="s">
        <v>26</v>
      </c>
      <c r="T3424" t="s">
        <v>15739</v>
      </c>
      <c r="U3424" t="s">
        <v>15740</v>
      </c>
      <c r="V3424" t="s">
        <v>15741</v>
      </c>
      <c r="W3424" t="s">
        <v>65</v>
      </c>
      <c r="X3424" t="s">
        <v>15742</v>
      </c>
      <c r="Y3424">
        <v>1</v>
      </c>
      <c r="Z3424">
        <v>4563</v>
      </c>
    </row>
    <row r="3425" spans="1:26">
      <c r="A3425" s="1">
        <v>3423</v>
      </c>
      <c r="B3425" t="str">
        <f>HYPERLINK("https://bugs.eclipse.org/bugs/show_bug.cgi?id=183332", "183332")</f>
        <v>183332</v>
      </c>
      <c r="C3425" t="s">
        <v>191</v>
      </c>
      <c r="D3425" t="s">
        <v>192</v>
      </c>
      <c r="E3425" t="s">
        <v>14</v>
      </c>
      <c r="F3425" t="s">
        <v>26</v>
      </c>
      <c r="T3425" t="s">
        <v>15743</v>
      </c>
      <c r="U3425" t="s">
        <v>15744</v>
      </c>
      <c r="V3425" t="s">
        <v>15745</v>
      </c>
      <c r="W3425" t="s">
        <v>65</v>
      </c>
      <c r="X3425" t="s">
        <v>15746</v>
      </c>
      <c r="Y3425">
        <v>372</v>
      </c>
      <c r="Z3425">
        <v>4540</v>
      </c>
    </row>
    <row r="3426" spans="1:26">
      <c r="A3426" s="1">
        <v>3424</v>
      </c>
      <c r="B3426" t="str">
        <f>HYPERLINK("https://bugs.eclipse.org/bugs/show_bug.cgi?id=183515", "183515")</f>
        <v>183515</v>
      </c>
      <c r="C3426" t="s">
        <v>56</v>
      </c>
      <c r="D3426" t="s">
        <v>10</v>
      </c>
      <c r="E3426" t="s">
        <v>14</v>
      </c>
      <c r="F3426" t="s">
        <v>26</v>
      </c>
      <c r="L3426" t="s">
        <v>15747</v>
      </c>
      <c r="P3426" t="s">
        <v>15747</v>
      </c>
      <c r="T3426" t="s">
        <v>15748</v>
      </c>
      <c r="U3426" t="s">
        <v>15747</v>
      </c>
      <c r="V3426" t="s">
        <v>15747</v>
      </c>
      <c r="W3426" t="s">
        <v>49</v>
      </c>
      <c r="X3426" t="s">
        <v>15749</v>
      </c>
      <c r="Y3426">
        <v>2</v>
      </c>
      <c r="Z3426">
        <v>2</v>
      </c>
    </row>
    <row r="3427" spans="1:26">
      <c r="A3427" s="1">
        <v>3425</v>
      </c>
      <c r="B3427" t="str">
        <f>HYPERLINK("https://bugs.eclipse.org/bugs/show_bug.cgi?id=183925", "183925")</f>
        <v>183925</v>
      </c>
      <c r="C3427" t="s">
        <v>149</v>
      </c>
      <c r="D3427" t="s">
        <v>10</v>
      </c>
      <c r="E3427" t="s">
        <v>12</v>
      </c>
      <c r="F3427" t="s">
        <v>26</v>
      </c>
      <c r="L3427" t="s">
        <v>15750</v>
      </c>
      <c r="N3427" t="s">
        <v>15750</v>
      </c>
      <c r="T3427" t="s">
        <v>15751</v>
      </c>
      <c r="U3427" t="s">
        <v>15752</v>
      </c>
      <c r="V3427" t="s">
        <v>15750</v>
      </c>
      <c r="W3427" t="s">
        <v>851</v>
      </c>
      <c r="X3427" t="s">
        <v>15753</v>
      </c>
      <c r="Y3427">
        <v>0</v>
      </c>
      <c r="Z3427">
        <v>1</v>
      </c>
    </row>
    <row r="3428" spans="1:26">
      <c r="A3428" s="1">
        <v>3426</v>
      </c>
      <c r="B3428" t="str">
        <f>HYPERLINK("https://bugs.eclipse.org/bugs/show_bug.cgi?id=184408", "184408")</f>
        <v>184408</v>
      </c>
      <c r="C3428" t="s">
        <v>35</v>
      </c>
      <c r="D3428" t="s">
        <v>11</v>
      </c>
      <c r="E3428" t="s">
        <v>12</v>
      </c>
      <c r="F3428" t="s">
        <v>26</v>
      </c>
      <c r="L3428" t="s">
        <v>15754</v>
      </c>
      <c r="M3428" t="s">
        <v>15755</v>
      </c>
      <c r="N3428" t="s">
        <v>15754</v>
      </c>
      <c r="T3428" t="s">
        <v>15756</v>
      </c>
      <c r="U3428" t="s">
        <v>15757</v>
      </c>
      <c r="V3428" t="s">
        <v>15758</v>
      </c>
      <c r="W3428" t="s">
        <v>851</v>
      </c>
      <c r="X3428" t="s">
        <v>15759</v>
      </c>
      <c r="Y3428">
        <v>3</v>
      </c>
      <c r="Z3428">
        <v>781</v>
      </c>
    </row>
    <row r="3429" spans="1:26">
      <c r="A3429" s="1">
        <v>3427</v>
      </c>
      <c r="B3429" t="str">
        <f>HYPERLINK("https://bugs.eclipse.org/bugs/show_bug.cgi?id=184418", "184418")</f>
        <v>184418</v>
      </c>
      <c r="C3429" t="s">
        <v>56</v>
      </c>
      <c r="D3429" t="s">
        <v>10</v>
      </c>
      <c r="E3429" t="s">
        <v>14</v>
      </c>
      <c r="F3429" t="s">
        <v>26</v>
      </c>
      <c r="L3429" t="s">
        <v>15760</v>
      </c>
      <c r="P3429" t="s">
        <v>15760</v>
      </c>
      <c r="T3429" t="s">
        <v>15761</v>
      </c>
      <c r="U3429" t="s">
        <v>15760</v>
      </c>
      <c r="V3429" t="s">
        <v>15762</v>
      </c>
      <c r="W3429" t="s">
        <v>1161</v>
      </c>
      <c r="X3429" t="s">
        <v>15763</v>
      </c>
      <c r="Y3429">
        <v>0</v>
      </c>
      <c r="Z3429">
        <v>0</v>
      </c>
    </row>
    <row r="3430" spans="1:26">
      <c r="A3430" s="1">
        <v>3428</v>
      </c>
      <c r="B3430" t="str">
        <f>HYPERLINK("https://bugs.eclipse.org/bugs/show_bug.cgi?id=184506", "184506")</f>
        <v>184506</v>
      </c>
      <c r="C3430" t="s">
        <v>15764</v>
      </c>
      <c r="D3430" t="s">
        <v>10</v>
      </c>
      <c r="E3430" t="s">
        <v>15</v>
      </c>
      <c r="F3430" t="s">
        <v>26</v>
      </c>
      <c r="L3430" t="s">
        <v>15765</v>
      </c>
      <c r="Q3430" t="s">
        <v>15765</v>
      </c>
      <c r="T3430" t="s">
        <v>15766</v>
      </c>
      <c r="U3430" t="s">
        <v>15767</v>
      </c>
      <c r="V3430" t="s">
        <v>15765</v>
      </c>
      <c r="W3430" t="s">
        <v>49</v>
      </c>
      <c r="X3430" t="s">
        <v>15768</v>
      </c>
      <c r="Y3430">
        <v>0</v>
      </c>
      <c r="Z3430">
        <v>12</v>
      </c>
    </row>
    <row r="3431" spans="1:26">
      <c r="A3431" s="1">
        <v>3429</v>
      </c>
      <c r="B3431" t="str">
        <f>HYPERLINK("https://bugs.eclipse.org/bugs/show_bug.cgi?id=184558", "184558")</f>
        <v>184558</v>
      </c>
      <c r="C3431" t="s">
        <v>10826</v>
      </c>
      <c r="D3431" t="s">
        <v>10</v>
      </c>
      <c r="E3431" t="s">
        <v>15</v>
      </c>
      <c r="F3431" t="s">
        <v>26</v>
      </c>
      <c r="L3431" t="s">
        <v>15769</v>
      </c>
      <c r="Q3431" t="s">
        <v>15769</v>
      </c>
      <c r="T3431" t="s">
        <v>15770</v>
      </c>
      <c r="U3431" t="s">
        <v>15771</v>
      </c>
      <c r="V3431" t="s">
        <v>15769</v>
      </c>
      <c r="W3431" t="s">
        <v>851</v>
      </c>
      <c r="X3431" t="s">
        <v>15772</v>
      </c>
      <c r="Y3431">
        <v>3</v>
      </c>
      <c r="Z3431">
        <v>786</v>
      </c>
    </row>
    <row r="3432" spans="1:26">
      <c r="A3432" s="1">
        <v>3430</v>
      </c>
      <c r="B3432" t="str">
        <f>HYPERLINK("https://bugs.eclipse.org/bugs/show_bug.cgi?id=184570", "184570")</f>
        <v>184570</v>
      </c>
      <c r="C3432" t="s">
        <v>140</v>
      </c>
      <c r="D3432" t="s">
        <v>10</v>
      </c>
      <c r="E3432" t="s">
        <v>16</v>
      </c>
      <c r="F3432" t="s">
        <v>26</v>
      </c>
      <c r="L3432" t="s">
        <v>15773</v>
      </c>
      <c r="R3432" t="s">
        <v>15773</v>
      </c>
      <c r="T3432" t="s">
        <v>15774</v>
      </c>
      <c r="U3432" t="s">
        <v>15775</v>
      </c>
      <c r="V3432" t="s">
        <v>15773</v>
      </c>
      <c r="W3432" t="s">
        <v>851</v>
      </c>
      <c r="X3432" t="s">
        <v>15776</v>
      </c>
      <c r="Y3432">
        <v>2</v>
      </c>
      <c r="Z3432">
        <v>5</v>
      </c>
    </row>
    <row r="3433" spans="1:26">
      <c r="A3433" s="1">
        <v>3431</v>
      </c>
      <c r="B3433" t="str">
        <f>HYPERLINK("https://bugs.eclipse.org/bugs/show_bug.cgi?id=184971", "184971")</f>
        <v>184971</v>
      </c>
      <c r="C3433" t="s">
        <v>35</v>
      </c>
      <c r="D3433" t="s">
        <v>11</v>
      </c>
      <c r="E3433" t="s">
        <v>12</v>
      </c>
      <c r="F3433" t="s">
        <v>26</v>
      </c>
      <c r="L3433" t="s">
        <v>15777</v>
      </c>
      <c r="M3433" t="s">
        <v>15778</v>
      </c>
      <c r="N3433" t="s">
        <v>15777</v>
      </c>
      <c r="T3433" t="s">
        <v>15779</v>
      </c>
      <c r="U3433" t="s">
        <v>15780</v>
      </c>
      <c r="V3433" t="s">
        <v>15778</v>
      </c>
      <c r="W3433" t="s">
        <v>851</v>
      </c>
      <c r="X3433" t="s">
        <v>15781</v>
      </c>
      <c r="Y3433">
        <v>0</v>
      </c>
      <c r="Z3433">
        <v>2</v>
      </c>
    </row>
    <row r="3434" spans="1:26">
      <c r="A3434" s="1">
        <v>3432</v>
      </c>
      <c r="B3434" t="str">
        <f>HYPERLINK("https://bugs.eclipse.org/bugs/show_bug.cgi?id=185023", "185023")</f>
        <v>185023</v>
      </c>
      <c r="C3434" t="s">
        <v>25</v>
      </c>
      <c r="D3434" t="s">
        <v>25</v>
      </c>
      <c r="F3434" t="s">
        <v>26</v>
      </c>
      <c r="T3434" t="s">
        <v>15782</v>
      </c>
      <c r="U3434" t="s">
        <v>15783</v>
      </c>
      <c r="V3434" t="s">
        <v>15784</v>
      </c>
      <c r="W3434" t="s">
        <v>851</v>
      </c>
      <c r="X3434" t="s">
        <v>15785</v>
      </c>
      <c r="Y3434">
        <v>1</v>
      </c>
    </row>
    <row r="3435" spans="1:26">
      <c r="A3435" s="1">
        <v>3433</v>
      </c>
      <c r="B3435" t="str">
        <f>HYPERLINK("https://bugs.eclipse.org/bugs/show_bug.cgi?id=185043", "185043")</f>
        <v>185043</v>
      </c>
      <c r="C3435" t="s">
        <v>149</v>
      </c>
      <c r="D3435" t="s">
        <v>10</v>
      </c>
      <c r="E3435" t="s">
        <v>12</v>
      </c>
      <c r="F3435" t="s">
        <v>26</v>
      </c>
      <c r="G3435" t="s">
        <v>15786</v>
      </c>
      <c r="L3435" t="s">
        <v>15787</v>
      </c>
      <c r="N3435" t="s">
        <v>15787</v>
      </c>
      <c r="Q3435" t="s">
        <v>15788</v>
      </c>
      <c r="S3435" t="s">
        <v>15789</v>
      </c>
      <c r="T3435" t="s">
        <v>15790</v>
      </c>
      <c r="U3435" t="s">
        <v>15791</v>
      </c>
      <c r="V3435" t="s">
        <v>15787</v>
      </c>
      <c r="W3435" t="s">
        <v>851</v>
      </c>
      <c r="X3435" t="s">
        <v>15792</v>
      </c>
      <c r="Y3435">
        <v>0</v>
      </c>
      <c r="Z3435">
        <v>659.04166666666663</v>
      </c>
    </row>
    <row r="3436" spans="1:26">
      <c r="A3436" s="1">
        <v>3434</v>
      </c>
      <c r="B3436" t="str">
        <f>HYPERLINK("https://bugs.eclipse.org/bugs/show_bug.cgi?id=185060", "185060")</f>
        <v>185060</v>
      </c>
      <c r="C3436" t="s">
        <v>15793</v>
      </c>
      <c r="D3436" t="s">
        <v>192</v>
      </c>
      <c r="E3436" t="s">
        <v>15</v>
      </c>
      <c r="F3436" t="s">
        <v>26</v>
      </c>
      <c r="L3436" t="s">
        <v>15794</v>
      </c>
      <c r="P3436" t="s">
        <v>15794</v>
      </c>
      <c r="Q3436" t="s">
        <v>15795</v>
      </c>
      <c r="T3436" t="s">
        <v>15796</v>
      </c>
      <c r="U3436" t="s">
        <v>15794</v>
      </c>
      <c r="V3436" t="s">
        <v>15795</v>
      </c>
      <c r="W3436" t="s">
        <v>143</v>
      </c>
      <c r="X3436" t="s">
        <v>15797</v>
      </c>
      <c r="Y3436">
        <v>6</v>
      </c>
      <c r="Z3436">
        <v>1708.041666666667</v>
      </c>
    </row>
    <row r="3437" spans="1:26">
      <c r="A3437" s="1">
        <v>3435</v>
      </c>
      <c r="B3437" t="str">
        <f>HYPERLINK("https://bugs.eclipse.org/bugs/show_bug.cgi?id=185084", "185084")</f>
        <v>185084</v>
      </c>
      <c r="C3437" t="s">
        <v>15798</v>
      </c>
      <c r="D3437" t="s">
        <v>10</v>
      </c>
      <c r="E3437" t="s">
        <v>15</v>
      </c>
      <c r="F3437" t="s">
        <v>26</v>
      </c>
      <c r="L3437" t="s">
        <v>15799</v>
      </c>
      <c r="Q3437" t="s">
        <v>15799</v>
      </c>
      <c r="T3437" t="s">
        <v>15800</v>
      </c>
      <c r="U3437" t="s">
        <v>15799</v>
      </c>
      <c r="V3437" t="s">
        <v>15801</v>
      </c>
      <c r="W3437" t="s">
        <v>49</v>
      </c>
      <c r="X3437" t="s">
        <v>15802</v>
      </c>
      <c r="Y3437">
        <v>6</v>
      </c>
      <c r="Z3437">
        <v>6</v>
      </c>
    </row>
    <row r="3438" spans="1:26">
      <c r="A3438" s="1">
        <v>3436</v>
      </c>
      <c r="B3438" t="str">
        <f>HYPERLINK("https://bugs.eclipse.org/bugs/show_bug.cgi?id=185177", "185177")</f>
        <v>185177</v>
      </c>
      <c r="C3438" t="s">
        <v>35</v>
      </c>
      <c r="D3438" t="s">
        <v>11</v>
      </c>
      <c r="E3438" t="s">
        <v>12</v>
      </c>
      <c r="F3438" t="s">
        <v>26</v>
      </c>
      <c r="L3438" t="s">
        <v>15803</v>
      </c>
      <c r="M3438" t="s">
        <v>15804</v>
      </c>
      <c r="N3438" t="s">
        <v>15803</v>
      </c>
      <c r="T3438" t="s">
        <v>15805</v>
      </c>
      <c r="U3438" t="s">
        <v>15806</v>
      </c>
      <c r="V3438" t="s">
        <v>15807</v>
      </c>
      <c r="W3438" t="s">
        <v>851</v>
      </c>
      <c r="X3438" t="s">
        <v>15808</v>
      </c>
      <c r="Y3438">
        <v>1</v>
      </c>
      <c r="Z3438">
        <v>20</v>
      </c>
    </row>
    <row r="3439" spans="1:26">
      <c r="A3439" s="1">
        <v>3437</v>
      </c>
      <c r="B3439" t="str">
        <f>HYPERLINK("https://bugs.eclipse.org/bugs/show_bug.cgi?id=185332", "185332")</f>
        <v>185332</v>
      </c>
      <c r="C3439" t="s">
        <v>35</v>
      </c>
      <c r="D3439" t="s">
        <v>11</v>
      </c>
      <c r="E3439" t="s">
        <v>12</v>
      </c>
      <c r="F3439" t="s">
        <v>26</v>
      </c>
      <c r="G3439" t="s">
        <v>15809</v>
      </c>
      <c r="L3439" t="s">
        <v>15810</v>
      </c>
      <c r="M3439" t="s">
        <v>15811</v>
      </c>
      <c r="N3439" t="s">
        <v>15810</v>
      </c>
      <c r="T3439" t="s">
        <v>15812</v>
      </c>
      <c r="U3439" t="s">
        <v>15813</v>
      </c>
      <c r="V3439" t="s">
        <v>15814</v>
      </c>
      <c r="W3439" t="s">
        <v>49</v>
      </c>
      <c r="X3439" t="s">
        <v>15815</v>
      </c>
      <c r="Y3439">
        <v>0</v>
      </c>
      <c r="Z3439">
        <v>34</v>
      </c>
    </row>
    <row r="3440" spans="1:26">
      <c r="A3440" s="1">
        <v>3438</v>
      </c>
      <c r="B3440" t="str">
        <f>HYPERLINK("https://bugs.eclipse.org/bugs/show_bug.cgi?id=185334", "185334")</f>
        <v>185334</v>
      </c>
      <c r="C3440" t="s">
        <v>35</v>
      </c>
      <c r="D3440" t="s">
        <v>11</v>
      </c>
      <c r="E3440" t="s">
        <v>12</v>
      </c>
      <c r="F3440" t="s">
        <v>26</v>
      </c>
      <c r="L3440" t="s">
        <v>15816</v>
      </c>
      <c r="M3440" t="s">
        <v>15817</v>
      </c>
      <c r="N3440" t="s">
        <v>15816</v>
      </c>
      <c r="T3440" t="s">
        <v>15818</v>
      </c>
      <c r="U3440" t="s">
        <v>15819</v>
      </c>
      <c r="V3440" t="s">
        <v>15820</v>
      </c>
      <c r="W3440" t="s">
        <v>49</v>
      </c>
      <c r="X3440" t="s">
        <v>15821</v>
      </c>
      <c r="Y3440">
        <v>0</v>
      </c>
      <c r="Z3440">
        <v>34</v>
      </c>
    </row>
    <row r="3441" spans="1:26">
      <c r="A3441" s="1">
        <v>3439</v>
      </c>
      <c r="B3441" t="str">
        <f>HYPERLINK("https://bugs.eclipse.org/bugs/show_bug.cgi?id=185338", "185338")</f>
        <v>185338</v>
      </c>
      <c r="C3441" t="s">
        <v>35</v>
      </c>
      <c r="D3441" t="s">
        <v>11</v>
      </c>
      <c r="E3441" t="s">
        <v>12</v>
      </c>
      <c r="F3441" t="s">
        <v>26</v>
      </c>
      <c r="L3441" t="s">
        <v>15822</v>
      </c>
      <c r="M3441" t="s">
        <v>15823</v>
      </c>
      <c r="N3441" t="s">
        <v>15822</v>
      </c>
      <c r="T3441" t="s">
        <v>15824</v>
      </c>
      <c r="U3441" t="s">
        <v>15825</v>
      </c>
      <c r="V3441" t="s">
        <v>15823</v>
      </c>
      <c r="W3441" t="s">
        <v>851</v>
      </c>
      <c r="X3441" t="s">
        <v>15826</v>
      </c>
      <c r="Y3441">
        <v>0</v>
      </c>
      <c r="Z3441">
        <v>98</v>
      </c>
    </row>
    <row r="3442" spans="1:26">
      <c r="A3442" s="1">
        <v>3440</v>
      </c>
      <c r="B3442" t="str">
        <f>HYPERLINK("https://bugs.eclipse.org/bugs/show_bug.cgi?id=185359", "185359")</f>
        <v>185359</v>
      </c>
      <c r="C3442" t="s">
        <v>35</v>
      </c>
      <c r="D3442" t="s">
        <v>11</v>
      </c>
      <c r="E3442" t="s">
        <v>12</v>
      </c>
      <c r="F3442" t="s">
        <v>26</v>
      </c>
      <c r="L3442" t="s">
        <v>15827</v>
      </c>
      <c r="M3442" t="s">
        <v>15828</v>
      </c>
      <c r="N3442" t="s">
        <v>15827</v>
      </c>
      <c r="T3442" t="s">
        <v>15829</v>
      </c>
      <c r="U3442" t="s">
        <v>15830</v>
      </c>
      <c r="V3442" t="s">
        <v>15831</v>
      </c>
      <c r="W3442" t="s">
        <v>49</v>
      </c>
      <c r="X3442" t="s">
        <v>15832</v>
      </c>
      <c r="Y3442">
        <v>0</v>
      </c>
      <c r="Z3442">
        <v>34</v>
      </c>
    </row>
    <row r="3443" spans="1:26">
      <c r="A3443" s="1">
        <v>3441</v>
      </c>
      <c r="B3443" t="str">
        <f>HYPERLINK("https://bugs.eclipse.org/bugs/show_bug.cgi?id=185377", "185377")</f>
        <v>185377</v>
      </c>
      <c r="C3443" t="s">
        <v>35</v>
      </c>
      <c r="D3443" t="s">
        <v>11</v>
      </c>
      <c r="E3443" t="s">
        <v>12</v>
      </c>
      <c r="F3443" t="s">
        <v>26</v>
      </c>
      <c r="H3443" t="s">
        <v>15833</v>
      </c>
      <c r="L3443" t="s">
        <v>15834</v>
      </c>
      <c r="M3443" t="s">
        <v>15835</v>
      </c>
      <c r="N3443" t="s">
        <v>15834</v>
      </c>
      <c r="T3443" t="s">
        <v>15836</v>
      </c>
      <c r="U3443" t="s">
        <v>15837</v>
      </c>
      <c r="V3443" t="s">
        <v>15838</v>
      </c>
      <c r="W3443" t="s">
        <v>851</v>
      </c>
      <c r="X3443" t="s">
        <v>15839</v>
      </c>
      <c r="Y3443">
        <v>0</v>
      </c>
      <c r="Z3443">
        <v>775</v>
      </c>
    </row>
    <row r="3444" spans="1:26">
      <c r="A3444" s="1">
        <v>3442</v>
      </c>
      <c r="B3444" t="str">
        <f>HYPERLINK("https://bugs.eclipse.org/bugs/show_bug.cgi?id=185457", "185457")</f>
        <v>185457</v>
      </c>
      <c r="C3444" t="s">
        <v>35</v>
      </c>
      <c r="D3444" t="s">
        <v>11</v>
      </c>
      <c r="E3444" t="s">
        <v>12</v>
      </c>
      <c r="F3444" t="s">
        <v>26</v>
      </c>
      <c r="G3444" t="s">
        <v>15840</v>
      </c>
      <c r="L3444" t="s">
        <v>15841</v>
      </c>
      <c r="M3444" t="s">
        <v>15842</v>
      </c>
      <c r="N3444" t="s">
        <v>15841</v>
      </c>
      <c r="T3444" t="s">
        <v>15843</v>
      </c>
      <c r="U3444" t="s">
        <v>15844</v>
      </c>
      <c r="V3444" t="s">
        <v>15845</v>
      </c>
      <c r="W3444" t="s">
        <v>851</v>
      </c>
      <c r="X3444" t="s">
        <v>15846</v>
      </c>
      <c r="Y3444">
        <v>1</v>
      </c>
      <c r="Z3444">
        <v>82</v>
      </c>
    </row>
    <row r="3445" spans="1:26">
      <c r="A3445" s="1">
        <v>3443</v>
      </c>
      <c r="B3445" t="str">
        <f>HYPERLINK("https://bugs.eclipse.org/bugs/show_bug.cgi?id=185680", "185680")</f>
        <v>185680</v>
      </c>
      <c r="C3445" t="s">
        <v>56</v>
      </c>
      <c r="D3445" t="s">
        <v>10</v>
      </c>
      <c r="E3445" t="s">
        <v>14</v>
      </c>
      <c r="F3445" t="s">
        <v>26</v>
      </c>
      <c r="L3445" t="s">
        <v>15847</v>
      </c>
      <c r="P3445" t="s">
        <v>15847</v>
      </c>
      <c r="T3445" t="s">
        <v>15848</v>
      </c>
      <c r="U3445" t="s">
        <v>15847</v>
      </c>
      <c r="V3445" t="s">
        <v>15847</v>
      </c>
      <c r="W3445" t="s">
        <v>49</v>
      </c>
      <c r="X3445" t="s">
        <v>15849</v>
      </c>
      <c r="Y3445">
        <v>1</v>
      </c>
      <c r="Z3445">
        <v>1</v>
      </c>
    </row>
    <row r="3446" spans="1:26">
      <c r="A3446" s="1">
        <v>3444</v>
      </c>
      <c r="B3446" t="str">
        <f>HYPERLINK("https://bugs.eclipse.org/bugs/show_bug.cgi?id=185694", "185694")</f>
        <v>185694</v>
      </c>
      <c r="C3446" t="s">
        <v>35</v>
      </c>
      <c r="D3446" t="s">
        <v>11</v>
      </c>
      <c r="E3446" t="s">
        <v>12</v>
      </c>
      <c r="F3446" t="s">
        <v>26</v>
      </c>
      <c r="L3446" t="s">
        <v>15850</v>
      </c>
      <c r="M3446" t="s">
        <v>15851</v>
      </c>
      <c r="N3446" t="s">
        <v>15850</v>
      </c>
      <c r="T3446" t="s">
        <v>15852</v>
      </c>
      <c r="U3446" t="s">
        <v>15853</v>
      </c>
      <c r="V3446" t="s">
        <v>15854</v>
      </c>
      <c r="W3446" t="s">
        <v>49</v>
      </c>
      <c r="X3446" t="s">
        <v>15855</v>
      </c>
      <c r="Y3446">
        <v>1</v>
      </c>
      <c r="Z3446">
        <v>31</v>
      </c>
    </row>
    <row r="3447" spans="1:26">
      <c r="A3447" s="1">
        <v>3445</v>
      </c>
      <c r="B3447" t="str">
        <f>HYPERLINK("https://bugs.eclipse.org/bugs/show_bug.cgi?id=185743", "185743")</f>
        <v>185743</v>
      </c>
      <c r="C3447" t="s">
        <v>35</v>
      </c>
      <c r="D3447" t="s">
        <v>11</v>
      </c>
      <c r="E3447" t="s">
        <v>12</v>
      </c>
      <c r="F3447" t="s">
        <v>26</v>
      </c>
      <c r="G3447" t="s">
        <v>15856</v>
      </c>
      <c r="L3447" t="s">
        <v>15857</v>
      </c>
      <c r="M3447" t="s">
        <v>15858</v>
      </c>
      <c r="N3447" t="s">
        <v>15857</v>
      </c>
      <c r="T3447" t="s">
        <v>15859</v>
      </c>
      <c r="U3447" t="s">
        <v>15860</v>
      </c>
      <c r="V3447" t="s">
        <v>15861</v>
      </c>
      <c r="W3447" t="s">
        <v>49</v>
      </c>
      <c r="X3447" t="s">
        <v>15862</v>
      </c>
      <c r="Y3447">
        <v>0</v>
      </c>
      <c r="Z3447">
        <v>30</v>
      </c>
    </row>
    <row r="3448" spans="1:26">
      <c r="A3448" s="1">
        <v>3446</v>
      </c>
      <c r="B3448" t="str">
        <f>HYPERLINK("https://bugs.eclipse.org/bugs/show_bug.cgi?id=185745", "185745")</f>
        <v>185745</v>
      </c>
      <c r="C3448" t="s">
        <v>35</v>
      </c>
      <c r="D3448" t="s">
        <v>11</v>
      </c>
      <c r="E3448" t="s">
        <v>12</v>
      </c>
      <c r="F3448" t="s">
        <v>26</v>
      </c>
      <c r="L3448" t="s">
        <v>15863</v>
      </c>
      <c r="M3448" t="s">
        <v>15864</v>
      </c>
      <c r="N3448" t="s">
        <v>15863</v>
      </c>
      <c r="T3448" t="s">
        <v>15865</v>
      </c>
      <c r="U3448" t="s">
        <v>15866</v>
      </c>
      <c r="V3448" t="s">
        <v>15867</v>
      </c>
      <c r="W3448" t="s">
        <v>49</v>
      </c>
      <c r="X3448" t="s">
        <v>15868</v>
      </c>
      <c r="Y3448">
        <v>0</v>
      </c>
      <c r="Z3448">
        <v>30</v>
      </c>
    </row>
    <row r="3449" spans="1:26">
      <c r="A3449" s="1">
        <v>3447</v>
      </c>
      <c r="B3449" t="str">
        <f>HYPERLINK("https://bugs.eclipse.org/bugs/show_bug.cgi?id=185761", "185761")</f>
        <v>185761</v>
      </c>
      <c r="C3449" t="s">
        <v>56</v>
      </c>
      <c r="D3449" t="s">
        <v>10</v>
      </c>
      <c r="E3449" t="s">
        <v>14</v>
      </c>
      <c r="F3449" t="s">
        <v>26</v>
      </c>
      <c r="L3449" t="s">
        <v>15869</v>
      </c>
      <c r="P3449" t="s">
        <v>15869</v>
      </c>
      <c r="T3449" t="s">
        <v>15870</v>
      </c>
      <c r="U3449" t="s">
        <v>15869</v>
      </c>
      <c r="V3449" t="s">
        <v>15869</v>
      </c>
      <c r="W3449" t="s">
        <v>49</v>
      </c>
      <c r="X3449" t="s">
        <v>15871</v>
      </c>
      <c r="Y3449">
        <v>1</v>
      </c>
      <c r="Z3449">
        <v>1</v>
      </c>
    </row>
    <row r="3450" spans="1:26">
      <c r="A3450" s="1">
        <v>3448</v>
      </c>
      <c r="B3450" t="str">
        <f>HYPERLINK("https://bugs.eclipse.org/bugs/show_bug.cgi?id=185871", "185871")</f>
        <v>185871</v>
      </c>
      <c r="C3450" t="s">
        <v>35</v>
      </c>
      <c r="D3450" t="s">
        <v>11</v>
      </c>
      <c r="E3450" t="s">
        <v>12</v>
      </c>
      <c r="F3450" t="s">
        <v>26</v>
      </c>
      <c r="L3450" t="s">
        <v>15872</v>
      </c>
      <c r="M3450" t="s">
        <v>15873</v>
      </c>
      <c r="N3450" t="s">
        <v>15872</v>
      </c>
      <c r="T3450" t="s">
        <v>15874</v>
      </c>
      <c r="U3450" t="s">
        <v>15875</v>
      </c>
      <c r="V3450" t="s">
        <v>15876</v>
      </c>
      <c r="W3450" t="s">
        <v>49</v>
      </c>
      <c r="X3450" t="s">
        <v>15877</v>
      </c>
      <c r="Y3450">
        <v>1</v>
      </c>
      <c r="Z3450">
        <v>30</v>
      </c>
    </row>
    <row r="3451" spans="1:26">
      <c r="A3451" s="1">
        <v>3449</v>
      </c>
      <c r="B3451" t="str">
        <f>HYPERLINK("https://bugs.eclipse.org/bugs/show_bug.cgi?id=185872", "185872")</f>
        <v>185872</v>
      </c>
      <c r="C3451" t="s">
        <v>35</v>
      </c>
      <c r="D3451" t="s">
        <v>11</v>
      </c>
      <c r="E3451" t="s">
        <v>12</v>
      </c>
      <c r="F3451" t="s">
        <v>26</v>
      </c>
      <c r="L3451" t="s">
        <v>15878</v>
      </c>
      <c r="M3451" t="s">
        <v>15879</v>
      </c>
      <c r="N3451" t="s">
        <v>15878</v>
      </c>
      <c r="T3451" t="s">
        <v>15880</v>
      </c>
      <c r="U3451" t="s">
        <v>15881</v>
      </c>
      <c r="V3451" t="s">
        <v>15882</v>
      </c>
      <c r="W3451" t="s">
        <v>49</v>
      </c>
      <c r="X3451" t="s">
        <v>15883</v>
      </c>
      <c r="Y3451">
        <v>1</v>
      </c>
      <c r="Z3451">
        <v>30</v>
      </c>
    </row>
    <row r="3452" spans="1:26">
      <c r="A3452" s="1">
        <v>3450</v>
      </c>
      <c r="B3452" t="str">
        <f>HYPERLINK("https://bugs.eclipse.org/bugs/show_bug.cgi?id=185873", "185873")</f>
        <v>185873</v>
      </c>
      <c r="C3452" t="s">
        <v>56</v>
      </c>
      <c r="D3452" t="s">
        <v>10</v>
      </c>
      <c r="E3452" t="s">
        <v>14</v>
      </c>
      <c r="F3452" t="s">
        <v>26</v>
      </c>
      <c r="L3452" t="s">
        <v>15884</v>
      </c>
      <c r="P3452" t="s">
        <v>15884</v>
      </c>
      <c r="T3452" t="s">
        <v>15885</v>
      </c>
      <c r="U3452" t="s">
        <v>15886</v>
      </c>
      <c r="V3452" t="s">
        <v>15884</v>
      </c>
      <c r="W3452" t="s">
        <v>851</v>
      </c>
      <c r="X3452" t="s">
        <v>15887</v>
      </c>
      <c r="Y3452">
        <v>1</v>
      </c>
      <c r="Z3452">
        <v>1</v>
      </c>
    </row>
    <row r="3453" spans="1:26">
      <c r="A3453" s="1">
        <v>3451</v>
      </c>
      <c r="B3453" t="str">
        <f>HYPERLINK("https://bugs.eclipse.org/bugs/show_bug.cgi?id=186061", "186061")</f>
        <v>186061</v>
      </c>
      <c r="C3453" t="s">
        <v>35</v>
      </c>
      <c r="D3453" t="s">
        <v>11</v>
      </c>
      <c r="E3453" t="s">
        <v>12</v>
      </c>
      <c r="F3453" t="s">
        <v>26</v>
      </c>
      <c r="G3453" t="s">
        <v>15888</v>
      </c>
      <c r="L3453" t="s">
        <v>15889</v>
      </c>
      <c r="M3453" t="s">
        <v>15890</v>
      </c>
      <c r="N3453" t="s">
        <v>15889</v>
      </c>
      <c r="T3453" t="s">
        <v>15891</v>
      </c>
      <c r="U3453" t="s">
        <v>15892</v>
      </c>
      <c r="V3453" t="s">
        <v>15890</v>
      </c>
      <c r="W3453" t="s">
        <v>49</v>
      </c>
      <c r="X3453" t="s">
        <v>15893</v>
      </c>
      <c r="Y3453">
        <v>0</v>
      </c>
      <c r="Z3453">
        <v>10</v>
      </c>
    </row>
    <row r="3454" spans="1:26">
      <c r="A3454" s="1">
        <v>3452</v>
      </c>
      <c r="B3454" t="str">
        <f>HYPERLINK("https://bugs.eclipse.org/bugs/show_bug.cgi?id=186087", "186087")</f>
        <v>186087</v>
      </c>
      <c r="C3454" t="s">
        <v>35</v>
      </c>
      <c r="D3454" t="s">
        <v>11</v>
      </c>
      <c r="E3454" t="s">
        <v>12</v>
      </c>
      <c r="F3454" t="s">
        <v>26</v>
      </c>
      <c r="L3454" t="s">
        <v>15894</v>
      </c>
      <c r="M3454" t="s">
        <v>15895</v>
      </c>
      <c r="N3454" t="s">
        <v>15894</v>
      </c>
      <c r="T3454" t="s">
        <v>15896</v>
      </c>
      <c r="U3454" t="s">
        <v>15897</v>
      </c>
      <c r="V3454" t="s">
        <v>15895</v>
      </c>
      <c r="W3454" t="s">
        <v>49</v>
      </c>
      <c r="X3454" t="s">
        <v>15898</v>
      </c>
      <c r="Y3454">
        <v>1</v>
      </c>
      <c r="Z3454">
        <v>9</v>
      </c>
    </row>
    <row r="3455" spans="1:26">
      <c r="A3455" s="1">
        <v>3453</v>
      </c>
      <c r="B3455" t="str">
        <f>HYPERLINK("https://bugs.eclipse.org/bugs/show_bug.cgi?id=186252", "186252")</f>
        <v>186252</v>
      </c>
      <c r="C3455" t="s">
        <v>191</v>
      </c>
      <c r="D3455" t="s">
        <v>192</v>
      </c>
      <c r="E3455" t="s">
        <v>14</v>
      </c>
      <c r="F3455" t="s">
        <v>26</v>
      </c>
      <c r="P3455" t="s">
        <v>15899</v>
      </c>
      <c r="T3455" t="s">
        <v>15900</v>
      </c>
      <c r="U3455" t="s">
        <v>15901</v>
      </c>
      <c r="V3455" t="s">
        <v>15899</v>
      </c>
      <c r="W3455" t="s">
        <v>65</v>
      </c>
      <c r="X3455" t="s">
        <v>15902</v>
      </c>
      <c r="Y3455">
        <v>1</v>
      </c>
      <c r="Z3455">
        <v>4730</v>
      </c>
    </row>
    <row r="3456" spans="1:26">
      <c r="A3456" s="1">
        <v>3454</v>
      </c>
      <c r="B3456" t="str">
        <f>HYPERLINK("https://bugs.eclipse.org/bugs/show_bug.cgi?id=186253", "186253")</f>
        <v>186253</v>
      </c>
      <c r="C3456" t="s">
        <v>191</v>
      </c>
      <c r="D3456" t="s">
        <v>192</v>
      </c>
      <c r="E3456" t="s">
        <v>14</v>
      </c>
      <c r="F3456" t="s">
        <v>26</v>
      </c>
      <c r="P3456" t="s">
        <v>15903</v>
      </c>
      <c r="T3456" t="s">
        <v>15904</v>
      </c>
      <c r="U3456" t="s">
        <v>15905</v>
      </c>
      <c r="V3456" t="s">
        <v>15903</v>
      </c>
      <c r="W3456" t="s">
        <v>65</v>
      </c>
      <c r="X3456" t="s">
        <v>15906</v>
      </c>
      <c r="Y3456">
        <v>1</v>
      </c>
      <c r="Z3456">
        <v>4673.041666666667</v>
      </c>
    </row>
    <row r="3457" spans="1:26">
      <c r="A3457" s="1">
        <v>3455</v>
      </c>
      <c r="B3457" t="str">
        <f>HYPERLINK("https://bugs.eclipse.org/bugs/show_bug.cgi?id=186311", "186311")</f>
        <v>186311</v>
      </c>
      <c r="C3457" t="s">
        <v>15907</v>
      </c>
      <c r="D3457" t="s">
        <v>10</v>
      </c>
      <c r="E3457" t="s">
        <v>15</v>
      </c>
      <c r="F3457" t="s">
        <v>26</v>
      </c>
      <c r="G3457" t="s">
        <v>15908</v>
      </c>
      <c r="L3457" t="s">
        <v>15909</v>
      </c>
      <c r="Q3457" t="s">
        <v>15909</v>
      </c>
      <c r="T3457" t="s">
        <v>15910</v>
      </c>
      <c r="U3457" t="s">
        <v>15911</v>
      </c>
      <c r="V3457" t="s">
        <v>15909</v>
      </c>
      <c r="W3457" t="s">
        <v>851</v>
      </c>
      <c r="X3457" t="s">
        <v>15912</v>
      </c>
      <c r="Y3457">
        <v>0</v>
      </c>
      <c r="Z3457">
        <v>88</v>
      </c>
    </row>
    <row r="3458" spans="1:26">
      <c r="A3458" s="1">
        <v>3456</v>
      </c>
      <c r="B3458" t="str">
        <f>HYPERLINK("https://bugs.eclipse.org/bugs/show_bug.cgi?id=186572", "186572")</f>
        <v>186572</v>
      </c>
      <c r="C3458" t="s">
        <v>35</v>
      </c>
      <c r="D3458" t="s">
        <v>11</v>
      </c>
      <c r="E3458" t="s">
        <v>12</v>
      </c>
      <c r="F3458" t="s">
        <v>26</v>
      </c>
      <c r="L3458" t="s">
        <v>15913</v>
      </c>
      <c r="M3458" t="s">
        <v>15914</v>
      </c>
      <c r="N3458" t="s">
        <v>15913</v>
      </c>
      <c r="T3458" t="s">
        <v>15915</v>
      </c>
      <c r="U3458" t="s">
        <v>15916</v>
      </c>
      <c r="V3458" t="s">
        <v>15914</v>
      </c>
      <c r="W3458" t="s">
        <v>1954</v>
      </c>
      <c r="X3458" t="s">
        <v>15917</v>
      </c>
      <c r="Y3458">
        <v>0</v>
      </c>
      <c r="Z3458">
        <v>18</v>
      </c>
    </row>
    <row r="3459" spans="1:26">
      <c r="A3459" s="1">
        <v>3457</v>
      </c>
      <c r="B3459" t="str">
        <f>HYPERLINK("https://bugs.eclipse.org/bugs/show_bug.cgi?id=187034", "187034")</f>
        <v>187034</v>
      </c>
      <c r="C3459" t="s">
        <v>191</v>
      </c>
      <c r="D3459" t="s">
        <v>192</v>
      </c>
      <c r="E3459" t="s">
        <v>14</v>
      </c>
      <c r="F3459" t="s">
        <v>26</v>
      </c>
      <c r="P3459" t="s">
        <v>15918</v>
      </c>
      <c r="T3459" t="s">
        <v>15919</v>
      </c>
      <c r="U3459" t="s">
        <v>15920</v>
      </c>
      <c r="V3459" t="s">
        <v>15918</v>
      </c>
      <c r="W3459" t="s">
        <v>65</v>
      </c>
      <c r="X3459" t="s">
        <v>15921</v>
      </c>
      <c r="Y3459">
        <v>0</v>
      </c>
      <c r="Z3459">
        <v>4640.041666666667</v>
      </c>
    </row>
    <row r="3460" spans="1:26">
      <c r="A3460" s="1">
        <v>3458</v>
      </c>
      <c r="B3460" t="str">
        <f>HYPERLINK("https://bugs.eclipse.org/bugs/show_bug.cgi?id=187227", "187227")</f>
        <v>187227</v>
      </c>
      <c r="C3460" t="s">
        <v>191</v>
      </c>
      <c r="D3460" t="s">
        <v>192</v>
      </c>
      <c r="E3460" t="s">
        <v>14</v>
      </c>
      <c r="F3460" t="s">
        <v>26</v>
      </c>
      <c r="G3460" t="s">
        <v>15922</v>
      </c>
      <c r="P3460" t="s">
        <v>15923</v>
      </c>
      <c r="T3460" t="s">
        <v>15924</v>
      </c>
      <c r="U3460" t="s">
        <v>15925</v>
      </c>
      <c r="V3460" t="s">
        <v>15923</v>
      </c>
      <c r="W3460" t="s">
        <v>65</v>
      </c>
      <c r="X3460" t="s">
        <v>15926</v>
      </c>
      <c r="Y3460">
        <v>0</v>
      </c>
      <c r="Z3460">
        <v>4694</v>
      </c>
    </row>
    <row r="3461" spans="1:26">
      <c r="A3461" s="1">
        <v>3459</v>
      </c>
      <c r="B3461" t="str">
        <f>HYPERLINK("https://bugs.eclipse.org/bugs/show_bug.cgi?id=187265", "187265")</f>
        <v>187265</v>
      </c>
      <c r="C3461" t="s">
        <v>35</v>
      </c>
      <c r="D3461" t="s">
        <v>11</v>
      </c>
      <c r="E3461" t="s">
        <v>12</v>
      </c>
      <c r="F3461" t="s">
        <v>26</v>
      </c>
      <c r="L3461" t="s">
        <v>15927</v>
      </c>
      <c r="M3461" t="s">
        <v>15928</v>
      </c>
      <c r="N3461" t="s">
        <v>15927</v>
      </c>
      <c r="T3461" t="s">
        <v>15929</v>
      </c>
      <c r="U3461" t="s">
        <v>15930</v>
      </c>
      <c r="V3461" t="s">
        <v>15928</v>
      </c>
      <c r="W3461" t="s">
        <v>1954</v>
      </c>
      <c r="X3461" t="s">
        <v>15931</v>
      </c>
      <c r="Y3461">
        <v>0</v>
      </c>
      <c r="Z3461">
        <v>13</v>
      </c>
    </row>
    <row r="3462" spans="1:26">
      <c r="A3462" s="1">
        <v>3460</v>
      </c>
      <c r="B3462" t="str">
        <f>HYPERLINK("https://bugs.eclipse.org/bugs/show_bug.cgi?id=187351", "187351")</f>
        <v>187351</v>
      </c>
      <c r="C3462" t="s">
        <v>14610</v>
      </c>
      <c r="D3462" t="s">
        <v>10</v>
      </c>
      <c r="E3462" t="s">
        <v>15</v>
      </c>
      <c r="F3462" t="s">
        <v>26</v>
      </c>
      <c r="G3462" t="s">
        <v>15932</v>
      </c>
      <c r="L3462" t="s">
        <v>15933</v>
      </c>
      <c r="Q3462" t="s">
        <v>15933</v>
      </c>
      <c r="T3462" t="s">
        <v>15934</v>
      </c>
      <c r="U3462" t="s">
        <v>15935</v>
      </c>
      <c r="V3462" t="s">
        <v>15936</v>
      </c>
      <c r="W3462" t="s">
        <v>49</v>
      </c>
      <c r="X3462" t="s">
        <v>15937</v>
      </c>
      <c r="Y3462">
        <v>1</v>
      </c>
      <c r="Z3462">
        <v>135</v>
      </c>
    </row>
    <row r="3463" spans="1:26">
      <c r="A3463" s="1">
        <v>3461</v>
      </c>
      <c r="B3463" t="str">
        <f>HYPERLINK("https://bugs.eclipse.org/bugs/show_bug.cgi?id=187372", "187372")</f>
        <v>187372</v>
      </c>
      <c r="C3463" t="s">
        <v>995</v>
      </c>
      <c r="D3463" t="s">
        <v>192</v>
      </c>
      <c r="E3463" t="s">
        <v>12</v>
      </c>
      <c r="F3463" t="s">
        <v>26</v>
      </c>
      <c r="L3463" t="s">
        <v>15938</v>
      </c>
      <c r="M3463" t="s">
        <v>15939</v>
      </c>
      <c r="N3463" t="s">
        <v>15938</v>
      </c>
      <c r="S3463" t="s">
        <v>15940</v>
      </c>
      <c r="T3463" t="s">
        <v>15941</v>
      </c>
      <c r="U3463" t="s">
        <v>15942</v>
      </c>
      <c r="V3463" t="s">
        <v>15943</v>
      </c>
      <c r="W3463" t="s">
        <v>143</v>
      </c>
      <c r="X3463" t="s">
        <v>15944</v>
      </c>
      <c r="Y3463">
        <v>1</v>
      </c>
      <c r="Z3463">
        <v>5</v>
      </c>
    </row>
    <row r="3464" spans="1:26">
      <c r="A3464" s="1">
        <v>3462</v>
      </c>
      <c r="B3464" t="str">
        <f>HYPERLINK("https://bugs.eclipse.org/bugs/show_bug.cgi?id=187882", "187882")</f>
        <v>187882</v>
      </c>
      <c r="C3464" t="s">
        <v>191</v>
      </c>
      <c r="D3464" t="s">
        <v>192</v>
      </c>
      <c r="E3464" t="s">
        <v>14</v>
      </c>
      <c r="F3464" t="s">
        <v>26</v>
      </c>
      <c r="T3464" t="s">
        <v>15945</v>
      </c>
      <c r="U3464" t="s">
        <v>15946</v>
      </c>
      <c r="V3464" t="s">
        <v>15947</v>
      </c>
      <c r="W3464" t="s">
        <v>65</v>
      </c>
      <c r="X3464" t="s">
        <v>15948</v>
      </c>
      <c r="Y3464">
        <v>17</v>
      </c>
      <c r="Z3464">
        <v>4234.041666666667</v>
      </c>
    </row>
    <row r="3465" spans="1:26">
      <c r="A3465" s="1">
        <v>3463</v>
      </c>
      <c r="B3465" t="str">
        <f>HYPERLINK("https://bugs.eclipse.org/bugs/show_bug.cgi?id=187912", "187912")</f>
        <v>187912</v>
      </c>
      <c r="C3465" t="s">
        <v>140</v>
      </c>
      <c r="D3465" t="s">
        <v>10</v>
      </c>
      <c r="E3465" t="s">
        <v>16</v>
      </c>
      <c r="F3465" t="s">
        <v>26</v>
      </c>
      <c r="L3465" t="s">
        <v>15949</v>
      </c>
      <c r="R3465" t="s">
        <v>15949</v>
      </c>
      <c r="T3465" t="s">
        <v>15950</v>
      </c>
      <c r="U3465" t="s">
        <v>15951</v>
      </c>
      <c r="V3465" t="s">
        <v>15949</v>
      </c>
      <c r="W3465" t="s">
        <v>49</v>
      </c>
      <c r="X3465" t="s">
        <v>15952</v>
      </c>
      <c r="Y3465">
        <v>0</v>
      </c>
      <c r="Z3465">
        <v>46</v>
      </c>
    </row>
    <row r="3466" spans="1:26">
      <c r="A3466" s="1">
        <v>3464</v>
      </c>
      <c r="B3466" t="str">
        <f>HYPERLINK("https://bugs.eclipse.org/bugs/show_bug.cgi?id=187944", "187944")</f>
        <v>187944</v>
      </c>
      <c r="C3466" t="s">
        <v>140</v>
      </c>
      <c r="D3466" t="s">
        <v>10</v>
      </c>
      <c r="E3466" t="s">
        <v>16</v>
      </c>
      <c r="F3466" t="s">
        <v>26</v>
      </c>
      <c r="L3466" t="s">
        <v>15953</v>
      </c>
      <c r="R3466" t="s">
        <v>15953</v>
      </c>
      <c r="T3466" t="s">
        <v>15954</v>
      </c>
      <c r="U3466" t="s">
        <v>15955</v>
      </c>
      <c r="V3466" t="s">
        <v>15953</v>
      </c>
      <c r="W3466" t="s">
        <v>851</v>
      </c>
      <c r="X3466" t="s">
        <v>15956</v>
      </c>
      <c r="Y3466">
        <v>0</v>
      </c>
      <c r="Z3466">
        <v>7</v>
      </c>
    </row>
    <row r="3467" spans="1:26">
      <c r="A3467" s="1">
        <v>3465</v>
      </c>
      <c r="B3467" t="str">
        <f>HYPERLINK("https://bugs.eclipse.org/bugs/show_bug.cgi?id=188087", "188087")</f>
        <v>188087</v>
      </c>
      <c r="C3467" t="s">
        <v>35</v>
      </c>
      <c r="D3467" t="s">
        <v>11</v>
      </c>
      <c r="E3467" t="s">
        <v>12</v>
      </c>
      <c r="F3467" t="s">
        <v>26</v>
      </c>
      <c r="L3467" t="s">
        <v>15957</v>
      </c>
      <c r="M3467" t="s">
        <v>15958</v>
      </c>
      <c r="N3467" t="s">
        <v>15957</v>
      </c>
      <c r="T3467" t="s">
        <v>15959</v>
      </c>
      <c r="U3467" t="s">
        <v>15960</v>
      </c>
      <c r="V3467" t="s">
        <v>15961</v>
      </c>
      <c r="W3467" t="s">
        <v>49</v>
      </c>
      <c r="X3467" t="s">
        <v>15962</v>
      </c>
      <c r="Y3467">
        <v>0</v>
      </c>
      <c r="Z3467">
        <v>16</v>
      </c>
    </row>
    <row r="3468" spans="1:26">
      <c r="A3468" s="1">
        <v>3466</v>
      </c>
      <c r="B3468" t="str">
        <f>HYPERLINK("https://bugs.eclipse.org/bugs/show_bug.cgi?id=188097", "188097")</f>
        <v>188097</v>
      </c>
      <c r="C3468" t="s">
        <v>25</v>
      </c>
      <c r="D3468" t="s">
        <v>25</v>
      </c>
      <c r="F3468" t="s">
        <v>26</v>
      </c>
      <c r="T3468" t="s">
        <v>15963</v>
      </c>
      <c r="U3468" t="s">
        <v>15964</v>
      </c>
      <c r="V3468" t="s">
        <v>15965</v>
      </c>
      <c r="W3468" t="s">
        <v>851</v>
      </c>
      <c r="X3468" t="s">
        <v>15966</v>
      </c>
      <c r="Y3468">
        <v>3</v>
      </c>
    </row>
    <row r="3469" spans="1:26">
      <c r="A3469" s="1">
        <v>3467</v>
      </c>
      <c r="B3469" t="str">
        <f>HYPERLINK("https://bugs.eclipse.org/bugs/show_bug.cgi?id=188118", "188118")</f>
        <v>188118</v>
      </c>
      <c r="C3469" t="s">
        <v>15967</v>
      </c>
      <c r="D3469" t="s">
        <v>10</v>
      </c>
      <c r="E3469" t="s">
        <v>15</v>
      </c>
      <c r="F3469" t="s">
        <v>26</v>
      </c>
      <c r="L3469" t="s">
        <v>15968</v>
      </c>
      <c r="Q3469" t="s">
        <v>15968</v>
      </c>
      <c r="T3469" t="s">
        <v>15969</v>
      </c>
      <c r="U3469" t="s">
        <v>15970</v>
      </c>
      <c r="V3469" t="s">
        <v>15968</v>
      </c>
      <c r="W3469" t="s">
        <v>1161</v>
      </c>
      <c r="X3469" t="s">
        <v>15971</v>
      </c>
      <c r="Y3469">
        <v>0</v>
      </c>
      <c r="Z3469">
        <v>45</v>
      </c>
    </row>
    <row r="3470" spans="1:26">
      <c r="A3470" s="1">
        <v>3468</v>
      </c>
      <c r="B3470" t="str">
        <f>HYPERLINK("https://bugs.eclipse.org/bugs/show_bug.cgi?id=188125", "188125")</f>
        <v>188125</v>
      </c>
      <c r="C3470" t="s">
        <v>88</v>
      </c>
      <c r="D3470" t="s">
        <v>10</v>
      </c>
      <c r="E3470" t="s">
        <v>13</v>
      </c>
      <c r="F3470" t="s">
        <v>26</v>
      </c>
      <c r="L3470" t="s">
        <v>15972</v>
      </c>
      <c r="O3470" t="s">
        <v>15972</v>
      </c>
      <c r="T3470" t="s">
        <v>15973</v>
      </c>
      <c r="U3470" t="s">
        <v>15972</v>
      </c>
      <c r="V3470" t="s">
        <v>15972</v>
      </c>
      <c r="W3470" t="s">
        <v>1161</v>
      </c>
      <c r="X3470" t="s">
        <v>15974</v>
      </c>
      <c r="Y3470">
        <v>1</v>
      </c>
      <c r="Z3470">
        <v>1</v>
      </c>
    </row>
    <row r="3471" spans="1:26">
      <c r="A3471" s="1">
        <v>3469</v>
      </c>
      <c r="B3471" t="str">
        <f>HYPERLINK("https://bugs.eclipse.org/bugs/show_bug.cgi?id=188181", "188181")</f>
        <v>188181</v>
      </c>
      <c r="C3471" t="s">
        <v>25</v>
      </c>
      <c r="D3471" t="s">
        <v>25</v>
      </c>
      <c r="F3471" t="s">
        <v>26</v>
      </c>
      <c r="T3471" t="s">
        <v>15975</v>
      </c>
      <c r="U3471" t="s">
        <v>15976</v>
      </c>
      <c r="V3471" t="s">
        <v>15977</v>
      </c>
      <c r="W3471" t="s">
        <v>851</v>
      </c>
      <c r="X3471" t="s">
        <v>15978</v>
      </c>
      <c r="Y3471">
        <v>0</v>
      </c>
    </row>
    <row r="3472" spans="1:26">
      <c r="A3472" s="1">
        <v>3470</v>
      </c>
      <c r="B3472" t="str">
        <f>HYPERLINK("https://bugs.eclipse.org/bugs/show_bug.cgi?id=188301", "188301")</f>
        <v>188301</v>
      </c>
      <c r="C3472" t="s">
        <v>191</v>
      </c>
      <c r="D3472" t="s">
        <v>192</v>
      </c>
      <c r="E3472" t="s">
        <v>14</v>
      </c>
      <c r="F3472" t="s">
        <v>26</v>
      </c>
      <c r="T3472" t="s">
        <v>15979</v>
      </c>
      <c r="U3472" t="s">
        <v>15980</v>
      </c>
      <c r="V3472" t="s">
        <v>15980</v>
      </c>
      <c r="W3472" t="s">
        <v>65</v>
      </c>
      <c r="X3472" t="s">
        <v>15981</v>
      </c>
      <c r="Y3472">
        <v>4410</v>
      </c>
      <c r="Z3472">
        <v>4410</v>
      </c>
    </row>
    <row r="3473" spans="1:26">
      <c r="A3473" s="1">
        <v>3471</v>
      </c>
      <c r="B3473" t="str">
        <f>HYPERLINK("https://bugs.eclipse.org/bugs/show_bug.cgi?id=188595", "188595")</f>
        <v>188595</v>
      </c>
      <c r="C3473" t="s">
        <v>35</v>
      </c>
      <c r="D3473" t="s">
        <v>11</v>
      </c>
      <c r="E3473" t="s">
        <v>12</v>
      </c>
      <c r="F3473" t="s">
        <v>26</v>
      </c>
      <c r="G3473" t="s">
        <v>15982</v>
      </c>
      <c r="L3473" t="s">
        <v>15983</v>
      </c>
      <c r="M3473" t="s">
        <v>15984</v>
      </c>
      <c r="N3473" t="s">
        <v>15983</v>
      </c>
      <c r="T3473" t="s">
        <v>15985</v>
      </c>
      <c r="U3473" t="s">
        <v>15986</v>
      </c>
      <c r="V3473" t="s">
        <v>15984</v>
      </c>
      <c r="W3473" t="s">
        <v>14114</v>
      </c>
      <c r="X3473" t="s">
        <v>15987</v>
      </c>
      <c r="Y3473">
        <v>0</v>
      </c>
      <c r="Z3473">
        <v>978.04166666666663</v>
      </c>
    </row>
    <row r="3474" spans="1:26">
      <c r="A3474" s="1">
        <v>3472</v>
      </c>
      <c r="B3474" t="str">
        <f>HYPERLINK("https://bugs.eclipse.org/bugs/show_bug.cgi?id=188597", "188597")</f>
        <v>188597</v>
      </c>
      <c r="C3474" t="s">
        <v>149</v>
      </c>
      <c r="D3474" t="s">
        <v>10</v>
      </c>
      <c r="E3474" t="s">
        <v>12</v>
      </c>
      <c r="F3474" t="s">
        <v>26</v>
      </c>
      <c r="G3474" t="s">
        <v>15988</v>
      </c>
      <c r="L3474" t="s">
        <v>15989</v>
      </c>
      <c r="N3474" t="s">
        <v>15989</v>
      </c>
      <c r="T3474" t="s">
        <v>15990</v>
      </c>
      <c r="U3474" t="s">
        <v>15991</v>
      </c>
      <c r="V3474" t="s">
        <v>14807</v>
      </c>
      <c r="W3474" t="s">
        <v>49</v>
      </c>
      <c r="X3474" t="s">
        <v>15992</v>
      </c>
      <c r="Y3474">
        <v>0</v>
      </c>
      <c r="Z3474">
        <v>134</v>
      </c>
    </row>
    <row r="3475" spans="1:26">
      <c r="A3475" s="1">
        <v>3473</v>
      </c>
      <c r="B3475" t="str">
        <f>HYPERLINK("https://bugs.eclipse.org/bugs/show_bug.cgi?id=188603", "188603")</f>
        <v>188603</v>
      </c>
      <c r="C3475" t="s">
        <v>191</v>
      </c>
      <c r="D3475" t="s">
        <v>192</v>
      </c>
      <c r="E3475" t="s">
        <v>14</v>
      </c>
      <c r="F3475" t="s">
        <v>26</v>
      </c>
      <c r="P3475" t="s">
        <v>15993</v>
      </c>
      <c r="T3475" t="s">
        <v>15994</v>
      </c>
      <c r="U3475" t="s">
        <v>15993</v>
      </c>
      <c r="V3475" t="s">
        <v>15993</v>
      </c>
      <c r="W3475" t="s">
        <v>65</v>
      </c>
      <c r="X3475" t="s">
        <v>15995</v>
      </c>
      <c r="Y3475">
        <v>4726</v>
      </c>
      <c r="Z3475">
        <v>4726</v>
      </c>
    </row>
    <row r="3476" spans="1:26">
      <c r="A3476" s="1">
        <v>3474</v>
      </c>
      <c r="B3476" t="str">
        <f>HYPERLINK("https://bugs.eclipse.org/bugs/show_bug.cgi?id=188868", "188868")</f>
        <v>188868</v>
      </c>
      <c r="C3476" t="s">
        <v>140</v>
      </c>
      <c r="D3476" t="s">
        <v>10</v>
      </c>
      <c r="E3476" t="s">
        <v>16</v>
      </c>
      <c r="F3476" t="s">
        <v>26</v>
      </c>
      <c r="L3476" t="s">
        <v>15996</v>
      </c>
      <c r="R3476" t="s">
        <v>15996</v>
      </c>
      <c r="T3476" t="s">
        <v>15997</v>
      </c>
      <c r="U3476" t="s">
        <v>15998</v>
      </c>
      <c r="V3476" t="s">
        <v>15996</v>
      </c>
      <c r="W3476" t="s">
        <v>851</v>
      </c>
      <c r="X3476" t="s">
        <v>15999</v>
      </c>
      <c r="Y3476">
        <v>0</v>
      </c>
      <c r="Z3476">
        <v>1040</v>
      </c>
    </row>
    <row r="3477" spans="1:26">
      <c r="A3477" s="1">
        <v>3475</v>
      </c>
      <c r="B3477" t="str">
        <f>HYPERLINK("https://bugs.eclipse.org/bugs/show_bug.cgi?id=188892", "188892")</f>
        <v>188892</v>
      </c>
      <c r="C3477" t="s">
        <v>191</v>
      </c>
      <c r="D3477" t="s">
        <v>192</v>
      </c>
      <c r="E3477" t="s">
        <v>14</v>
      </c>
      <c r="F3477" t="s">
        <v>26</v>
      </c>
      <c r="P3477" t="s">
        <v>16000</v>
      </c>
      <c r="T3477" t="s">
        <v>16001</v>
      </c>
      <c r="U3477" t="s">
        <v>16000</v>
      </c>
      <c r="V3477" t="s">
        <v>16000</v>
      </c>
      <c r="W3477" t="s">
        <v>65</v>
      </c>
      <c r="X3477" t="s">
        <v>16002</v>
      </c>
      <c r="Y3477">
        <v>4717</v>
      </c>
      <c r="Z3477">
        <v>4717</v>
      </c>
    </row>
    <row r="3478" spans="1:26">
      <c r="A3478" s="1">
        <v>3476</v>
      </c>
      <c r="B3478" t="str">
        <f>HYPERLINK("https://bugs.eclipse.org/bugs/show_bug.cgi?id=188981", "188981")</f>
        <v>188981</v>
      </c>
      <c r="C3478" t="s">
        <v>25</v>
      </c>
      <c r="D3478" t="s">
        <v>25</v>
      </c>
      <c r="F3478" t="s">
        <v>460</v>
      </c>
      <c r="T3478" t="s">
        <v>16003</v>
      </c>
      <c r="U3478" t="s">
        <v>16004</v>
      </c>
      <c r="V3478" t="s">
        <v>16005</v>
      </c>
      <c r="W3478" t="s">
        <v>143</v>
      </c>
      <c r="X3478" t="s">
        <v>16006</v>
      </c>
      <c r="Y3478">
        <v>0</v>
      </c>
    </row>
    <row r="3479" spans="1:26">
      <c r="A3479" s="1">
        <v>3477</v>
      </c>
      <c r="B3479" t="str">
        <f>HYPERLINK("https://bugs.eclipse.org/bugs/show_bug.cgi?id=189001", "189001")</f>
        <v>189001</v>
      </c>
      <c r="C3479" t="s">
        <v>140</v>
      </c>
      <c r="D3479" t="s">
        <v>10</v>
      </c>
      <c r="E3479" t="s">
        <v>16</v>
      </c>
      <c r="F3479" t="s">
        <v>26</v>
      </c>
      <c r="L3479" t="s">
        <v>16007</v>
      </c>
      <c r="R3479" t="s">
        <v>16007</v>
      </c>
      <c r="T3479" t="s">
        <v>16008</v>
      </c>
      <c r="U3479" t="s">
        <v>16009</v>
      </c>
      <c r="V3479" t="s">
        <v>16007</v>
      </c>
      <c r="W3479" t="s">
        <v>49</v>
      </c>
      <c r="X3479" t="s">
        <v>16010</v>
      </c>
      <c r="Y3479">
        <v>0</v>
      </c>
      <c r="Z3479">
        <v>5</v>
      </c>
    </row>
    <row r="3480" spans="1:26">
      <c r="A3480" s="1">
        <v>3478</v>
      </c>
      <c r="B3480" t="str">
        <f>HYPERLINK("https://bugs.eclipse.org/bugs/show_bug.cgi?id=189146", "189146")</f>
        <v>189146</v>
      </c>
      <c r="C3480" t="s">
        <v>140</v>
      </c>
      <c r="D3480" t="s">
        <v>10</v>
      </c>
      <c r="E3480" t="s">
        <v>16</v>
      </c>
      <c r="F3480" t="s">
        <v>26</v>
      </c>
      <c r="L3480" t="s">
        <v>16011</v>
      </c>
      <c r="R3480" t="s">
        <v>16011</v>
      </c>
      <c r="T3480" t="s">
        <v>16012</v>
      </c>
      <c r="U3480" t="s">
        <v>16011</v>
      </c>
      <c r="V3480" t="s">
        <v>16011</v>
      </c>
      <c r="W3480" t="s">
        <v>143</v>
      </c>
      <c r="X3480" t="s">
        <v>16013</v>
      </c>
      <c r="Y3480">
        <v>1</v>
      </c>
      <c r="Z3480">
        <v>1</v>
      </c>
    </row>
    <row r="3481" spans="1:26">
      <c r="A3481" s="1">
        <v>3479</v>
      </c>
      <c r="B3481" t="str">
        <f>HYPERLINK("https://bugs.eclipse.org/bugs/show_bug.cgi?id=189314", "189314")</f>
        <v>189314</v>
      </c>
      <c r="C3481" t="s">
        <v>35</v>
      </c>
      <c r="D3481" t="s">
        <v>11</v>
      </c>
      <c r="E3481" t="s">
        <v>12</v>
      </c>
      <c r="F3481" t="s">
        <v>26</v>
      </c>
      <c r="L3481" t="s">
        <v>16014</v>
      </c>
      <c r="M3481" t="s">
        <v>16015</v>
      </c>
      <c r="N3481" t="s">
        <v>16014</v>
      </c>
      <c r="T3481" t="s">
        <v>16016</v>
      </c>
      <c r="U3481" t="s">
        <v>16017</v>
      </c>
      <c r="V3481" t="s">
        <v>16015</v>
      </c>
      <c r="W3481" t="s">
        <v>1954</v>
      </c>
      <c r="X3481" t="s">
        <v>16018</v>
      </c>
      <c r="Y3481">
        <v>0</v>
      </c>
      <c r="Z3481">
        <v>5</v>
      </c>
    </row>
    <row r="3482" spans="1:26">
      <c r="A3482" s="1">
        <v>3480</v>
      </c>
      <c r="B3482" t="str">
        <f>HYPERLINK("https://bugs.eclipse.org/bugs/show_bug.cgi?id=189329", "189329")</f>
        <v>189329</v>
      </c>
      <c r="C3482" t="s">
        <v>35</v>
      </c>
      <c r="D3482" t="s">
        <v>11</v>
      </c>
      <c r="E3482" t="s">
        <v>12</v>
      </c>
      <c r="F3482" t="s">
        <v>26</v>
      </c>
      <c r="L3482" t="s">
        <v>16019</v>
      </c>
      <c r="M3482" t="s">
        <v>16020</v>
      </c>
      <c r="N3482" t="s">
        <v>16019</v>
      </c>
      <c r="T3482" t="s">
        <v>16021</v>
      </c>
      <c r="U3482" t="s">
        <v>16022</v>
      </c>
      <c r="V3482" t="s">
        <v>16020</v>
      </c>
      <c r="W3482" t="s">
        <v>143</v>
      </c>
      <c r="X3482" t="s">
        <v>16023</v>
      </c>
      <c r="Y3482">
        <v>1</v>
      </c>
      <c r="Z3482">
        <v>102</v>
      </c>
    </row>
    <row r="3483" spans="1:26">
      <c r="A3483" s="1">
        <v>3481</v>
      </c>
      <c r="B3483" t="str">
        <f>HYPERLINK("https://bugs.eclipse.org/bugs/show_bug.cgi?id=189628", "189628")</f>
        <v>189628</v>
      </c>
      <c r="C3483" t="s">
        <v>35</v>
      </c>
      <c r="D3483" t="s">
        <v>11</v>
      </c>
      <c r="E3483" t="s">
        <v>12</v>
      </c>
      <c r="F3483" t="s">
        <v>26</v>
      </c>
      <c r="L3483" t="s">
        <v>16024</v>
      </c>
      <c r="M3483" t="s">
        <v>16025</v>
      </c>
      <c r="N3483" t="s">
        <v>16024</v>
      </c>
      <c r="T3483" t="s">
        <v>16026</v>
      </c>
      <c r="U3483" t="s">
        <v>16027</v>
      </c>
      <c r="V3483" t="s">
        <v>16028</v>
      </c>
      <c r="W3483" t="s">
        <v>49</v>
      </c>
      <c r="X3483" t="s">
        <v>16029</v>
      </c>
      <c r="Y3483">
        <v>0</v>
      </c>
      <c r="Z3483">
        <v>8</v>
      </c>
    </row>
    <row r="3484" spans="1:26">
      <c r="A3484" s="1">
        <v>3482</v>
      </c>
      <c r="B3484" t="str">
        <f>HYPERLINK("https://bugs.eclipse.org/bugs/show_bug.cgi?id=189632", "189632")</f>
        <v>189632</v>
      </c>
      <c r="C3484" t="s">
        <v>16030</v>
      </c>
      <c r="D3484" t="s">
        <v>10</v>
      </c>
      <c r="E3484" t="s">
        <v>15</v>
      </c>
      <c r="F3484" t="s">
        <v>26</v>
      </c>
      <c r="L3484" t="s">
        <v>16031</v>
      </c>
      <c r="Q3484" t="s">
        <v>16031</v>
      </c>
      <c r="T3484" t="s">
        <v>16032</v>
      </c>
      <c r="U3484" t="s">
        <v>16031</v>
      </c>
      <c r="V3484" t="s">
        <v>16031</v>
      </c>
      <c r="W3484" t="s">
        <v>1954</v>
      </c>
      <c r="X3484" t="s">
        <v>16033</v>
      </c>
      <c r="Y3484">
        <v>0</v>
      </c>
      <c r="Z3484">
        <v>0</v>
      </c>
    </row>
    <row r="3485" spans="1:26">
      <c r="A3485" s="1">
        <v>3483</v>
      </c>
      <c r="B3485" t="str">
        <f>HYPERLINK("https://bugs.eclipse.org/bugs/show_bug.cgi?id=189666", "189666")</f>
        <v>189666</v>
      </c>
      <c r="C3485" t="s">
        <v>35</v>
      </c>
      <c r="D3485" t="s">
        <v>11</v>
      </c>
      <c r="E3485" t="s">
        <v>12</v>
      </c>
      <c r="F3485" t="s">
        <v>26</v>
      </c>
      <c r="G3485" t="s">
        <v>16034</v>
      </c>
      <c r="L3485" t="s">
        <v>16035</v>
      </c>
      <c r="M3485" t="s">
        <v>16036</v>
      </c>
      <c r="N3485" t="s">
        <v>16035</v>
      </c>
      <c r="T3485" t="s">
        <v>16037</v>
      </c>
      <c r="U3485" t="s">
        <v>16038</v>
      </c>
      <c r="V3485" t="s">
        <v>16039</v>
      </c>
      <c r="W3485" t="s">
        <v>1954</v>
      </c>
      <c r="X3485" t="s">
        <v>16040</v>
      </c>
      <c r="Y3485">
        <v>0</v>
      </c>
      <c r="Z3485">
        <v>7</v>
      </c>
    </row>
    <row r="3486" spans="1:26">
      <c r="A3486" s="1">
        <v>3484</v>
      </c>
      <c r="B3486" t="str">
        <f>HYPERLINK("https://bugs.eclipse.org/bugs/show_bug.cgi?id=189911", "189911")</f>
        <v>189911</v>
      </c>
      <c r="C3486" t="s">
        <v>56</v>
      </c>
      <c r="D3486" t="s">
        <v>10</v>
      </c>
      <c r="E3486" t="s">
        <v>14</v>
      </c>
      <c r="F3486" t="s">
        <v>26</v>
      </c>
      <c r="L3486" t="s">
        <v>16041</v>
      </c>
      <c r="P3486" t="s">
        <v>16041</v>
      </c>
      <c r="T3486" t="s">
        <v>16042</v>
      </c>
      <c r="U3486" t="s">
        <v>16041</v>
      </c>
      <c r="V3486" t="s">
        <v>16041</v>
      </c>
      <c r="W3486" t="s">
        <v>49</v>
      </c>
      <c r="X3486" t="s">
        <v>16043</v>
      </c>
      <c r="Y3486">
        <v>1</v>
      </c>
      <c r="Z3486">
        <v>1</v>
      </c>
    </row>
    <row r="3487" spans="1:26">
      <c r="A3487" s="1">
        <v>3485</v>
      </c>
      <c r="B3487" t="str">
        <f>HYPERLINK("https://bugs.eclipse.org/bugs/show_bug.cgi?id=190441", "190441")</f>
        <v>190441</v>
      </c>
      <c r="C3487" t="s">
        <v>191</v>
      </c>
      <c r="D3487" t="s">
        <v>192</v>
      </c>
      <c r="E3487" t="s">
        <v>14</v>
      </c>
      <c r="F3487" t="s">
        <v>26</v>
      </c>
      <c r="T3487" t="s">
        <v>16044</v>
      </c>
      <c r="U3487" t="s">
        <v>16045</v>
      </c>
      <c r="V3487" t="s">
        <v>16046</v>
      </c>
      <c r="W3487" t="s">
        <v>65</v>
      </c>
      <c r="X3487" t="s">
        <v>16047</v>
      </c>
      <c r="Y3487">
        <v>0</v>
      </c>
      <c r="Z3487">
        <v>4405</v>
      </c>
    </row>
    <row r="3488" spans="1:26">
      <c r="A3488" s="1">
        <v>3486</v>
      </c>
      <c r="B3488" t="str">
        <f>HYPERLINK("https://bugs.eclipse.org/bugs/show_bug.cgi?id=190508", "190508")</f>
        <v>190508</v>
      </c>
      <c r="C3488" t="s">
        <v>16048</v>
      </c>
      <c r="D3488" t="s">
        <v>10</v>
      </c>
      <c r="E3488" t="s">
        <v>15</v>
      </c>
      <c r="F3488" t="s">
        <v>26</v>
      </c>
      <c r="L3488" t="s">
        <v>16049</v>
      </c>
      <c r="Q3488" t="s">
        <v>16049</v>
      </c>
      <c r="T3488" t="s">
        <v>16050</v>
      </c>
      <c r="U3488" t="s">
        <v>16051</v>
      </c>
      <c r="V3488" t="s">
        <v>16049</v>
      </c>
      <c r="W3488" t="s">
        <v>143</v>
      </c>
      <c r="X3488" t="s">
        <v>16052</v>
      </c>
      <c r="Y3488">
        <v>0</v>
      </c>
      <c r="Z3488">
        <v>241.04166666666671</v>
      </c>
    </row>
    <row r="3489" spans="1:26">
      <c r="A3489" s="1">
        <v>3487</v>
      </c>
      <c r="B3489" t="str">
        <f>HYPERLINK("https://bugs.eclipse.org/bugs/show_bug.cgi?id=190700", "190700")</f>
        <v>190700</v>
      </c>
      <c r="C3489" t="s">
        <v>35</v>
      </c>
      <c r="D3489" t="s">
        <v>11</v>
      </c>
      <c r="E3489" t="s">
        <v>12</v>
      </c>
      <c r="F3489" t="s">
        <v>26</v>
      </c>
      <c r="L3489" t="s">
        <v>16053</v>
      </c>
      <c r="M3489" t="s">
        <v>16054</v>
      </c>
      <c r="N3489" t="s">
        <v>16053</v>
      </c>
      <c r="T3489" t="s">
        <v>16055</v>
      </c>
      <c r="U3489" t="s">
        <v>16056</v>
      </c>
      <c r="V3489" t="s">
        <v>16054</v>
      </c>
      <c r="W3489" t="s">
        <v>49</v>
      </c>
      <c r="X3489" t="s">
        <v>16057</v>
      </c>
      <c r="Y3489">
        <v>1</v>
      </c>
      <c r="Z3489">
        <v>95</v>
      </c>
    </row>
    <row r="3490" spans="1:26">
      <c r="A3490" s="1">
        <v>3488</v>
      </c>
      <c r="B3490" t="str">
        <f>HYPERLINK("https://bugs.eclipse.org/bugs/show_bug.cgi?id=190856", "190856")</f>
        <v>190856</v>
      </c>
      <c r="C3490" t="s">
        <v>16058</v>
      </c>
      <c r="D3490" t="s">
        <v>10</v>
      </c>
      <c r="E3490" t="s">
        <v>15</v>
      </c>
      <c r="F3490" t="s">
        <v>26</v>
      </c>
      <c r="L3490" t="s">
        <v>16039</v>
      </c>
      <c r="Q3490" t="s">
        <v>16039</v>
      </c>
      <c r="T3490" t="s">
        <v>16059</v>
      </c>
      <c r="U3490" t="s">
        <v>16039</v>
      </c>
      <c r="V3490" t="s">
        <v>16039</v>
      </c>
      <c r="W3490" t="s">
        <v>1954</v>
      </c>
      <c r="X3490" t="s">
        <v>16060</v>
      </c>
      <c r="Y3490">
        <v>1</v>
      </c>
      <c r="Z3490">
        <v>1</v>
      </c>
    </row>
    <row r="3491" spans="1:26">
      <c r="A3491" s="1">
        <v>3489</v>
      </c>
      <c r="B3491" t="str">
        <f>HYPERLINK("https://bugs.eclipse.org/bugs/show_bug.cgi?id=190982", "190982")</f>
        <v>190982</v>
      </c>
      <c r="C3491" t="s">
        <v>149</v>
      </c>
      <c r="D3491" t="s">
        <v>10</v>
      </c>
      <c r="E3491" t="s">
        <v>12</v>
      </c>
      <c r="F3491" t="s">
        <v>26</v>
      </c>
      <c r="L3491" t="s">
        <v>16061</v>
      </c>
      <c r="N3491" t="s">
        <v>16061</v>
      </c>
      <c r="T3491" t="s">
        <v>16062</v>
      </c>
      <c r="U3491" t="s">
        <v>16063</v>
      </c>
      <c r="V3491" t="s">
        <v>16064</v>
      </c>
      <c r="W3491" t="s">
        <v>851</v>
      </c>
      <c r="X3491" t="s">
        <v>16065</v>
      </c>
      <c r="Y3491">
        <v>14</v>
      </c>
      <c r="Z3491">
        <v>16</v>
      </c>
    </row>
    <row r="3492" spans="1:26">
      <c r="A3492" s="1">
        <v>3490</v>
      </c>
      <c r="B3492" t="str">
        <f>HYPERLINK("https://bugs.eclipse.org/bugs/show_bug.cgi?id=190986", "190986")</f>
        <v>190986</v>
      </c>
      <c r="C3492" t="s">
        <v>16066</v>
      </c>
      <c r="D3492" t="s">
        <v>11</v>
      </c>
      <c r="E3492" t="s">
        <v>15</v>
      </c>
      <c r="F3492" t="s">
        <v>26</v>
      </c>
      <c r="L3492" t="s">
        <v>16067</v>
      </c>
      <c r="M3492" t="s">
        <v>16068</v>
      </c>
      <c r="Q3492" t="s">
        <v>16067</v>
      </c>
      <c r="T3492" t="s">
        <v>16069</v>
      </c>
      <c r="U3492" t="s">
        <v>16070</v>
      </c>
      <c r="V3492" t="s">
        <v>16068</v>
      </c>
      <c r="W3492" t="s">
        <v>851</v>
      </c>
      <c r="X3492" t="s">
        <v>16071</v>
      </c>
      <c r="Y3492">
        <v>0</v>
      </c>
      <c r="Z3492">
        <v>233.04166666666671</v>
      </c>
    </row>
    <row r="3493" spans="1:26">
      <c r="A3493" s="1">
        <v>3491</v>
      </c>
      <c r="B3493" t="str">
        <f>HYPERLINK("https://bugs.eclipse.org/bugs/show_bug.cgi?id=190987", "190987")</f>
        <v>190987</v>
      </c>
      <c r="C3493" t="s">
        <v>35</v>
      </c>
      <c r="D3493" t="s">
        <v>11</v>
      </c>
      <c r="E3493" t="s">
        <v>12</v>
      </c>
      <c r="F3493" t="s">
        <v>26</v>
      </c>
      <c r="G3493" t="s">
        <v>16072</v>
      </c>
      <c r="L3493" t="s">
        <v>16073</v>
      </c>
      <c r="M3493" t="s">
        <v>16074</v>
      </c>
      <c r="N3493" t="s">
        <v>16073</v>
      </c>
      <c r="T3493" t="s">
        <v>16075</v>
      </c>
      <c r="U3493" t="s">
        <v>16076</v>
      </c>
      <c r="V3493" t="s">
        <v>16074</v>
      </c>
      <c r="W3493" t="s">
        <v>143</v>
      </c>
      <c r="X3493" t="s">
        <v>16077</v>
      </c>
      <c r="Y3493">
        <v>35</v>
      </c>
      <c r="Z3493">
        <v>63</v>
      </c>
    </row>
    <row r="3494" spans="1:26">
      <c r="A3494" s="1">
        <v>3492</v>
      </c>
      <c r="B3494" t="str">
        <f>HYPERLINK("https://bugs.eclipse.org/bugs/show_bug.cgi?id=191057", "191057")</f>
        <v>191057</v>
      </c>
      <c r="C3494" t="s">
        <v>191</v>
      </c>
      <c r="D3494" t="s">
        <v>192</v>
      </c>
      <c r="E3494" t="s">
        <v>14</v>
      </c>
      <c r="F3494" t="s">
        <v>26</v>
      </c>
      <c r="G3494" t="s">
        <v>16078</v>
      </c>
      <c r="T3494" t="s">
        <v>16079</v>
      </c>
      <c r="U3494" t="s">
        <v>16080</v>
      </c>
      <c r="V3494" t="s">
        <v>16081</v>
      </c>
      <c r="W3494" t="s">
        <v>65</v>
      </c>
      <c r="X3494" t="s">
        <v>16082</v>
      </c>
      <c r="Y3494">
        <v>0</v>
      </c>
      <c r="Z3494">
        <v>4545.041666666667</v>
      </c>
    </row>
    <row r="3495" spans="1:26">
      <c r="A3495" s="1">
        <v>3493</v>
      </c>
      <c r="B3495" t="str">
        <f>HYPERLINK("https://bugs.eclipse.org/bugs/show_bug.cgi?id=191180", "191180")</f>
        <v>191180</v>
      </c>
      <c r="C3495" t="s">
        <v>16083</v>
      </c>
      <c r="D3495" t="s">
        <v>10</v>
      </c>
      <c r="E3495" t="s">
        <v>15</v>
      </c>
      <c r="F3495" t="s">
        <v>26</v>
      </c>
      <c r="L3495" t="s">
        <v>16084</v>
      </c>
      <c r="Q3495" t="s">
        <v>16084</v>
      </c>
      <c r="T3495" t="s">
        <v>16085</v>
      </c>
      <c r="U3495" t="s">
        <v>16086</v>
      </c>
      <c r="V3495" t="s">
        <v>16084</v>
      </c>
      <c r="W3495" t="s">
        <v>49</v>
      </c>
      <c r="X3495" t="s">
        <v>16087</v>
      </c>
      <c r="Y3495">
        <v>0</v>
      </c>
      <c r="Z3495">
        <v>0</v>
      </c>
    </row>
    <row r="3496" spans="1:26">
      <c r="A3496" s="1">
        <v>3494</v>
      </c>
      <c r="B3496" t="str">
        <f>HYPERLINK("https://bugs.eclipse.org/bugs/show_bug.cgi?id=191208", "191208")</f>
        <v>191208</v>
      </c>
      <c r="C3496" t="s">
        <v>35</v>
      </c>
      <c r="D3496" t="s">
        <v>11</v>
      </c>
      <c r="E3496" t="s">
        <v>12</v>
      </c>
      <c r="F3496" t="s">
        <v>26</v>
      </c>
      <c r="L3496" t="s">
        <v>16088</v>
      </c>
      <c r="M3496" t="s">
        <v>16089</v>
      </c>
      <c r="N3496" t="s">
        <v>16088</v>
      </c>
      <c r="T3496" t="s">
        <v>16090</v>
      </c>
      <c r="U3496" t="s">
        <v>16091</v>
      </c>
      <c r="V3496" t="s">
        <v>16089</v>
      </c>
      <c r="W3496" t="s">
        <v>49</v>
      </c>
      <c r="X3496" t="s">
        <v>16092</v>
      </c>
      <c r="Y3496">
        <v>0</v>
      </c>
      <c r="Z3496">
        <v>92</v>
      </c>
    </row>
    <row r="3497" spans="1:26">
      <c r="A3497" s="1">
        <v>3495</v>
      </c>
      <c r="B3497" t="str">
        <f>HYPERLINK("https://bugs.eclipse.org/bugs/show_bug.cgi?id=191349", "191349")</f>
        <v>191349</v>
      </c>
      <c r="C3497" t="s">
        <v>35</v>
      </c>
      <c r="D3497" t="s">
        <v>11</v>
      </c>
      <c r="E3497" t="s">
        <v>12</v>
      </c>
      <c r="F3497" t="s">
        <v>26</v>
      </c>
      <c r="L3497" t="s">
        <v>16093</v>
      </c>
      <c r="M3497" t="s">
        <v>16094</v>
      </c>
      <c r="N3497" t="s">
        <v>16093</v>
      </c>
      <c r="T3497" t="s">
        <v>16095</v>
      </c>
      <c r="U3497" t="s">
        <v>16096</v>
      </c>
      <c r="V3497" t="s">
        <v>16094</v>
      </c>
      <c r="W3497" t="s">
        <v>49</v>
      </c>
      <c r="X3497" t="s">
        <v>16097</v>
      </c>
      <c r="Y3497">
        <v>0</v>
      </c>
      <c r="Z3497">
        <v>92</v>
      </c>
    </row>
    <row r="3498" spans="1:26">
      <c r="A3498" s="1">
        <v>3496</v>
      </c>
      <c r="B3498" t="str">
        <f>HYPERLINK("https://bugs.eclipse.org/bugs/show_bug.cgi?id=191725", "191725")</f>
        <v>191725</v>
      </c>
      <c r="C3498" t="s">
        <v>56</v>
      </c>
      <c r="D3498" t="s">
        <v>10</v>
      </c>
      <c r="E3498" t="s">
        <v>14</v>
      </c>
      <c r="F3498" t="s">
        <v>26</v>
      </c>
      <c r="L3498" t="s">
        <v>16098</v>
      </c>
      <c r="P3498" t="s">
        <v>16098</v>
      </c>
      <c r="T3498" t="s">
        <v>16099</v>
      </c>
      <c r="U3498" t="s">
        <v>16100</v>
      </c>
      <c r="V3498" t="s">
        <v>16098</v>
      </c>
      <c r="W3498" t="s">
        <v>49</v>
      </c>
      <c r="X3498" t="s">
        <v>16101</v>
      </c>
      <c r="Y3498">
        <v>0</v>
      </c>
      <c r="Z3498">
        <v>25</v>
      </c>
    </row>
    <row r="3499" spans="1:26">
      <c r="A3499" s="1">
        <v>3497</v>
      </c>
      <c r="B3499" t="str">
        <f>HYPERLINK("https://bugs.eclipse.org/bugs/show_bug.cgi?id=192200", "192200")</f>
        <v>192200</v>
      </c>
      <c r="C3499" t="s">
        <v>56</v>
      </c>
      <c r="D3499" t="s">
        <v>10</v>
      </c>
      <c r="E3499" t="s">
        <v>14</v>
      </c>
      <c r="F3499" t="s">
        <v>26</v>
      </c>
      <c r="L3499" t="s">
        <v>16102</v>
      </c>
      <c r="P3499" t="s">
        <v>16102</v>
      </c>
      <c r="T3499" t="s">
        <v>16103</v>
      </c>
      <c r="U3499" t="s">
        <v>16104</v>
      </c>
      <c r="V3499" t="s">
        <v>16102</v>
      </c>
      <c r="W3499" t="s">
        <v>49</v>
      </c>
      <c r="X3499" t="s">
        <v>16105</v>
      </c>
      <c r="Y3499">
        <v>0</v>
      </c>
      <c r="Z3499">
        <v>2</v>
      </c>
    </row>
    <row r="3500" spans="1:26">
      <c r="A3500" s="1">
        <v>3498</v>
      </c>
      <c r="B3500" t="str">
        <f>HYPERLINK("https://bugs.eclipse.org/bugs/show_bug.cgi?id=192638", "192638")</f>
        <v>192638</v>
      </c>
      <c r="C3500" t="s">
        <v>35</v>
      </c>
      <c r="D3500" t="s">
        <v>11</v>
      </c>
      <c r="E3500" t="s">
        <v>12</v>
      </c>
      <c r="F3500" t="s">
        <v>26</v>
      </c>
      <c r="G3500" t="s">
        <v>16106</v>
      </c>
      <c r="H3500" t="s">
        <v>16107</v>
      </c>
      <c r="L3500" t="s">
        <v>16108</v>
      </c>
      <c r="M3500" t="s">
        <v>16109</v>
      </c>
      <c r="N3500" t="s">
        <v>16108</v>
      </c>
      <c r="T3500" t="s">
        <v>16110</v>
      </c>
      <c r="U3500" t="s">
        <v>16111</v>
      </c>
      <c r="V3500" t="s">
        <v>16109</v>
      </c>
      <c r="W3500" t="s">
        <v>1954</v>
      </c>
      <c r="X3500" t="s">
        <v>16112</v>
      </c>
      <c r="Y3500">
        <v>0</v>
      </c>
      <c r="Z3500">
        <v>54</v>
      </c>
    </row>
    <row r="3501" spans="1:26">
      <c r="A3501" s="1">
        <v>3499</v>
      </c>
      <c r="B3501" t="str">
        <f>HYPERLINK("https://bugs.eclipse.org/bugs/show_bug.cgi?id=193312", "193312")</f>
        <v>193312</v>
      </c>
      <c r="C3501" t="s">
        <v>149</v>
      </c>
      <c r="D3501" t="s">
        <v>10</v>
      </c>
      <c r="E3501" t="s">
        <v>12</v>
      </c>
      <c r="F3501" t="s">
        <v>26</v>
      </c>
      <c r="L3501" t="s">
        <v>16113</v>
      </c>
      <c r="N3501" t="s">
        <v>16113</v>
      </c>
      <c r="T3501" t="s">
        <v>16114</v>
      </c>
      <c r="U3501" t="s">
        <v>16115</v>
      </c>
      <c r="V3501" t="s">
        <v>16116</v>
      </c>
      <c r="W3501" t="s">
        <v>49</v>
      </c>
      <c r="X3501" t="s">
        <v>16117</v>
      </c>
      <c r="Y3501">
        <v>0</v>
      </c>
      <c r="Z3501">
        <v>15</v>
      </c>
    </row>
    <row r="3502" spans="1:26">
      <c r="A3502" s="1">
        <v>3500</v>
      </c>
      <c r="B3502" t="str">
        <f>HYPERLINK("https://bugs.eclipse.org/bugs/show_bug.cgi?id=193529", "193529")</f>
        <v>193529</v>
      </c>
      <c r="C3502" t="s">
        <v>149</v>
      </c>
      <c r="D3502" t="s">
        <v>10</v>
      </c>
      <c r="E3502" t="s">
        <v>12</v>
      </c>
      <c r="F3502" t="s">
        <v>26</v>
      </c>
      <c r="L3502" t="s">
        <v>16118</v>
      </c>
      <c r="N3502" t="s">
        <v>16118</v>
      </c>
      <c r="S3502" t="s">
        <v>16119</v>
      </c>
      <c r="T3502" t="s">
        <v>16120</v>
      </c>
      <c r="U3502" t="s">
        <v>16121</v>
      </c>
      <c r="V3502" t="s">
        <v>16118</v>
      </c>
      <c r="W3502" t="s">
        <v>1161</v>
      </c>
      <c r="X3502" t="s">
        <v>16122</v>
      </c>
      <c r="Y3502">
        <v>0</v>
      </c>
      <c r="Z3502">
        <v>15</v>
      </c>
    </row>
    <row r="3503" spans="1:26">
      <c r="A3503" s="1">
        <v>3501</v>
      </c>
      <c r="B3503" t="str">
        <f>HYPERLINK("https://bugs.eclipse.org/bugs/show_bug.cgi?id=193717", "193717")</f>
        <v>193717</v>
      </c>
      <c r="C3503" t="s">
        <v>191</v>
      </c>
      <c r="D3503" t="s">
        <v>192</v>
      </c>
      <c r="E3503" t="s">
        <v>14</v>
      </c>
      <c r="F3503" t="s">
        <v>26</v>
      </c>
      <c r="T3503" t="s">
        <v>16123</v>
      </c>
      <c r="U3503" t="s">
        <v>16124</v>
      </c>
      <c r="V3503" t="s">
        <v>16125</v>
      </c>
      <c r="W3503" t="s">
        <v>65</v>
      </c>
      <c r="X3503" t="s">
        <v>16126</v>
      </c>
      <c r="Y3503">
        <v>0</v>
      </c>
      <c r="Z3503">
        <v>4540.041666666667</v>
      </c>
    </row>
    <row r="3504" spans="1:26">
      <c r="A3504" s="1">
        <v>3502</v>
      </c>
      <c r="B3504" t="str">
        <f>HYPERLINK("https://bugs.eclipse.org/bugs/show_bug.cgi?id=193969", "193969")</f>
        <v>193969</v>
      </c>
      <c r="C3504" t="s">
        <v>149</v>
      </c>
      <c r="D3504" t="s">
        <v>10</v>
      </c>
      <c r="E3504" t="s">
        <v>12</v>
      </c>
      <c r="F3504" t="s">
        <v>26</v>
      </c>
      <c r="L3504" t="s">
        <v>16127</v>
      </c>
      <c r="N3504" t="s">
        <v>16127</v>
      </c>
      <c r="T3504" t="s">
        <v>16128</v>
      </c>
      <c r="U3504" t="s">
        <v>16129</v>
      </c>
      <c r="V3504" t="s">
        <v>16127</v>
      </c>
      <c r="W3504" t="s">
        <v>49</v>
      </c>
      <c r="X3504" t="s">
        <v>16130</v>
      </c>
      <c r="Y3504">
        <v>11</v>
      </c>
      <c r="Z3504">
        <v>11</v>
      </c>
    </row>
    <row r="3505" spans="1:26">
      <c r="A3505" s="1">
        <v>3503</v>
      </c>
      <c r="B3505" t="str">
        <f>HYPERLINK("https://bugs.eclipse.org/bugs/show_bug.cgi?id=194139", "194139")</f>
        <v>194139</v>
      </c>
      <c r="C3505" t="s">
        <v>8894</v>
      </c>
      <c r="D3505" t="s">
        <v>10</v>
      </c>
      <c r="E3505" t="s">
        <v>15</v>
      </c>
      <c r="F3505" t="s">
        <v>26</v>
      </c>
      <c r="L3505" t="s">
        <v>16131</v>
      </c>
      <c r="Q3505" t="s">
        <v>16131</v>
      </c>
      <c r="T3505" t="s">
        <v>16132</v>
      </c>
      <c r="U3505" t="s">
        <v>16131</v>
      </c>
      <c r="V3505" t="s">
        <v>16131</v>
      </c>
      <c r="W3505" t="s">
        <v>49</v>
      </c>
      <c r="X3505" t="s">
        <v>16133</v>
      </c>
      <c r="Y3505">
        <v>1</v>
      </c>
      <c r="Z3505">
        <v>1</v>
      </c>
    </row>
    <row r="3506" spans="1:26">
      <c r="A3506" s="1">
        <v>3504</v>
      </c>
      <c r="B3506" t="str">
        <f>HYPERLINK("https://bugs.eclipse.org/bugs/show_bug.cgi?id=194220", "194220")</f>
        <v>194220</v>
      </c>
      <c r="C3506" t="s">
        <v>149</v>
      </c>
      <c r="D3506" t="s">
        <v>10</v>
      </c>
      <c r="E3506" t="s">
        <v>12</v>
      </c>
      <c r="F3506" t="s">
        <v>26</v>
      </c>
      <c r="L3506" t="s">
        <v>16134</v>
      </c>
      <c r="N3506" t="s">
        <v>16134</v>
      </c>
      <c r="R3506" t="s">
        <v>16135</v>
      </c>
      <c r="S3506" t="s">
        <v>16136</v>
      </c>
      <c r="T3506" t="s">
        <v>16137</v>
      </c>
      <c r="U3506" t="s">
        <v>16135</v>
      </c>
      <c r="V3506" t="s">
        <v>16134</v>
      </c>
      <c r="W3506" t="s">
        <v>49</v>
      </c>
      <c r="X3506" t="s">
        <v>16138</v>
      </c>
      <c r="Y3506">
        <v>0</v>
      </c>
      <c r="Z3506">
        <v>58</v>
      </c>
    </row>
    <row r="3507" spans="1:26">
      <c r="A3507" s="1">
        <v>3505</v>
      </c>
      <c r="B3507" t="str">
        <f>HYPERLINK("https://bugs.eclipse.org/bugs/show_bug.cgi?id=194389", "194389")</f>
        <v>194389</v>
      </c>
      <c r="C3507" t="s">
        <v>88</v>
      </c>
      <c r="D3507" t="s">
        <v>10</v>
      </c>
      <c r="E3507" t="s">
        <v>13</v>
      </c>
      <c r="F3507" t="s">
        <v>26</v>
      </c>
      <c r="L3507" t="s">
        <v>16139</v>
      </c>
      <c r="O3507" t="s">
        <v>16139</v>
      </c>
      <c r="T3507" t="s">
        <v>16140</v>
      </c>
      <c r="U3507" t="s">
        <v>16139</v>
      </c>
      <c r="V3507" t="s">
        <v>16139</v>
      </c>
      <c r="W3507" t="s">
        <v>49</v>
      </c>
      <c r="X3507" t="s">
        <v>16141</v>
      </c>
      <c r="Y3507">
        <v>21</v>
      </c>
      <c r="Z3507">
        <v>21</v>
      </c>
    </row>
    <row r="3508" spans="1:26">
      <c r="A3508" s="1">
        <v>3506</v>
      </c>
      <c r="B3508" t="str">
        <f>HYPERLINK("https://bugs.eclipse.org/bugs/show_bug.cgi?id=194636", "194636")</f>
        <v>194636</v>
      </c>
      <c r="C3508" t="s">
        <v>149</v>
      </c>
      <c r="D3508" t="s">
        <v>10</v>
      </c>
      <c r="E3508" t="s">
        <v>12</v>
      </c>
      <c r="F3508" t="s">
        <v>26</v>
      </c>
      <c r="L3508" t="s">
        <v>16142</v>
      </c>
      <c r="N3508" t="s">
        <v>16142</v>
      </c>
      <c r="T3508" t="s">
        <v>16143</v>
      </c>
      <c r="U3508" t="s">
        <v>16144</v>
      </c>
      <c r="V3508" t="s">
        <v>16142</v>
      </c>
      <c r="W3508" t="s">
        <v>49</v>
      </c>
      <c r="X3508" t="s">
        <v>16145</v>
      </c>
      <c r="Y3508">
        <v>0</v>
      </c>
      <c r="Z3508">
        <v>1</v>
      </c>
    </row>
    <row r="3509" spans="1:26">
      <c r="A3509" s="1">
        <v>3507</v>
      </c>
      <c r="B3509" t="str">
        <f>HYPERLINK("https://bugs.eclipse.org/bugs/show_bug.cgi?id=194643", "194643")</f>
        <v>194643</v>
      </c>
      <c r="C3509" t="s">
        <v>149</v>
      </c>
      <c r="D3509" t="s">
        <v>10</v>
      </c>
      <c r="E3509" t="s">
        <v>12</v>
      </c>
      <c r="F3509" t="s">
        <v>26</v>
      </c>
      <c r="L3509" t="s">
        <v>16146</v>
      </c>
      <c r="N3509" t="s">
        <v>16146</v>
      </c>
      <c r="T3509" t="s">
        <v>16147</v>
      </c>
      <c r="U3509" t="s">
        <v>16148</v>
      </c>
      <c r="V3509" t="s">
        <v>16146</v>
      </c>
      <c r="W3509" t="s">
        <v>49</v>
      </c>
      <c r="X3509" t="s">
        <v>16149</v>
      </c>
      <c r="Y3509">
        <v>0</v>
      </c>
      <c r="Z3509">
        <v>1</v>
      </c>
    </row>
    <row r="3510" spans="1:26">
      <c r="A3510" s="1">
        <v>3508</v>
      </c>
      <c r="B3510" t="str">
        <f>HYPERLINK("https://bugs.eclipse.org/bugs/show_bug.cgi?id=194653", "194653")</f>
        <v>194653</v>
      </c>
      <c r="C3510" t="s">
        <v>149</v>
      </c>
      <c r="D3510" t="s">
        <v>10</v>
      </c>
      <c r="E3510" t="s">
        <v>12</v>
      </c>
      <c r="F3510" t="s">
        <v>26</v>
      </c>
      <c r="L3510" t="s">
        <v>16150</v>
      </c>
      <c r="N3510" t="s">
        <v>16150</v>
      </c>
      <c r="T3510" t="s">
        <v>16151</v>
      </c>
      <c r="U3510" t="s">
        <v>16152</v>
      </c>
      <c r="V3510" t="s">
        <v>16150</v>
      </c>
      <c r="W3510" t="s">
        <v>1161</v>
      </c>
      <c r="X3510" t="s">
        <v>16153</v>
      </c>
      <c r="Y3510">
        <v>1</v>
      </c>
      <c r="Z3510">
        <v>1</v>
      </c>
    </row>
    <row r="3511" spans="1:26">
      <c r="A3511" s="1">
        <v>3509</v>
      </c>
      <c r="B3511" t="str">
        <f>HYPERLINK("https://bugs.eclipse.org/bugs/show_bug.cgi?id=194979", "194979")</f>
        <v>194979</v>
      </c>
      <c r="C3511" t="s">
        <v>149</v>
      </c>
      <c r="D3511" t="s">
        <v>10</v>
      </c>
      <c r="E3511" t="s">
        <v>12</v>
      </c>
      <c r="F3511" t="s">
        <v>26</v>
      </c>
      <c r="L3511" t="s">
        <v>16154</v>
      </c>
      <c r="N3511" t="s">
        <v>16154</v>
      </c>
      <c r="T3511" t="s">
        <v>16155</v>
      </c>
      <c r="U3511" t="s">
        <v>16156</v>
      </c>
      <c r="V3511" t="s">
        <v>16154</v>
      </c>
      <c r="W3511" t="s">
        <v>851</v>
      </c>
      <c r="X3511" t="s">
        <v>16157</v>
      </c>
      <c r="Y3511">
        <v>3</v>
      </c>
      <c r="Z3511">
        <v>12</v>
      </c>
    </row>
    <row r="3512" spans="1:26">
      <c r="A3512" s="1">
        <v>3510</v>
      </c>
      <c r="B3512" t="str">
        <f>HYPERLINK("https://bugs.eclipse.org/bugs/show_bug.cgi?id=194996", "194996")</f>
        <v>194996</v>
      </c>
      <c r="C3512" t="s">
        <v>191</v>
      </c>
      <c r="D3512" t="s">
        <v>192</v>
      </c>
      <c r="E3512" t="s">
        <v>14</v>
      </c>
      <c r="F3512" t="s">
        <v>26</v>
      </c>
      <c r="G3512" t="s">
        <v>16158</v>
      </c>
      <c r="T3512" t="s">
        <v>16159</v>
      </c>
      <c r="U3512" t="s">
        <v>16160</v>
      </c>
      <c r="V3512" t="s">
        <v>16161</v>
      </c>
      <c r="W3512" t="s">
        <v>65</v>
      </c>
      <c r="X3512" t="s">
        <v>16162</v>
      </c>
      <c r="Y3512">
        <v>1</v>
      </c>
      <c r="Z3512">
        <v>4447</v>
      </c>
    </row>
    <row r="3513" spans="1:26">
      <c r="A3513" s="1">
        <v>3511</v>
      </c>
      <c r="B3513" t="str">
        <f>HYPERLINK("https://bugs.eclipse.org/bugs/show_bug.cgi?id=194997", "194997")</f>
        <v>194997</v>
      </c>
      <c r="C3513" t="s">
        <v>56</v>
      </c>
      <c r="D3513" t="s">
        <v>10</v>
      </c>
      <c r="E3513" t="s">
        <v>14</v>
      </c>
      <c r="F3513" t="s">
        <v>26</v>
      </c>
      <c r="G3513" t="s">
        <v>16163</v>
      </c>
      <c r="L3513" t="s">
        <v>16164</v>
      </c>
      <c r="P3513" t="s">
        <v>16164</v>
      </c>
      <c r="T3513" t="s">
        <v>16165</v>
      </c>
      <c r="U3513" t="s">
        <v>16166</v>
      </c>
      <c r="V3513" t="s">
        <v>16164</v>
      </c>
      <c r="W3513" t="s">
        <v>4846</v>
      </c>
      <c r="X3513" t="s">
        <v>16167</v>
      </c>
      <c r="Y3513">
        <v>0</v>
      </c>
      <c r="Z3513">
        <v>4811</v>
      </c>
    </row>
    <row r="3514" spans="1:26">
      <c r="A3514" s="1">
        <v>3512</v>
      </c>
      <c r="B3514" t="str">
        <f>HYPERLINK("https://bugs.eclipse.org/bugs/show_bug.cgi?id=194998", "194998")</f>
        <v>194998</v>
      </c>
      <c r="C3514" t="s">
        <v>191</v>
      </c>
      <c r="D3514" t="s">
        <v>192</v>
      </c>
      <c r="E3514" t="s">
        <v>14</v>
      </c>
      <c r="F3514" t="s">
        <v>26</v>
      </c>
      <c r="G3514" t="s">
        <v>16168</v>
      </c>
      <c r="T3514" t="s">
        <v>16169</v>
      </c>
      <c r="U3514" t="s">
        <v>16170</v>
      </c>
      <c r="V3514" t="s">
        <v>16171</v>
      </c>
      <c r="W3514" t="s">
        <v>65</v>
      </c>
      <c r="X3514" t="s">
        <v>16172</v>
      </c>
      <c r="Y3514">
        <v>0</v>
      </c>
      <c r="Z3514">
        <v>4456</v>
      </c>
    </row>
    <row r="3515" spans="1:26">
      <c r="A3515" s="1">
        <v>3513</v>
      </c>
      <c r="B3515" t="str">
        <f>HYPERLINK("https://bugs.eclipse.org/bugs/show_bug.cgi?id=195000", "195000")</f>
        <v>195000</v>
      </c>
      <c r="C3515" t="s">
        <v>191</v>
      </c>
      <c r="D3515" t="s">
        <v>192</v>
      </c>
      <c r="E3515" t="s">
        <v>14</v>
      </c>
      <c r="F3515" t="s">
        <v>26</v>
      </c>
      <c r="L3515" t="s">
        <v>16173</v>
      </c>
      <c r="O3515" t="s">
        <v>16173</v>
      </c>
      <c r="S3515" t="s">
        <v>16174</v>
      </c>
      <c r="T3515" t="s">
        <v>16175</v>
      </c>
      <c r="U3515" t="s">
        <v>16176</v>
      </c>
      <c r="V3515" t="s">
        <v>16177</v>
      </c>
      <c r="W3515" t="s">
        <v>65</v>
      </c>
      <c r="X3515" t="s">
        <v>16178</v>
      </c>
      <c r="Y3515">
        <v>0</v>
      </c>
      <c r="Z3515">
        <v>4522.041666666667</v>
      </c>
    </row>
    <row r="3516" spans="1:26">
      <c r="A3516" s="1">
        <v>3514</v>
      </c>
      <c r="B3516" t="str">
        <f>HYPERLINK("https://bugs.eclipse.org/bugs/show_bug.cgi?id=195001", "195001")</f>
        <v>195001</v>
      </c>
      <c r="C3516" t="s">
        <v>191</v>
      </c>
      <c r="D3516" t="s">
        <v>192</v>
      </c>
      <c r="E3516" t="s">
        <v>14</v>
      </c>
      <c r="F3516" t="s">
        <v>26</v>
      </c>
      <c r="P3516" t="s">
        <v>16179</v>
      </c>
      <c r="T3516" t="s">
        <v>16180</v>
      </c>
      <c r="U3516" t="s">
        <v>16181</v>
      </c>
      <c r="V3516" t="s">
        <v>16179</v>
      </c>
      <c r="W3516" t="s">
        <v>65</v>
      </c>
      <c r="X3516" t="s">
        <v>16182</v>
      </c>
      <c r="Y3516">
        <v>0</v>
      </c>
      <c r="Z3516">
        <v>4674</v>
      </c>
    </row>
    <row r="3517" spans="1:26">
      <c r="A3517" s="1">
        <v>3515</v>
      </c>
      <c r="B3517" t="str">
        <f>HYPERLINK("https://bugs.eclipse.org/bugs/show_bug.cgi?id=195002", "195002")</f>
        <v>195002</v>
      </c>
      <c r="C3517" t="s">
        <v>191</v>
      </c>
      <c r="D3517" t="s">
        <v>192</v>
      </c>
      <c r="E3517" t="s">
        <v>14</v>
      </c>
      <c r="F3517" t="s">
        <v>26</v>
      </c>
      <c r="L3517" t="s">
        <v>16183</v>
      </c>
      <c r="O3517" t="s">
        <v>16183</v>
      </c>
      <c r="P3517" t="s">
        <v>16184</v>
      </c>
      <c r="S3517" t="s">
        <v>16185</v>
      </c>
      <c r="T3517" t="s">
        <v>16186</v>
      </c>
      <c r="U3517" t="s">
        <v>16187</v>
      </c>
      <c r="V3517" t="s">
        <v>16184</v>
      </c>
      <c r="W3517" t="s">
        <v>65</v>
      </c>
      <c r="X3517" t="s">
        <v>16188</v>
      </c>
      <c r="Y3517">
        <v>0</v>
      </c>
      <c r="Z3517">
        <v>4679</v>
      </c>
    </row>
    <row r="3518" spans="1:26">
      <c r="A3518" s="1">
        <v>3516</v>
      </c>
      <c r="B3518" t="str">
        <f>HYPERLINK("https://bugs.eclipse.org/bugs/show_bug.cgi?id=195003", "195003")</f>
        <v>195003</v>
      </c>
      <c r="C3518" t="s">
        <v>35</v>
      </c>
      <c r="D3518" t="s">
        <v>11</v>
      </c>
      <c r="E3518" t="s">
        <v>12</v>
      </c>
      <c r="F3518" t="s">
        <v>26</v>
      </c>
      <c r="L3518" t="s">
        <v>16189</v>
      </c>
      <c r="M3518" t="s">
        <v>16190</v>
      </c>
      <c r="N3518" t="s">
        <v>16189</v>
      </c>
      <c r="S3518" t="s">
        <v>16191</v>
      </c>
      <c r="T3518" t="s">
        <v>16192</v>
      </c>
      <c r="U3518" t="s">
        <v>16193</v>
      </c>
      <c r="V3518" t="s">
        <v>16190</v>
      </c>
      <c r="W3518" t="s">
        <v>5069</v>
      </c>
      <c r="X3518" t="s">
        <v>16194</v>
      </c>
      <c r="Y3518">
        <v>0</v>
      </c>
      <c r="Z3518">
        <v>4666</v>
      </c>
    </row>
    <row r="3519" spans="1:26">
      <c r="A3519" s="1">
        <v>3517</v>
      </c>
      <c r="B3519" t="str">
        <f>HYPERLINK("https://bugs.eclipse.org/bugs/show_bug.cgi?id=195004", "195004")</f>
        <v>195004</v>
      </c>
      <c r="C3519" t="s">
        <v>16195</v>
      </c>
      <c r="D3519" t="s">
        <v>192</v>
      </c>
      <c r="E3519" t="s">
        <v>15</v>
      </c>
      <c r="F3519" t="s">
        <v>26</v>
      </c>
      <c r="Q3519" t="s">
        <v>16196</v>
      </c>
      <c r="T3519" t="s">
        <v>16197</v>
      </c>
      <c r="U3519" t="s">
        <v>16198</v>
      </c>
      <c r="V3519" t="s">
        <v>16196</v>
      </c>
      <c r="W3519" t="s">
        <v>2777</v>
      </c>
      <c r="X3519" t="s">
        <v>16199</v>
      </c>
      <c r="Y3519">
        <v>0</v>
      </c>
      <c r="Z3519">
        <v>1081</v>
      </c>
    </row>
    <row r="3520" spans="1:26">
      <c r="A3520" s="1">
        <v>3518</v>
      </c>
      <c r="B3520" t="str">
        <f>HYPERLINK("https://bugs.eclipse.org/bugs/show_bug.cgi?id=195005", "195005")</f>
        <v>195005</v>
      </c>
      <c r="C3520" t="s">
        <v>25</v>
      </c>
      <c r="D3520" t="s">
        <v>25</v>
      </c>
      <c r="F3520" t="s">
        <v>26</v>
      </c>
      <c r="G3520" t="s">
        <v>16200</v>
      </c>
      <c r="T3520" t="s">
        <v>16201</v>
      </c>
      <c r="U3520" t="s">
        <v>16202</v>
      </c>
      <c r="V3520" t="s">
        <v>16203</v>
      </c>
      <c r="W3520" t="s">
        <v>143</v>
      </c>
      <c r="X3520" t="s">
        <v>16204</v>
      </c>
      <c r="Y3520">
        <v>0</v>
      </c>
    </row>
    <row r="3521" spans="1:26">
      <c r="A3521" s="1">
        <v>3519</v>
      </c>
      <c r="B3521" t="str">
        <f>HYPERLINK("https://bugs.eclipse.org/bugs/show_bug.cgi?id=195006", "195006")</f>
        <v>195006</v>
      </c>
      <c r="C3521" t="s">
        <v>191</v>
      </c>
      <c r="D3521" t="s">
        <v>192</v>
      </c>
      <c r="E3521" t="s">
        <v>14</v>
      </c>
      <c r="F3521" t="s">
        <v>26</v>
      </c>
      <c r="T3521" t="s">
        <v>16205</v>
      </c>
      <c r="U3521" t="s">
        <v>16206</v>
      </c>
      <c r="V3521" t="s">
        <v>16207</v>
      </c>
      <c r="W3521" t="s">
        <v>65</v>
      </c>
      <c r="X3521" t="s">
        <v>16208</v>
      </c>
      <c r="Y3521">
        <v>0</v>
      </c>
      <c r="Z3521">
        <v>4490</v>
      </c>
    </row>
    <row r="3522" spans="1:26">
      <c r="A3522" s="1">
        <v>3520</v>
      </c>
      <c r="B3522" t="str">
        <f>HYPERLINK("https://bugs.eclipse.org/bugs/show_bug.cgi?id=195056", "195056")</f>
        <v>195056</v>
      </c>
      <c r="C3522" t="s">
        <v>4692</v>
      </c>
      <c r="D3522" t="s">
        <v>4692</v>
      </c>
      <c r="F3522" t="s">
        <v>26</v>
      </c>
      <c r="T3522" t="s">
        <v>16209</v>
      </c>
      <c r="U3522" t="s">
        <v>16210</v>
      </c>
      <c r="V3522" t="s">
        <v>16211</v>
      </c>
      <c r="W3522" t="s">
        <v>49</v>
      </c>
      <c r="X3522" t="s">
        <v>16212</v>
      </c>
      <c r="Y3522">
        <v>0</v>
      </c>
    </row>
    <row r="3523" spans="1:26">
      <c r="A3523" s="1">
        <v>3521</v>
      </c>
      <c r="B3523" t="str">
        <f>HYPERLINK("https://bugs.eclipse.org/bugs/show_bug.cgi?id=195377", "195377")</f>
        <v>195377</v>
      </c>
      <c r="C3523" t="s">
        <v>149</v>
      </c>
      <c r="D3523" t="s">
        <v>10</v>
      </c>
      <c r="E3523" t="s">
        <v>12</v>
      </c>
      <c r="F3523" t="s">
        <v>26</v>
      </c>
      <c r="L3523" t="s">
        <v>16213</v>
      </c>
      <c r="N3523" t="s">
        <v>16213</v>
      </c>
      <c r="T3523" t="s">
        <v>16214</v>
      </c>
      <c r="U3523" t="s">
        <v>16215</v>
      </c>
      <c r="V3523" t="s">
        <v>16213</v>
      </c>
      <c r="W3523" t="s">
        <v>49</v>
      </c>
      <c r="X3523" t="s">
        <v>16216</v>
      </c>
      <c r="Y3523">
        <v>0</v>
      </c>
      <c r="Z3523">
        <v>0</v>
      </c>
    </row>
    <row r="3524" spans="1:26">
      <c r="A3524" s="1">
        <v>3522</v>
      </c>
      <c r="B3524" t="str">
        <f>HYPERLINK("https://bugs.eclipse.org/bugs/show_bug.cgi?id=195520", "195520")</f>
        <v>195520</v>
      </c>
      <c r="C3524" t="s">
        <v>191</v>
      </c>
      <c r="D3524" t="s">
        <v>192</v>
      </c>
      <c r="E3524" t="s">
        <v>14</v>
      </c>
      <c r="F3524" t="s">
        <v>26</v>
      </c>
      <c r="P3524" t="s">
        <v>16217</v>
      </c>
      <c r="T3524" t="s">
        <v>16218</v>
      </c>
      <c r="U3524" t="s">
        <v>16219</v>
      </c>
      <c r="V3524" t="s">
        <v>16217</v>
      </c>
      <c r="W3524" t="s">
        <v>65</v>
      </c>
      <c r="X3524" t="s">
        <v>16220</v>
      </c>
      <c r="Y3524">
        <v>0</v>
      </c>
      <c r="Z3524">
        <v>4635</v>
      </c>
    </row>
    <row r="3525" spans="1:26">
      <c r="A3525" s="1">
        <v>3523</v>
      </c>
      <c r="B3525" t="str">
        <f>HYPERLINK("https://bugs.eclipse.org/bugs/show_bug.cgi?id=195817", "195817")</f>
        <v>195817</v>
      </c>
      <c r="C3525" t="s">
        <v>149</v>
      </c>
      <c r="D3525" t="s">
        <v>10</v>
      </c>
      <c r="E3525" t="s">
        <v>12</v>
      </c>
      <c r="F3525" t="s">
        <v>26</v>
      </c>
      <c r="G3525" t="s">
        <v>16221</v>
      </c>
      <c r="L3525" t="s">
        <v>16222</v>
      </c>
      <c r="N3525" t="s">
        <v>16222</v>
      </c>
      <c r="T3525" t="s">
        <v>16223</v>
      </c>
      <c r="U3525" t="s">
        <v>16224</v>
      </c>
      <c r="V3525" t="s">
        <v>14882</v>
      </c>
      <c r="W3525" t="s">
        <v>143</v>
      </c>
      <c r="X3525" t="s">
        <v>16225</v>
      </c>
      <c r="Y3525">
        <v>0</v>
      </c>
      <c r="Z3525">
        <v>1969.041666666667</v>
      </c>
    </row>
    <row r="3526" spans="1:26">
      <c r="A3526" s="1">
        <v>3524</v>
      </c>
      <c r="B3526" t="str">
        <f>HYPERLINK("https://bugs.eclipse.org/bugs/show_bug.cgi?id=195828", "195828")</f>
        <v>195828</v>
      </c>
      <c r="C3526" t="s">
        <v>149</v>
      </c>
      <c r="D3526" t="s">
        <v>10</v>
      </c>
      <c r="E3526" t="s">
        <v>12</v>
      </c>
      <c r="F3526" t="s">
        <v>26</v>
      </c>
      <c r="L3526" t="s">
        <v>16226</v>
      </c>
      <c r="N3526" t="s">
        <v>16226</v>
      </c>
      <c r="S3526" t="s">
        <v>16227</v>
      </c>
      <c r="T3526" t="s">
        <v>16228</v>
      </c>
      <c r="U3526" t="s">
        <v>16229</v>
      </c>
      <c r="V3526" t="s">
        <v>16226</v>
      </c>
      <c r="W3526" t="s">
        <v>49</v>
      </c>
      <c r="X3526" t="s">
        <v>16230</v>
      </c>
      <c r="Y3526">
        <v>0</v>
      </c>
      <c r="Z3526">
        <v>333</v>
      </c>
    </row>
    <row r="3527" spans="1:26">
      <c r="A3527" s="1">
        <v>3525</v>
      </c>
      <c r="B3527" t="str">
        <f>HYPERLINK("https://bugs.eclipse.org/bugs/show_bug.cgi?id=195834", "195834")</f>
        <v>195834</v>
      </c>
      <c r="C3527" t="s">
        <v>149</v>
      </c>
      <c r="D3527" t="s">
        <v>10</v>
      </c>
      <c r="E3527" t="s">
        <v>12</v>
      </c>
      <c r="F3527" t="s">
        <v>150</v>
      </c>
      <c r="G3527" t="s">
        <v>16231</v>
      </c>
      <c r="H3527" t="s">
        <v>16232</v>
      </c>
      <c r="L3527" t="s">
        <v>16233</v>
      </c>
      <c r="N3527" t="s">
        <v>16233</v>
      </c>
      <c r="T3527" t="s">
        <v>16234</v>
      </c>
      <c r="U3527" t="s">
        <v>16235</v>
      </c>
      <c r="V3527" t="s">
        <v>16236</v>
      </c>
      <c r="W3527" t="s">
        <v>851</v>
      </c>
      <c r="X3527" t="s">
        <v>16237</v>
      </c>
      <c r="Y3527">
        <v>0</v>
      </c>
      <c r="Z3527">
        <v>1035</v>
      </c>
    </row>
    <row r="3528" spans="1:26">
      <c r="A3528" s="1">
        <v>3526</v>
      </c>
      <c r="B3528" t="str">
        <f>HYPERLINK("https://bugs.eclipse.org/bugs/show_bug.cgi?id=195878", "195878")</f>
        <v>195878</v>
      </c>
      <c r="C3528" t="s">
        <v>149</v>
      </c>
      <c r="D3528" t="s">
        <v>10</v>
      </c>
      <c r="E3528" t="s">
        <v>12</v>
      </c>
      <c r="F3528" t="s">
        <v>26</v>
      </c>
      <c r="L3528" t="s">
        <v>16238</v>
      </c>
      <c r="N3528" t="s">
        <v>16238</v>
      </c>
      <c r="T3528" t="s">
        <v>16239</v>
      </c>
      <c r="U3528" t="s">
        <v>16240</v>
      </c>
      <c r="V3528" t="s">
        <v>16238</v>
      </c>
      <c r="W3528" t="s">
        <v>49</v>
      </c>
      <c r="X3528" t="s">
        <v>16241</v>
      </c>
      <c r="Y3528">
        <v>1</v>
      </c>
      <c r="Z3528">
        <v>8</v>
      </c>
    </row>
    <row r="3529" spans="1:26">
      <c r="A3529" s="1">
        <v>3527</v>
      </c>
      <c r="B3529" t="str">
        <f>HYPERLINK("https://bugs.eclipse.org/bugs/show_bug.cgi?id=196069", "196069")</f>
        <v>196069</v>
      </c>
      <c r="C3529" t="s">
        <v>16242</v>
      </c>
      <c r="D3529" t="s">
        <v>10</v>
      </c>
      <c r="E3529" t="s">
        <v>15</v>
      </c>
      <c r="F3529" t="s">
        <v>26</v>
      </c>
      <c r="L3529" t="s">
        <v>16243</v>
      </c>
      <c r="Q3529" t="s">
        <v>16243</v>
      </c>
      <c r="T3529" t="s">
        <v>16244</v>
      </c>
      <c r="U3529" t="s">
        <v>16243</v>
      </c>
      <c r="V3529" t="s">
        <v>16243</v>
      </c>
      <c r="W3529" t="s">
        <v>49</v>
      </c>
      <c r="X3529" t="s">
        <v>16245</v>
      </c>
      <c r="Y3529">
        <v>1</v>
      </c>
      <c r="Z3529">
        <v>1</v>
      </c>
    </row>
    <row r="3530" spans="1:26">
      <c r="A3530" s="1">
        <v>3528</v>
      </c>
      <c r="B3530" t="str">
        <f>HYPERLINK("https://bugs.eclipse.org/bugs/show_bug.cgi?id=196093", "196093")</f>
        <v>196093</v>
      </c>
      <c r="C3530" t="s">
        <v>35</v>
      </c>
      <c r="D3530" t="s">
        <v>11</v>
      </c>
      <c r="E3530" t="s">
        <v>12</v>
      </c>
      <c r="F3530" t="s">
        <v>26</v>
      </c>
      <c r="L3530" t="s">
        <v>16246</v>
      </c>
      <c r="M3530" t="s">
        <v>16247</v>
      </c>
      <c r="N3530" t="s">
        <v>16246</v>
      </c>
      <c r="T3530" t="s">
        <v>16248</v>
      </c>
      <c r="U3530" t="s">
        <v>16249</v>
      </c>
      <c r="V3530" t="s">
        <v>16247</v>
      </c>
      <c r="W3530" t="s">
        <v>143</v>
      </c>
      <c r="X3530" t="s">
        <v>16250</v>
      </c>
      <c r="Y3530">
        <v>0</v>
      </c>
      <c r="Z3530">
        <v>58</v>
      </c>
    </row>
    <row r="3531" spans="1:26">
      <c r="A3531" s="1">
        <v>3529</v>
      </c>
      <c r="B3531" t="str">
        <f>HYPERLINK("https://bugs.eclipse.org/bugs/show_bug.cgi?id=196300", "196300")</f>
        <v>196300</v>
      </c>
      <c r="C3531" t="s">
        <v>149</v>
      </c>
      <c r="D3531" t="s">
        <v>10</v>
      </c>
      <c r="E3531" t="s">
        <v>12</v>
      </c>
      <c r="F3531" t="s">
        <v>26</v>
      </c>
      <c r="L3531" t="s">
        <v>16251</v>
      </c>
      <c r="N3531" t="s">
        <v>16251</v>
      </c>
      <c r="T3531" t="s">
        <v>16252</v>
      </c>
      <c r="U3531" t="s">
        <v>16253</v>
      </c>
      <c r="V3531" t="s">
        <v>16251</v>
      </c>
      <c r="W3531" t="s">
        <v>851</v>
      </c>
      <c r="X3531" t="s">
        <v>16254</v>
      </c>
      <c r="Y3531">
        <v>33</v>
      </c>
      <c r="Z3531">
        <v>33</v>
      </c>
    </row>
    <row r="3532" spans="1:26">
      <c r="A3532" s="1">
        <v>3530</v>
      </c>
      <c r="B3532" t="str">
        <f>HYPERLINK("https://bugs.eclipse.org/bugs/show_bug.cgi?id=196307", "196307")</f>
        <v>196307</v>
      </c>
      <c r="C3532" t="s">
        <v>35</v>
      </c>
      <c r="D3532" t="s">
        <v>11</v>
      </c>
      <c r="E3532" t="s">
        <v>12</v>
      </c>
      <c r="F3532" t="s">
        <v>26</v>
      </c>
      <c r="G3532" t="s">
        <v>16255</v>
      </c>
      <c r="L3532" t="s">
        <v>16256</v>
      </c>
      <c r="M3532" t="s">
        <v>16257</v>
      </c>
      <c r="N3532" t="s">
        <v>16256</v>
      </c>
      <c r="T3532" t="s">
        <v>16258</v>
      </c>
      <c r="U3532" t="s">
        <v>16259</v>
      </c>
      <c r="V3532" t="s">
        <v>16257</v>
      </c>
      <c r="W3532" t="s">
        <v>1954</v>
      </c>
      <c r="X3532" t="s">
        <v>16260</v>
      </c>
      <c r="Y3532">
        <v>25</v>
      </c>
      <c r="Z3532">
        <v>26</v>
      </c>
    </row>
    <row r="3533" spans="1:26">
      <c r="A3533" s="1">
        <v>3531</v>
      </c>
      <c r="B3533" t="str">
        <f>HYPERLINK("https://bugs.eclipse.org/bugs/show_bug.cgi?id=196334", "196334")</f>
        <v>196334</v>
      </c>
      <c r="C3533" t="s">
        <v>149</v>
      </c>
      <c r="D3533" t="s">
        <v>10</v>
      </c>
      <c r="E3533" t="s">
        <v>12</v>
      </c>
      <c r="F3533" t="s">
        <v>26</v>
      </c>
      <c r="L3533" t="s">
        <v>16261</v>
      </c>
      <c r="N3533" t="s">
        <v>16261</v>
      </c>
      <c r="T3533" t="s">
        <v>16262</v>
      </c>
      <c r="U3533" t="s">
        <v>16261</v>
      </c>
      <c r="V3533" t="s">
        <v>16261</v>
      </c>
      <c r="W3533" t="s">
        <v>49</v>
      </c>
      <c r="X3533" t="s">
        <v>16263</v>
      </c>
      <c r="Y3533">
        <v>0</v>
      </c>
      <c r="Z3533">
        <v>0</v>
      </c>
    </row>
    <row r="3534" spans="1:26">
      <c r="A3534" s="1">
        <v>3532</v>
      </c>
      <c r="B3534" t="str">
        <f>HYPERLINK("https://bugs.eclipse.org/bugs/show_bug.cgi?id=196628", "196628")</f>
        <v>196628</v>
      </c>
      <c r="C3534" t="s">
        <v>191</v>
      </c>
      <c r="D3534" t="s">
        <v>192</v>
      </c>
      <c r="E3534" t="s">
        <v>14</v>
      </c>
      <c r="F3534" t="s">
        <v>26</v>
      </c>
      <c r="P3534" t="s">
        <v>16264</v>
      </c>
      <c r="T3534" t="s">
        <v>16265</v>
      </c>
      <c r="U3534" t="s">
        <v>16266</v>
      </c>
      <c r="V3534" t="s">
        <v>16264</v>
      </c>
      <c r="W3534" t="s">
        <v>65</v>
      </c>
      <c r="X3534" t="s">
        <v>16267</v>
      </c>
      <c r="Y3534">
        <v>0</v>
      </c>
      <c r="Z3534">
        <v>4630</v>
      </c>
    </row>
    <row r="3535" spans="1:26">
      <c r="A3535" s="1">
        <v>3533</v>
      </c>
      <c r="B3535" t="str">
        <f>HYPERLINK("https://bugs.eclipse.org/bugs/show_bug.cgi?id=196630", "196630")</f>
        <v>196630</v>
      </c>
      <c r="C3535" t="s">
        <v>149</v>
      </c>
      <c r="D3535" t="s">
        <v>10</v>
      </c>
      <c r="E3535" t="s">
        <v>12</v>
      </c>
      <c r="F3535" t="s">
        <v>26</v>
      </c>
      <c r="L3535" t="s">
        <v>16268</v>
      </c>
      <c r="N3535" t="s">
        <v>16268</v>
      </c>
      <c r="T3535" t="s">
        <v>16269</v>
      </c>
      <c r="U3535" t="s">
        <v>16270</v>
      </c>
      <c r="V3535" t="s">
        <v>16268</v>
      </c>
      <c r="W3535" t="s">
        <v>49</v>
      </c>
      <c r="X3535" t="s">
        <v>16271</v>
      </c>
      <c r="Y3535">
        <v>0</v>
      </c>
      <c r="Z3535">
        <v>0</v>
      </c>
    </row>
    <row r="3536" spans="1:26">
      <c r="A3536" s="1">
        <v>3534</v>
      </c>
      <c r="B3536" t="str">
        <f>HYPERLINK("https://bugs.eclipse.org/bugs/show_bug.cgi?id=196631", "196631")</f>
        <v>196631</v>
      </c>
      <c r="C3536" t="s">
        <v>149</v>
      </c>
      <c r="D3536" t="s">
        <v>10</v>
      </c>
      <c r="E3536" t="s">
        <v>12</v>
      </c>
      <c r="F3536" t="s">
        <v>26</v>
      </c>
      <c r="L3536" t="s">
        <v>16272</v>
      </c>
      <c r="N3536" t="s">
        <v>16272</v>
      </c>
      <c r="T3536" t="s">
        <v>16273</v>
      </c>
      <c r="U3536" t="s">
        <v>16274</v>
      </c>
      <c r="V3536" t="s">
        <v>16272</v>
      </c>
      <c r="W3536" t="s">
        <v>49</v>
      </c>
      <c r="X3536" t="s">
        <v>16275</v>
      </c>
      <c r="Y3536">
        <v>0</v>
      </c>
      <c r="Z3536">
        <v>0</v>
      </c>
    </row>
    <row r="3537" spans="1:26">
      <c r="A3537" s="1">
        <v>3535</v>
      </c>
      <c r="B3537" t="str">
        <f>HYPERLINK("https://bugs.eclipse.org/bugs/show_bug.cgi?id=196635", "196635")</f>
        <v>196635</v>
      </c>
      <c r="C3537" t="s">
        <v>35</v>
      </c>
      <c r="D3537" t="s">
        <v>11</v>
      </c>
      <c r="E3537" t="s">
        <v>12</v>
      </c>
      <c r="F3537" t="s">
        <v>26</v>
      </c>
      <c r="G3537" t="s">
        <v>16276</v>
      </c>
      <c r="L3537" t="s">
        <v>16277</v>
      </c>
      <c r="M3537" t="s">
        <v>16278</v>
      </c>
      <c r="N3537" t="s">
        <v>16277</v>
      </c>
      <c r="T3537" t="s">
        <v>16279</v>
      </c>
      <c r="U3537" t="s">
        <v>16280</v>
      </c>
      <c r="V3537" t="s">
        <v>16281</v>
      </c>
      <c r="W3537" t="s">
        <v>49</v>
      </c>
      <c r="X3537" t="s">
        <v>16282</v>
      </c>
      <c r="Y3537">
        <v>1</v>
      </c>
      <c r="Z3537">
        <v>42</v>
      </c>
    </row>
    <row r="3538" spans="1:26">
      <c r="A3538" s="1">
        <v>3536</v>
      </c>
      <c r="B3538" t="str">
        <f>HYPERLINK("https://bugs.eclipse.org/bugs/show_bug.cgi?id=196743", "196743")</f>
        <v>196743</v>
      </c>
      <c r="C3538" t="s">
        <v>10486</v>
      </c>
      <c r="D3538" t="s">
        <v>10</v>
      </c>
      <c r="E3538" t="s">
        <v>15</v>
      </c>
      <c r="F3538" t="s">
        <v>26</v>
      </c>
      <c r="L3538" t="s">
        <v>16283</v>
      </c>
      <c r="Q3538" t="s">
        <v>16283</v>
      </c>
      <c r="T3538" t="s">
        <v>16284</v>
      </c>
      <c r="U3538" t="s">
        <v>16283</v>
      </c>
      <c r="V3538" t="s">
        <v>16283</v>
      </c>
      <c r="W3538" t="s">
        <v>49</v>
      </c>
      <c r="X3538" t="s">
        <v>16285</v>
      </c>
      <c r="Y3538">
        <v>1</v>
      </c>
      <c r="Z3538">
        <v>1</v>
      </c>
    </row>
    <row r="3539" spans="1:26">
      <c r="A3539" s="1">
        <v>3537</v>
      </c>
      <c r="B3539" t="str">
        <f>HYPERLINK("https://bugs.eclipse.org/bugs/show_bug.cgi?id=196753", "196753")</f>
        <v>196753</v>
      </c>
      <c r="C3539" t="s">
        <v>56</v>
      </c>
      <c r="D3539" t="s">
        <v>10</v>
      </c>
      <c r="E3539" t="s">
        <v>14</v>
      </c>
      <c r="F3539" t="s">
        <v>26</v>
      </c>
      <c r="L3539" t="s">
        <v>16286</v>
      </c>
      <c r="P3539" t="s">
        <v>16286</v>
      </c>
      <c r="T3539" t="s">
        <v>16287</v>
      </c>
      <c r="U3539" t="s">
        <v>16286</v>
      </c>
      <c r="V3539" t="s">
        <v>16288</v>
      </c>
      <c r="W3539" t="s">
        <v>16289</v>
      </c>
      <c r="X3539" t="s">
        <v>16290</v>
      </c>
      <c r="Y3539">
        <v>1</v>
      </c>
      <c r="Z3539">
        <v>6</v>
      </c>
    </row>
    <row r="3540" spans="1:26">
      <c r="A3540" s="1">
        <v>3538</v>
      </c>
      <c r="B3540" t="str">
        <f>HYPERLINK("https://bugs.eclipse.org/bugs/show_bug.cgi?id=196837", "196837")</f>
        <v>196837</v>
      </c>
      <c r="C3540" t="s">
        <v>56</v>
      </c>
      <c r="D3540" t="s">
        <v>10</v>
      </c>
      <c r="E3540" t="s">
        <v>14</v>
      </c>
      <c r="F3540" t="s">
        <v>26</v>
      </c>
      <c r="L3540" t="s">
        <v>16291</v>
      </c>
      <c r="P3540" t="s">
        <v>16291</v>
      </c>
      <c r="T3540" t="s">
        <v>16292</v>
      </c>
      <c r="U3540" t="s">
        <v>16291</v>
      </c>
      <c r="V3540" t="s">
        <v>16291</v>
      </c>
      <c r="W3540" t="s">
        <v>49</v>
      </c>
      <c r="X3540" t="s">
        <v>16293</v>
      </c>
      <c r="Y3540">
        <v>1</v>
      </c>
      <c r="Z3540">
        <v>1</v>
      </c>
    </row>
    <row r="3541" spans="1:26">
      <c r="A3541" s="1">
        <v>3539</v>
      </c>
      <c r="B3541" t="str">
        <f>HYPERLINK("https://bugs.eclipse.org/bugs/show_bug.cgi?id=197142", "197142")</f>
        <v>197142</v>
      </c>
      <c r="C3541" t="s">
        <v>149</v>
      </c>
      <c r="D3541" t="s">
        <v>10</v>
      </c>
      <c r="E3541" t="s">
        <v>12</v>
      </c>
      <c r="F3541" t="s">
        <v>26</v>
      </c>
      <c r="L3541" t="s">
        <v>16294</v>
      </c>
      <c r="N3541" t="s">
        <v>16294</v>
      </c>
      <c r="T3541" t="s">
        <v>16295</v>
      </c>
      <c r="U3541" t="s">
        <v>16296</v>
      </c>
      <c r="V3541" t="s">
        <v>16294</v>
      </c>
      <c r="W3541" t="s">
        <v>1954</v>
      </c>
      <c r="X3541" t="s">
        <v>16297</v>
      </c>
      <c r="Y3541">
        <v>0</v>
      </c>
      <c r="Z3541">
        <v>0</v>
      </c>
    </row>
    <row r="3542" spans="1:26">
      <c r="A3542" s="1">
        <v>3540</v>
      </c>
      <c r="B3542" t="str">
        <f>HYPERLINK("https://bugs.eclipse.org/bugs/show_bug.cgi?id=197204", "197204")</f>
        <v>197204</v>
      </c>
      <c r="C3542" t="s">
        <v>191</v>
      </c>
      <c r="D3542" t="s">
        <v>192</v>
      </c>
      <c r="E3542" t="s">
        <v>14</v>
      </c>
      <c r="F3542" t="s">
        <v>26</v>
      </c>
      <c r="T3542" t="s">
        <v>16298</v>
      </c>
      <c r="U3542" t="s">
        <v>16299</v>
      </c>
      <c r="V3542" t="s">
        <v>16300</v>
      </c>
      <c r="W3542" t="s">
        <v>65</v>
      </c>
      <c r="X3542" t="s">
        <v>16301</v>
      </c>
      <c r="Y3542">
        <v>0</v>
      </c>
      <c r="Z3542">
        <v>4313</v>
      </c>
    </row>
    <row r="3543" spans="1:26">
      <c r="A3543" s="1">
        <v>3541</v>
      </c>
      <c r="B3543" t="str">
        <f>HYPERLINK("https://bugs.eclipse.org/bugs/show_bug.cgi?id=197213", "197213")</f>
        <v>197213</v>
      </c>
      <c r="C3543" t="s">
        <v>4692</v>
      </c>
      <c r="D3543" t="s">
        <v>4692</v>
      </c>
      <c r="F3543" t="s">
        <v>26</v>
      </c>
      <c r="T3543" t="s">
        <v>16302</v>
      </c>
      <c r="U3543" t="s">
        <v>16303</v>
      </c>
      <c r="V3543" t="s">
        <v>16304</v>
      </c>
      <c r="W3543" t="s">
        <v>65</v>
      </c>
      <c r="X3543" t="s">
        <v>16305</v>
      </c>
      <c r="Y3543">
        <v>7</v>
      </c>
    </row>
    <row r="3544" spans="1:26">
      <c r="A3544" s="1">
        <v>3542</v>
      </c>
      <c r="B3544" t="str">
        <f>HYPERLINK("https://bugs.eclipse.org/bugs/show_bug.cgi?id=197464", "197464")</f>
        <v>197464</v>
      </c>
      <c r="C3544" t="s">
        <v>88</v>
      </c>
      <c r="D3544" t="s">
        <v>10</v>
      </c>
      <c r="E3544" t="s">
        <v>13</v>
      </c>
      <c r="F3544" t="s">
        <v>26</v>
      </c>
      <c r="L3544" t="s">
        <v>16306</v>
      </c>
      <c r="O3544" t="s">
        <v>16306</v>
      </c>
      <c r="T3544" t="s">
        <v>16307</v>
      </c>
      <c r="U3544" t="s">
        <v>16306</v>
      </c>
      <c r="V3544" t="s">
        <v>16306</v>
      </c>
      <c r="W3544" t="s">
        <v>49</v>
      </c>
      <c r="X3544" t="s">
        <v>16308</v>
      </c>
      <c r="Y3544">
        <v>0</v>
      </c>
      <c r="Z3544">
        <v>0</v>
      </c>
    </row>
    <row r="3545" spans="1:26">
      <c r="A3545" s="1">
        <v>3543</v>
      </c>
      <c r="B3545" t="str">
        <f>HYPERLINK("https://bugs.eclipse.org/bugs/show_bug.cgi?id=197481", "197481")</f>
        <v>197481</v>
      </c>
      <c r="C3545" t="s">
        <v>149</v>
      </c>
      <c r="D3545" t="s">
        <v>10</v>
      </c>
      <c r="E3545" t="s">
        <v>12</v>
      </c>
      <c r="F3545" t="s">
        <v>26</v>
      </c>
      <c r="L3545" t="s">
        <v>16309</v>
      </c>
      <c r="N3545" t="s">
        <v>16309</v>
      </c>
      <c r="T3545" t="s">
        <v>16310</v>
      </c>
      <c r="U3545" t="s">
        <v>16311</v>
      </c>
      <c r="V3545" t="s">
        <v>16312</v>
      </c>
      <c r="W3545" t="s">
        <v>1954</v>
      </c>
      <c r="X3545" t="s">
        <v>16313</v>
      </c>
      <c r="Y3545">
        <v>0</v>
      </c>
      <c r="Z3545">
        <v>0</v>
      </c>
    </row>
    <row r="3546" spans="1:26">
      <c r="A3546" s="1">
        <v>3544</v>
      </c>
      <c r="B3546" t="str">
        <f>HYPERLINK("https://bugs.eclipse.org/bugs/show_bug.cgi?id=197483", "197483")</f>
        <v>197483</v>
      </c>
      <c r="C3546" t="s">
        <v>149</v>
      </c>
      <c r="D3546" t="s">
        <v>10</v>
      </c>
      <c r="E3546" t="s">
        <v>12</v>
      </c>
      <c r="F3546" t="s">
        <v>26</v>
      </c>
      <c r="L3546" t="s">
        <v>16314</v>
      </c>
      <c r="N3546" t="s">
        <v>16314</v>
      </c>
      <c r="T3546" t="s">
        <v>16315</v>
      </c>
      <c r="U3546" t="s">
        <v>16316</v>
      </c>
      <c r="V3546" t="s">
        <v>16314</v>
      </c>
      <c r="W3546" t="s">
        <v>1954</v>
      </c>
      <c r="X3546" t="s">
        <v>16317</v>
      </c>
      <c r="Y3546">
        <v>0</v>
      </c>
      <c r="Z3546">
        <v>0</v>
      </c>
    </row>
    <row r="3547" spans="1:26">
      <c r="A3547" s="1">
        <v>3545</v>
      </c>
      <c r="B3547" t="str">
        <f>HYPERLINK("https://bugs.eclipse.org/bugs/show_bug.cgi?id=197485", "197485")</f>
        <v>197485</v>
      </c>
      <c r="C3547" t="s">
        <v>191</v>
      </c>
      <c r="D3547" t="s">
        <v>192</v>
      </c>
      <c r="E3547" t="s">
        <v>14</v>
      </c>
      <c r="F3547" t="s">
        <v>26</v>
      </c>
      <c r="P3547" t="s">
        <v>16318</v>
      </c>
      <c r="T3547" t="s">
        <v>16319</v>
      </c>
      <c r="U3547" t="s">
        <v>16320</v>
      </c>
      <c r="V3547" t="s">
        <v>16318</v>
      </c>
      <c r="W3547" t="s">
        <v>65</v>
      </c>
      <c r="X3547" t="s">
        <v>16321</v>
      </c>
      <c r="Y3547">
        <v>0</v>
      </c>
      <c r="Z3547">
        <v>4636</v>
      </c>
    </row>
    <row r="3548" spans="1:26">
      <c r="A3548" s="1">
        <v>3546</v>
      </c>
      <c r="B3548" t="str">
        <f>HYPERLINK("https://bugs.eclipse.org/bugs/show_bug.cgi?id=197663", "197663")</f>
        <v>197663</v>
      </c>
      <c r="C3548" t="s">
        <v>191</v>
      </c>
      <c r="D3548" t="s">
        <v>192</v>
      </c>
      <c r="E3548" t="s">
        <v>14</v>
      </c>
      <c r="F3548" t="s">
        <v>26</v>
      </c>
      <c r="P3548" t="s">
        <v>16322</v>
      </c>
      <c r="T3548" t="s">
        <v>16323</v>
      </c>
      <c r="U3548" t="s">
        <v>16324</v>
      </c>
      <c r="V3548" t="s">
        <v>16322</v>
      </c>
      <c r="W3548" t="s">
        <v>65</v>
      </c>
      <c r="X3548" t="s">
        <v>16325</v>
      </c>
      <c r="Y3548">
        <v>0</v>
      </c>
      <c r="Z3548">
        <v>4641</v>
      </c>
    </row>
    <row r="3549" spans="1:26">
      <c r="A3549" s="1">
        <v>3547</v>
      </c>
      <c r="B3549" t="str">
        <f>HYPERLINK("https://bugs.eclipse.org/bugs/show_bug.cgi?id=197687", "197687")</f>
        <v>197687</v>
      </c>
      <c r="C3549" t="s">
        <v>191</v>
      </c>
      <c r="D3549" t="s">
        <v>192</v>
      </c>
      <c r="E3549" t="s">
        <v>14</v>
      </c>
      <c r="F3549" t="s">
        <v>26</v>
      </c>
      <c r="P3549" t="s">
        <v>16326</v>
      </c>
      <c r="T3549" t="s">
        <v>16327</v>
      </c>
      <c r="U3549" t="s">
        <v>16328</v>
      </c>
      <c r="V3549" t="s">
        <v>16326</v>
      </c>
      <c r="W3549" t="s">
        <v>65</v>
      </c>
      <c r="X3549" t="s">
        <v>16329</v>
      </c>
      <c r="Y3549">
        <v>0</v>
      </c>
      <c r="Z3549">
        <v>4600.041666666667</v>
      </c>
    </row>
    <row r="3550" spans="1:26">
      <c r="A3550" s="1">
        <v>3548</v>
      </c>
      <c r="B3550" t="str">
        <f>HYPERLINK("https://bugs.eclipse.org/bugs/show_bug.cgi?id=197722", "197722")</f>
        <v>197722</v>
      </c>
      <c r="C3550" t="s">
        <v>35</v>
      </c>
      <c r="D3550" t="s">
        <v>11</v>
      </c>
      <c r="E3550" t="s">
        <v>12</v>
      </c>
      <c r="F3550" t="s">
        <v>26</v>
      </c>
      <c r="L3550" t="s">
        <v>16330</v>
      </c>
      <c r="M3550" t="s">
        <v>16331</v>
      </c>
      <c r="N3550" t="s">
        <v>16330</v>
      </c>
      <c r="S3550" t="s">
        <v>16332</v>
      </c>
      <c r="T3550" t="s">
        <v>16333</v>
      </c>
      <c r="U3550" t="s">
        <v>16334</v>
      </c>
      <c r="V3550" t="s">
        <v>16331</v>
      </c>
      <c r="W3550" t="s">
        <v>143</v>
      </c>
      <c r="X3550" t="s">
        <v>16335</v>
      </c>
      <c r="Y3550">
        <v>0</v>
      </c>
      <c r="Z3550">
        <v>44</v>
      </c>
    </row>
    <row r="3551" spans="1:26">
      <c r="A3551" s="1">
        <v>3549</v>
      </c>
      <c r="B3551" t="str">
        <f>HYPERLINK("https://bugs.eclipse.org/bugs/show_bug.cgi?id=197923", "197923")</f>
        <v>197923</v>
      </c>
      <c r="C3551" t="s">
        <v>149</v>
      </c>
      <c r="D3551" t="s">
        <v>10</v>
      </c>
      <c r="E3551" t="s">
        <v>12</v>
      </c>
      <c r="F3551" t="s">
        <v>26</v>
      </c>
      <c r="L3551" t="s">
        <v>16336</v>
      </c>
      <c r="N3551" t="s">
        <v>16336</v>
      </c>
      <c r="T3551" t="s">
        <v>16337</v>
      </c>
      <c r="U3551" t="s">
        <v>16338</v>
      </c>
      <c r="V3551" t="s">
        <v>16336</v>
      </c>
      <c r="W3551" t="s">
        <v>49</v>
      </c>
      <c r="X3551" t="s">
        <v>16339</v>
      </c>
      <c r="Y3551">
        <v>0</v>
      </c>
      <c r="Z3551">
        <v>5</v>
      </c>
    </row>
    <row r="3552" spans="1:26">
      <c r="A3552" s="1">
        <v>3550</v>
      </c>
      <c r="B3552" t="str">
        <f>HYPERLINK("https://bugs.eclipse.org/bugs/show_bug.cgi?id=197933", "197933")</f>
        <v>197933</v>
      </c>
      <c r="C3552" t="s">
        <v>149</v>
      </c>
      <c r="D3552" t="s">
        <v>10</v>
      </c>
      <c r="E3552" t="s">
        <v>12</v>
      </c>
      <c r="F3552" t="s">
        <v>26</v>
      </c>
      <c r="G3552" t="s">
        <v>16340</v>
      </c>
      <c r="L3552" t="s">
        <v>16341</v>
      </c>
      <c r="N3552" t="s">
        <v>16341</v>
      </c>
      <c r="T3552" t="s">
        <v>16342</v>
      </c>
      <c r="U3552" t="s">
        <v>16343</v>
      </c>
      <c r="V3552" t="s">
        <v>16341</v>
      </c>
      <c r="W3552" t="s">
        <v>49</v>
      </c>
      <c r="X3552" t="s">
        <v>16344</v>
      </c>
      <c r="Y3552">
        <v>5</v>
      </c>
      <c r="Z3552">
        <v>5</v>
      </c>
    </row>
    <row r="3553" spans="1:26">
      <c r="A3553" s="1">
        <v>3551</v>
      </c>
      <c r="B3553" t="str">
        <f>HYPERLINK("https://bugs.eclipse.org/bugs/show_bug.cgi?id=197951", "197951")</f>
        <v>197951</v>
      </c>
      <c r="C3553" t="s">
        <v>35</v>
      </c>
      <c r="D3553" t="s">
        <v>11</v>
      </c>
      <c r="E3553" t="s">
        <v>12</v>
      </c>
      <c r="F3553" t="s">
        <v>26</v>
      </c>
      <c r="L3553" t="s">
        <v>16345</v>
      </c>
      <c r="M3553" t="s">
        <v>16346</v>
      </c>
      <c r="N3553" t="s">
        <v>16345</v>
      </c>
      <c r="T3553" t="s">
        <v>16347</v>
      </c>
      <c r="U3553" t="s">
        <v>16348</v>
      </c>
      <c r="V3553" t="s">
        <v>16346</v>
      </c>
      <c r="W3553" t="s">
        <v>1954</v>
      </c>
      <c r="X3553" t="s">
        <v>16349</v>
      </c>
      <c r="Y3553">
        <v>5</v>
      </c>
      <c r="Z3553">
        <v>42</v>
      </c>
    </row>
    <row r="3554" spans="1:26">
      <c r="A3554" s="1">
        <v>3552</v>
      </c>
      <c r="B3554" t="str">
        <f>HYPERLINK("https://bugs.eclipse.org/bugs/show_bug.cgi?id=198026", "198026")</f>
        <v>198026</v>
      </c>
      <c r="C3554" t="s">
        <v>8572</v>
      </c>
      <c r="D3554" t="s">
        <v>10</v>
      </c>
      <c r="E3554" t="s">
        <v>15</v>
      </c>
      <c r="F3554" t="s">
        <v>26</v>
      </c>
      <c r="L3554" t="s">
        <v>16350</v>
      </c>
      <c r="Q3554" t="s">
        <v>16350</v>
      </c>
      <c r="T3554" t="s">
        <v>16351</v>
      </c>
      <c r="U3554" t="s">
        <v>16350</v>
      </c>
      <c r="V3554" t="s">
        <v>16350</v>
      </c>
      <c r="W3554" t="s">
        <v>49</v>
      </c>
      <c r="X3554" t="s">
        <v>16352</v>
      </c>
      <c r="Y3554">
        <v>4</v>
      </c>
      <c r="Z3554">
        <v>4</v>
      </c>
    </row>
    <row r="3555" spans="1:26">
      <c r="A3555" s="1">
        <v>3553</v>
      </c>
      <c r="B3555" t="str">
        <f>HYPERLINK("https://bugs.eclipse.org/bugs/show_bug.cgi?id=198103", "198103")</f>
        <v>198103</v>
      </c>
      <c r="C3555" t="s">
        <v>16353</v>
      </c>
      <c r="D3555" t="s">
        <v>10</v>
      </c>
      <c r="E3555" t="s">
        <v>15</v>
      </c>
      <c r="F3555" t="s">
        <v>26</v>
      </c>
      <c r="L3555" t="s">
        <v>16354</v>
      </c>
      <c r="Q3555" t="s">
        <v>16354</v>
      </c>
      <c r="T3555" t="s">
        <v>16355</v>
      </c>
      <c r="U3555" t="s">
        <v>16356</v>
      </c>
      <c r="V3555" t="s">
        <v>16354</v>
      </c>
      <c r="W3555" t="s">
        <v>1954</v>
      </c>
      <c r="X3555" t="s">
        <v>16357</v>
      </c>
      <c r="Y3555">
        <v>0</v>
      </c>
      <c r="Z3555">
        <v>3</v>
      </c>
    </row>
    <row r="3556" spans="1:26">
      <c r="A3556" s="1">
        <v>3554</v>
      </c>
      <c r="B3556" t="str">
        <f>HYPERLINK("https://bugs.eclipse.org/bugs/show_bug.cgi?id=198279", "198279")</f>
        <v>198279</v>
      </c>
      <c r="C3556" t="s">
        <v>56</v>
      </c>
      <c r="D3556" t="s">
        <v>10</v>
      </c>
      <c r="E3556" t="s">
        <v>14</v>
      </c>
      <c r="F3556" t="s">
        <v>26</v>
      </c>
      <c r="L3556" t="s">
        <v>16358</v>
      </c>
      <c r="P3556" t="s">
        <v>16358</v>
      </c>
      <c r="T3556" t="s">
        <v>16359</v>
      </c>
      <c r="U3556" t="s">
        <v>16360</v>
      </c>
      <c r="V3556" t="s">
        <v>16358</v>
      </c>
      <c r="W3556" t="s">
        <v>851</v>
      </c>
      <c r="X3556" t="s">
        <v>16361</v>
      </c>
      <c r="Y3556">
        <v>1</v>
      </c>
      <c r="Z3556">
        <v>32</v>
      </c>
    </row>
    <row r="3557" spans="1:26">
      <c r="A3557" s="1">
        <v>3555</v>
      </c>
      <c r="B3557" t="str">
        <f>HYPERLINK("https://bugs.eclipse.org/bugs/show_bug.cgi?id=198281", "198281")</f>
        <v>198281</v>
      </c>
      <c r="C3557" t="s">
        <v>16083</v>
      </c>
      <c r="D3557" t="s">
        <v>10</v>
      </c>
      <c r="E3557" t="s">
        <v>15</v>
      </c>
      <c r="F3557" t="s">
        <v>26</v>
      </c>
      <c r="L3557" t="s">
        <v>14697</v>
      </c>
      <c r="Q3557" t="s">
        <v>14697</v>
      </c>
      <c r="T3557" t="s">
        <v>16362</v>
      </c>
      <c r="U3557" t="s">
        <v>16363</v>
      </c>
      <c r="V3557" t="s">
        <v>16364</v>
      </c>
      <c r="W3557" t="s">
        <v>49</v>
      </c>
      <c r="X3557" t="s">
        <v>16365</v>
      </c>
      <c r="Y3557">
        <v>1</v>
      </c>
      <c r="Z3557">
        <v>290</v>
      </c>
    </row>
    <row r="3558" spans="1:26">
      <c r="A3558" s="1">
        <v>3556</v>
      </c>
      <c r="B3558" t="str">
        <f>HYPERLINK("https://bugs.eclipse.org/bugs/show_bug.cgi?id=198375", "198375")</f>
        <v>198375</v>
      </c>
      <c r="C3558" t="s">
        <v>149</v>
      </c>
      <c r="D3558" t="s">
        <v>10</v>
      </c>
      <c r="E3558" t="s">
        <v>12</v>
      </c>
      <c r="F3558" t="s">
        <v>26</v>
      </c>
      <c r="L3558" t="s">
        <v>16366</v>
      </c>
      <c r="N3558" t="s">
        <v>16366</v>
      </c>
      <c r="T3558" t="s">
        <v>16367</v>
      </c>
      <c r="U3558" t="s">
        <v>16368</v>
      </c>
      <c r="V3558" t="s">
        <v>16366</v>
      </c>
      <c r="W3558" t="s">
        <v>49</v>
      </c>
      <c r="X3558" t="s">
        <v>16369</v>
      </c>
      <c r="Y3558">
        <v>0</v>
      </c>
      <c r="Z3558">
        <v>17</v>
      </c>
    </row>
    <row r="3559" spans="1:26">
      <c r="A3559" s="1">
        <v>3557</v>
      </c>
      <c r="B3559" t="str">
        <f>HYPERLINK("https://bugs.eclipse.org/bugs/show_bug.cgi?id=198391", "198391")</f>
        <v>198391</v>
      </c>
      <c r="C3559" t="s">
        <v>16370</v>
      </c>
      <c r="D3559" t="s">
        <v>192</v>
      </c>
      <c r="E3559" t="s">
        <v>15</v>
      </c>
      <c r="F3559" t="s">
        <v>26</v>
      </c>
      <c r="Q3559" t="s">
        <v>16371</v>
      </c>
      <c r="T3559" t="s">
        <v>16372</v>
      </c>
      <c r="U3559" t="s">
        <v>16371</v>
      </c>
      <c r="V3559" t="s">
        <v>16371</v>
      </c>
      <c r="W3559" t="s">
        <v>851</v>
      </c>
      <c r="X3559" t="s">
        <v>16373</v>
      </c>
      <c r="Y3559">
        <v>1025</v>
      </c>
      <c r="Z3559">
        <v>1025</v>
      </c>
    </row>
    <row r="3560" spans="1:26">
      <c r="A3560" s="1">
        <v>3558</v>
      </c>
      <c r="B3560" t="str">
        <f>HYPERLINK("https://bugs.eclipse.org/bugs/show_bug.cgi?id=198392", "198392")</f>
        <v>198392</v>
      </c>
      <c r="C3560" t="s">
        <v>149</v>
      </c>
      <c r="D3560" t="s">
        <v>10</v>
      </c>
      <c r="E3560" t="s">
        <v>12</v>
      </c>
      <c r="F3560" t="s">
        <v>26</v>
      </c>
      <c r="L3560" t="s">
        <v>16374</v>
      </c>
      <c r="N3560" t="s">
        <v>16374</v>
      </c>
      <c r="T3560" t="s">
        <v>16375</v>
      </c>
      <c r="U3560" t="s">
        <v>16374</v>
      </c>
      <c r="V3560" t="s">
        <v>16374</v>
      </c>
      <c r="W3560" t="s">
        <v>49</v>
      </c>
      <c r="X3560" t="s">
        <v>16376</v>
      </c>
      <c r="Y3560">
        <v>0</v>
      </c>
      <c r="Z3560">
        <v>0</v>
      </c>
    </row>
    <row r="3561" spans="1:26">
      <c r="A3561" s="1">
        <v>3559</v>
      </c>
      <c r="B3561" t="str">
        <f>HYPERLINK("https://bugs.eclipse.org/bugs/show_bug.cgi?id=198399", "198399")</f>
        <v>198399</v>
      </c>
      <c r="C3561" t="s">
        <v>16377</v>
      </c>
      <c r="D3561" t="s">
        <v>10</v>
      </c>
      <c r="E3561" t="s">
        <v>15</v>
      </c>
      <c r="F3561" t="s">
        <v>145</v>
      </c>
      <c r="L3561" t="s">
        <v>16259</v>
      </c>
      <c r="Q3561" t="s">
        <v>16259</v>
      </c>
      <c r="T3561" t="s">
        <v>16378</v>
      </c>
      <c r="U3561" t="s">
        <v>16379</v>
      </c>
      <c r="V3561" t="s">
        <v>16259</v>
      </c>
      <c r="W3561" t="s">
        <v>851</v>
      </c>
      <c r="X3561" t="s">
        <v>16380</v>
      </c>
      <c r="Y3561">
        <v>6</v>
      </c>
      <c r="Z3561">
        <v>6</v>
      </c>
    </row>
    <row r="3562" spans="1:26">
      <c r="A3562" s="1">
        <v>3560</v>
      </c>
      <c r="B3562" t="str">
        <f>HYPERLINK("https://bugs.eclipse.org/bugs/show_bug.cgi?id=198499", "198499")</f>
        <v>198499</v>
      </c>
      <c r="C3562" t="s">
        <v>4692</v>
      </c>
      <c r="D3562" t="s">
        <v>4692</v>
      </c>
      <c r="F3562" t="s">
        <v>26</v>
      </c>
      <c r="T3562" t="s">
        <v>16381</v>
      </c>
      <c r="U3562" t="s">
        <v>16382</v>
      </c>
      <c r="V3562" t="s">
        <v>16383</v>
      </c>
      <c r="W3562" t="s">
        <v>1954</v>
      </c>
      <c r="X3562" t="s">
        <v>16384</v>
      </c>
      <c r="Y3562">
        <v>0</v>
      </c>
    </row>
    <row r="3563" spans="1:26">
      <c r="A3563" s="1">
        <v>3561</v>
      </c>
      <c r="B3563" t="str">
        <f>HYPERLINK("https://bugs.eclipse.org/bugs/show_bug.cgi?id=198666", "198666")</f>
        <v>198666</v>
      </c>
      <c r="C3563" t="s">
        <v>25</v>
      </c>
      <c r="D3563" t="s">
        <v>25</v>
      </c>
      <c r="F3563" t="s">
        <v>26</v>
      </c>
      <c r="G3563" t="s">
        <v>16385</v>
      </c>
      <c r="T3563" t="s">
        <v>16386</v>
      </c>
      <c r="U3563" t="s">
        <v>16387</v>
      </c>
      <c r="V3563" t="s">
        <v>16388</v>
      </c>
      <c r="W3563" t="s">
        <v>9181</v>
      </c>
      <c r="X3563" t="s">
        <v>16389</v>
      </c>
      <c r="Y3563">
        <v>0</v>
      </c>
    </row>
    <row r="3564" spans="1:26">
      <c r="A3564" s="1">
        <v>3562</v>
      </c>
      <c r="B3564" t="str">
        <f>HYPERLINK("https://bugs.eclipse.org/bugs/show_bug.cgi?id=198668", "198668")</f>
        <v>198668</v>
      </c>
      <c r="C3564" t="s">
        <v>149</v>
      </c>
      <c r="D3564" t="s">
        <v>10</v>
      </c>
      <c r="E3564" t="s">
        <v>12</v>
      </c>
      <c r="F3564" t="s">
        <v>26</v>
      </c>
      <c r="L3564" t="s">
        <v>16390</v>
      </c>
      <c r="N3564" t="s">
        <v>16390</v>
      </c>
      <c r="T3564" t="s">
        <v>16391</v>
      </c>
      <c r="U3564" t="s">
        <v>16390</v>
      </c>
      <c r="V3564" t="s">
        <v>16390</v>
      </c>
      <c r="W3564" t="s">
        <v>1954</v>
      </c>
      <c r="X3564" t="s">
        <v>16392</v>
      </c>
      <c r="Y3564">
        <v>0</v>
      </c>
      <c r="Z3564">
        <v>0</v>
      </c>
    </row>
    <row r="3565" spans="1:26">
      <c r="A3565" s="1">
        <v>3563</v>
      </c>
      <c r="B3565" t="str">
        <f>HYPERLINK("https://bugs.eclipse.org/bugs/show_bug.cgi?id=198679", "198679")</f>
        <v>198679</v>
      </c>
      <c r="C3565" t="s">
        <v>149</v>
      </c>
      <c r="D3565" t="s">
        <v>10</v>
      </c>
      <c r="E3565" t="s">
        <v>12</v>
      </c>
      <c r="F3565" t="s">
        <v>26</v>
      </c>
      <c r="L3565" t="s">
        <v>16393</v>
      </c>
      <c r="N3565" t="s">
        <v>16393</v>
      </c>
      <c r="T3565" t="s">
        <v>16394</v>
      </c>
      <c r="U3565" t="s">
        <v>16393</v>
      </c>
      <c r="V3565" t="s">
        <v>16393</v>
      </c>
      <c r="W3565" t="s">
        <v>1954</v>
      </c>
      <c r="X3565" t="s">
        <v>16395</v>
      </c>
      <c r="Y3565">
        <v>0</v>
      </c>
      <c r="Z3565">
        <v>0</v>
      </c>
    </row>
    <row r="3566" spans="1:26">
      <c r="A3566" s="1">
        <v>3564</v>
      </c>
      <c r="B3566" t="str">
        <f>HYPERLINK("https://bugs.eclipse.org/bugs/show_bug.cgi?id=198700", "198700")</f>
        <v>198700</v>
      </c>
      <c r="C3566" t="s">
        <v>149</v>
      </c>
      <c r="D3566" t="s">
        <v>10</v>
      </c>
      <c r="E3566" t="s">
        <v>12</v>
      </c>
      <c r="F3566" t="s">
        <v>26</v>
      </c>
      <c r="L3566" t="s">
        <v>16396</v>
      </c>
      <c r="N3566" t="s">
        <v>16396</v>
      </c>
      <c r="T3566" t="s">
        <v>16397</v>
      </c>
      <c r="U3566" t="s">
        <v>16398</v>
      </c>
      <c r="V3566" t="s">
        <v>16396</v>
      </c>
      <c r="W3566" t="s">
        <v>1954</v>
      </c>
      <c r="X3566" t="s">
        <v>16399</v>
      </c>
      <c r="Y3566">
        <v>0</v>
      </c>
      <c r="Z3566">
        <v>0</v>
      </c>
    </row>
    <row r="3567" spans="1:26">
      <c r="A3567" s="1">
        <v>3565</v>
      </c>
      <c r="B3567" t="str">
        <f>HYPERLINK("https://bugs.eclipse.org/bugs/show_bug.cgi?id=198786", "198786")</f>
        <v>198786</v>
      </c>
      <c r="C3567" t="s">
        <v>149</v>
      </c>
      <c r="D3567" t="s">
        <v>10</v>
      </c>
      <c r="E3567" t="s">
        <v>12</v>
      </c>
      <c r="F3567" t="s">
        <v>26</v>
      </c>
      <c r="L3567" t="s">
        <v>16400</v>
      </c>
      <c r="N3567" t="s">
        <v>16400</v>
      </c>
      <c r="T3567" t="s">
        <v>16401</v>
      </c>
      <c r="U3567" t="s">
        <v>16402</v>
      </c>
      <c r="V3567" t="s">
        <v>16400</v>
      </c>
      <c r="W3567" t="s">
        <v>1954</v>
      </c>
      <c r="X3567" t="s">
        <v>16403</v>
      </c>
      <c r="Y3567">
        <v>0</v>
      </c>
      <c r="Z3567">
        <v>0</v>
      </c>
    </row>
    <row r="3568" spans="1:26">
      <c r="A3568" s="1">
        <v>3566</v>
      </c>
      <c r="B3568" t="str">
        <f>HYPERLINK("https://bugs.eclipse.org/bugs/show_bug.cgi?id=198791", "198791")</f>
        <v>198791</v>
      </c>
      <c r="C3568" t="s">
        <v>191</v>
      </c>
      <c r="D3568" t="s">
        <v>192</v>
      </c>
      <c r="E3568" t="s">
        <v>14</v>
      </c>
      <c r="F3568" t="s">
        <v>26</v>
      </c>
      <c r="T3568" t="s">
        <v>16404</v>
      </c>
      <c r="U3568" t="s">
        <v>16405</v>
      </c>
      <c r="V3568" t="s">
        <v>16406</v>
      </c>
      <c r="W3568" t="s">
        <v>65</v>
      </c>
      <c r="X3568" t="s">
        <v>16407</v>
      </c>
      <c r="Y3568">
        <v>0</v>
      </c>
      <c r="Z3568">
        <v>4434</v>
      </c>
    </row>
    <row r="3569" spans="1:26">
      <c r="A3569" s="1">
        <v>3567</v>
      </c>
      <c r="B3569" t="str">
        <f>HYPERLINK("https://bugs.eclipse.org/bugs/show_bug.cgi?id=198894", "198894")</f>
        <v>198894</v>
      </c>
      <c r="C3569" t="s">
        <v>149</v>
      </c>
      <c r="D3569" t="s">
        <v>10</v>
      </c>
      <c r="E3569" t="s">
        <v>12</v>
      </c>
      <c r="F3569" t="s">
        <v>26</v>
      </c>
      <c r="L3569" t="s">
        <v>16408</v>
      </c>
      <c r="N3569" t="s">
        <v>16408</v>
      </c>
      <c r="T3569" t="s">
        <v>16409</v>
      </c>
      <c r="U3569" t="s">
        <v>16410</v>
      </c>
      <c r="V3569" t="s">
        <v>16408</v>
      </c>
      <c r="W3569" t="s">
        <v>1954</v>
      </c>
      <c r="X3569" t="s">
        <v>16411</v>
      </c>
      <c r="Y3569">
        <v>0</v>
      </c>
      <c r="Z3569">
        <v>5</v>
      </c>
    </row>
    <row r="3570" spans="1:26">
      <c r="A3570" s="1">
        <v>3568</v>
      </c>
      <c r="B3570" t="str">
        <f>HYPERLINK("https://bugs.eclipse.org/bugs/show_bug.cgi?id=198919", "198919")</f>
        <v>198919</v>
      </c>
      <c r="C3570" t="s">
        <v>35</v>
      </c>
      <c r="D3570" t="s">
        <v>11</v>
      </c>
      <c r="E3570" t="s">
        <v>12</v>
      </c>
      <c r="F3570" t="s">
        <v>26</v>
      </c>
      <c r="L3570" t="s">
        <v>16412</v>
      </c>
      <c r="M3570" t="s">
        <v>16413</v>
      </c>
      <c r="N3570" t="s">
        <v>16412</v>
      </c>
      <c r="T3570" t="s">
        <v>16414</v>
      </c>
      <c r="U3570" t="s">
        <v>16412</v>
      </c>
      <c r="V3570" t="s">
        <v>16413</v>
      </c>
      <c r="W3570" t="s">
        <v>1954</v>
      </c>
      <c r="X3570" t="s">
        <v>16415</v>
      </c>
      <c r="Y3570">
        <v>0</v>
      </c>
      <c r="Z3570">
        <v>3</v>
      </c>
    </row>
    <row r="3571" spans="1:26">
      <c r="A3571" s="1">
        <v>3569</v>
      </c>
      <c r="B3571" t="str">
        <f>HYPERLINK("https://bugs.eclipse.org/bugs/show_bug.cgi?id=198921", "198921")</f>
        <v>198921</v>
      </c>
      <c r="C3571" t="s">
        <v>25</v>
      </c>
      <c r="D3571" t="s">
        <v>25</v>
      </c>
      <c r="F3571" t="s">
        <v>26</v>
      </c>
      <c r="G3571" t="s">
        <v>16416</v>
      </c>
      <c r="T3571" t="s">
        <v>16417</v>
      </c>
      <c r="U3571" t="s">
        <v>16418</v>
      </c>
      <c r="V3571" t="s">
        <v>16419</v>
      </c>
      <c r="W3571" t="s">
        <v>65</v>
      </c>
      <c r="X3571" t="s">
        <v>16420</v>
      </c>
      <c r="Y3571">
        <v>0</v>
      </c>
    </row>
    <row r="3572" spans="1:26">
      <c r="A3572" s="1">
        <v>3570</v>
      </c>
      <c r="B3572" t="str">
        <f>HYPERLINK("https://bugs.eclipse.org/bugs/show_bug.cgi?id=199013", "199013")</f>
        <v>199013</v>
      </c>
      <c r="C3572" t="s">
        <v>35</v>
      </c>
      <c r="D3572" t="s">
        <v>11</v>
      </c>
      <c r="E3572" t="s">
        <v>12</v>
      </c>
      <c r="F3572" t="s">
        <v>26</v>
      </c>
      <c r="G3572" t="s">
        <v>16421</v>
      </c>
      <c r="L3572" t="s">
        <v>16422</v>
      </c>
      <c r="M3572" t="s">
        <v>16423</v>
      </c>
      <c r="N3572" t="s">
        <v>16422</v>
      </c>
      <c r="T3572" t="s">
        <v>16424</v>
      </c>
      <c r="U3572" t="s">
        <v>16425</v>
      </c>
      <c r="V3572" t="s">
        <v>16423</v>
      </c>
      <c r="W3572" t="s">
        <v>143</v>
      </c>
      <c r="X3572" t="s">
        <v>16426</v>
      </c>
      <c r="Y3572">
        <v>0</v>
      </c>
      <c r="Z3572">
        <v>296</v>
      </c>
    </row>
    <row r="3573" spans="1:26">
      <c r="A3573" s="1">
        <v>3571</v>
      </c>
      <c r="B3573" t="str">
        <f>HYPERLINK("https://bugs.eclipse.org/bugs/show_bug.cgi?id=199016", "199016")</f>
        <v>199016</v>
      </c>
      <c r="C3573" t="s">
        <v>35</v>
      </c>
      <c r="D3573" t="s">
        <v>11</v>
      </c>
      <c r="E3573" t="s">
        <v>12</v>
      </c>
      <c r="F3573" t="s">
        <v>26</v>
      </c>
      <c r="G3573" t="s">
        <v>16427</v>
      </c>
      <c r="L3573" t="s">
        <v>16428</v>
      </c>
      <c r="M3573" t="s">
        <v>16429</v>
      </c>
      <c r="N3573" t="s">
        <v>16428</v>
      </c>
      <c r="S3573" t="s">
        <v>16430</v>
      </c>
      <c r="T3573" t="s">
        <v>16431</v>
      </c>
      <c r="U3573" t="s">
        <v>16432</v>
      </c>
      <c r="V3573" t="s">
        <v>16433</v>
      </c>
      <c r="W3573" t="s">
        <v>851</v>
      </c>
      <c r="X3573" t="s">
        <v>16434</v>
      </c>
      <c r="Y3573">
        <v>0</v>
      </c>
      <c r="Z3573">
        <v>359</v>
      </c>
    </row>
    <row r="3574" spans="1:26">
      <c r="A3574" s="1">
        <v>3572</v>
      </c>
      <c r="B3574" t="str">
        <f>HYPERLINK("https://bugs.eclipse.org/bugs/show_bug.cgi?id=199017", "199017")</f>
        <v>199017</v>
      </c>
      <c r="C3574" t="s">
        <v>149</v>
      </c>
      <c r="D3574" t="s">
        <v>10</v>
      </c>
      <c r="E3574" t="s">
        <v>12</v>
      </c>
      <c r="F3574" t="s">
        <v>26</v>
      </c>
      <c r="L3574" t="s">
        <v>16435</v>
      </c>
      <c r="N3574" t="s">
        <v>16435</v>
      </c>
      <c r="T3574" t="s">
        <v>16436</v>
      </c>
      <c r="U3574" t="s">
        <v>16437</v>
      </c>
      <c r="V3574" t="s">
        <v>16435</v>
      </c>
      <c r="W3574" t="s">
        <v>851</v>
      </c>
      <c r="X3574" t="s">
        <v>16438</v>
      </c>
      <c r="Y3574">
        <v>0</v>
      </c>
      <c r="Z3574">
        <v>7</v>
      </c>
    </row>
    <row r="3575" spans="1:26">
      <c r="A3575" s="1">
        <v>3573</v>
      </c>
      <c r="B3575" t="str">
        <f>HYPERLINK("https://bugs.eclipse.org/bugs/show_bug.cgi?id=199018", "199018")</f>
        <v>199018</v>
      </c>
      <c r="C3575" t="s">
        <v>35</v>
      </c>
      <c r="D3575" t="s">
        <v>11</v>
      </c>
      <c r="E3575" t="s">
        <v>12</v>
      </c>
      <c r="F3575" t="s">
        <v>26</v>
      </c>
      <c r="L3575" t="s">
        <v>16439</v>
      </c>
      <c r="M3575" t="s">
        <v>16440</v>
      </c>
      <c r="N3575" t="s">
        <v>16439</v>
      </c>
      <c r="S3575" t="s">
        <v>16441</v>
      </c>
      <c r="T3575" t="s">
        <v>16442</v>
      </c>
      <c r="U3575" t="s">
        <v>16443</v>
      </c>
      <c r="V3575" t="s">
        <v>16440</v>
      </c>
      <c r="W3575" t="s">
        <v>1954</v>
      </c>
      <c r="X3575" t="s">
        <v>16444</v>
      </c>
      <c r="Y3575">
        <v>0</v>
      </c>
      <c r="Z3575">
        <v>2</v>
      </c>
    </row>
    <row r="3576" spans="1:26">
      <c r="A3576" s="1">
        <v>3574</v>
      </c>
      <c r="B3576" t="str">
        <f>HYPERLINK("https://bugs.eclipse.org/bugs/show_bug.cgi?id=199019", "199019")</f>
        <v>199019</v>
      </c>
      <c r="C3576" t="s">
        <v>191</v>
      </c>
      <c r="D3576" t="s">
        <v>192</v>
      </c>
      <c r="E3576" t="s">
        <v>14</v>
      </c>
      <c r="F3576" t="s">
        <v>26</v>
      </c>
      <c r="T3576" t="s">
        <v>16445</v>
      </c>
      <c r="U3576" t="s">
        <v>16446</v>
      </c>
      <c r="V3576" t="s">
        <v>16447</v>
      </c>
      <c r="W3576" t="s">
        <v>65</v>
      </c>
      <c r="X3576" t="s">
        <v>16448</v>
      </c>
      <c r="Y3576">
        <v>0</v>
      </c>
      <c r="Z3576">
        <v>4486.041666666667</v>
      </c>
    </row>
    <row r="3577" spans="1:26">
      <c r="A3577" s="1">
        <v>3575</v>
      </c>
      <c r="B3577" t="str">
        <f>HYPERLINK("https://bugs.eclipse.org/bugs/show_bug.cgi?id=199033", "199033")</f>
        <v>199033</v>
      </c>
      <c r="C3577" t="s">
        <v>4692</v>
      </c>
      <c r="D3577" t="s">
        <v>4692</v>
      </c>
      <c r="F3577" t="s">
        <v>26</v>
      </c>
      <c r="T3577" t="s">
        <v>16449</v>
      </c>
      <c r="U3577" t="s">
        <v>16450</v>
      </c>
      <c r="V3577" t="s">
        <v>16451</v>
      </c>
      <c r="W3577" t="s">
        <v>65</v>
      </c>
      <c r="X3577" t="s">
        <v>16452</v>
      </c>
      <c r="Y3577">
        <v>0</v>
      </c>
    </row>
    <row r="3578" spans="1:26">
      <c r="A3578" s="1">
        <v>3576</v>
      </c>
      <c r="B3578" t="str">
        <f>HYPERLINK("https://bugs.eclipse.org/bugs/show_bug.cgi?id=199045", "199045")</f>
        <v>199045</v>
      </c>
      <c r="C3578" t="s">
        <v>35</v>
      </c>
      <c r="D3578" t="s">
        <v>11</v>
      </c>
      <c r="E3578" t="s">
        <v>12</v>
      </c>
      <c r="F3578" t="s">
        <v>26</v>
      </c>
      <c r="L3578" t="s">
        <v>16453</v>
      </c>
      <c r="M3578" t="s">
        <v>16454</v>
      </c>
      <c r="N3578" t="s">
        <v>16453</v>
      </c>
      <c r="T3578" t="s">
        <v>16455</v>
      </c>
      <c r="U3578" t="s">
        <v>16456</v>
      </c>
      <c r="V3578" t="s">
        <v>16454</v>
      </c>
      <c r="W3578" t="s">
        <v>143</v>
      </c>
      <c r="X3578" t="s">
        <v>16457</v>
      </c>
      <c r="Y3578">
        <v>0</v>
      </c>
      <c r="Z3578">
        <v>2</v>
      </c>
    </row>
    <row r="3579" spans="1:26">
      <c r="A3579" s="1">
        <v>3577</v>
      </c>
      <c r="B3579" t="str">
        <f>HYPERLINK("https://bugs.eclipse.org/bugs/show_bug.cgi?id=199070", "199070")</f>
        <v>199070</v>
      </c>
      <c r="C3579" t="s">
        <v>149</v>
      </c>
      <c r="D3579" t="s">
        <v>10</v>
      </c>
      <c r="E3579" t="s">
        <v>12</v>
      </c>
      <c r="F3579" t="s">
        <v>26</v>
      </c>
      <c r="L3579" t="s">
        <v>16458</v>
      </c>
      <c r="N3579" t="s">
        <v>16458</v>
      </c>
      <c r="T3579" t="s">
        <v>16459</v>
      </c>
      <c r="U3579" t="s">
        <v>16460</v>
      </c>
      <c r="V3579" t="s">
        <v>16458</v>
      </c>
      <c r="W3579" t="s">
        <v>1954</v>
      </c>
      <c r="X3579" t="s">
        <v>16461</v>
      </c>
      <c r="Y3579">
        <v>0</v>
      </c>
      <c r="Z3579">
        <v>6</v>
      </c>
    </row>
    <row r="3580" spans="1:26">
      <c r="A3580" s="1">
        <v>3578</v>
      </c>
      <c r="B3580" t="str">
        <f>HYPERLINK("https://bugs.eclipse.org/bugs/show_bug.cgi?id=199071", "199071")</f>
        <v>199071</v>
      </c>
      <c r="C3580" t="s">
        <v>56</v>
      </c>
      <c r="D3580" t="s">
        <v>10</v>
      </c>
      <c r="E3580" t="s">
        <v>14</v>
      </c>
      <c r="F3580" t="s">
        <v>26</v>
      </c>
      <c r="L3580" t="s">
        <v>16462</v>
      </c>
      <c r="P3580" t="s">
        <v>16462</v>
      </c>
      <c r="T3580" t="s">
        <v>16459</v>
      </c>
      <c r="U3580" t="s">
        <v>16462</v>
      </c>
      <c r="V3580" t="s">
        <v>16462</v>
      </c>
      <c r="W3580" t="s">
        <v>1954</v>
      </c>
      <c r="X3580" t="s">
        <v>16463</v>
      </c>
      <c r="Y3580">
        <v>0</v>
      </c>
      <c r="Z3580">
        <v>0</v>
      </c>
    </row>
    <row r="3581" spans="1:26">
      <c r="A3581" s="1">
        <v>3579</v>
      </c>
      <c r="B3581" t="str">
        <f>HYPERLINK("https://bugs.eclipse.org/bugs/show_bug.cgi?id=199072", "199072")</f>
        <v>199072</v>
      </c>
      <c r="C3581" t="s">
        <v>35</v>
      </c>
      <c r="D3581" t="s">
        <v>11</v>
      </c>
      <c r="E3581" t="s">
        <v>12</v>
      </c>
      <c r="F3581" t="s">
        <v>26</v>
      </c>
      <c r="L3581" t="s">
        <v>16464</v>
      </c>
      <c r="M3581" t="s">
        <v>16465</v>
      </c>
      <c r="N3581" t="s">
        <v>16464</v>
      </c>
      <c r="T3581" t="s">
        <v>16459</v>
      </c>
      <c r="U3581" t="s">
        <v>16466</v>
      </c>
      <c r="V3581" t="s">
        <v>16465</v>
      </c>
      <c r="W3581" t="s">
        <v>1954</v>
      </c>
      <c r="X3581" t="s">
        <v>16467</v>
      </c>
      <c r="Y3581">
        <v>0</v>
      </c>
      <c r="Z3581">
        <v>2</v>
      </c>
    </row>
    <row r="3582" spans="1:26">
      <c r="A3582" s="1">
        <v>3580</v>
      </c>
      <c r="B3582" t="str">
        <f>HYPERLINK("https://bugs.eclipse.org/bugs/show_bug.cgi?id=199215", "199215")</f>
        <v>199215</v>
      </c>
      <c r="C3582" t="s">
        <v>149</v>
      </c>
      <c r="D3582" t="s">
        <v>10</v>
      </c>
      <c r="E3582" t="s">
        <v>12</v>
      </c>
      <c r="F3582" t="s">
        <v>26</v>
      </c>
      <c r="L3582" t="s">
        <v>16468</v>
      </c>
      <c r="N3582" t="s">
        <v>16468</v>
      </c>
      <c r="T3582" t="s">
        <v>16469</v>
      </c>
      <c r="U3582" t="s">
        <v>16470</v>
      </c>
      <c r="V3582" t="s">
        <v>16468</v>
      </c>
      <c r="W3582" t="s">
        <v>49</v>
      </c>
      <c r="X3582" t="s">
        <v>16471</v>
      </c>
      <c r="Y3582">
        <v>0</v>
      </c>
      <c r="Z3582">
        <v>8</v>
      </c>
    </row>
    <row r="3583" spans="1:26">
      <c r="A3583" s="1">
        <v>3581</v>
      </c>
      <c r="B3583" t="str">
        <f>HYPERLINK("https://bugs.eclipse.org/bugs/show_bug.cgi?id=199218", "199218")</f>
        <v>199218</v>
      </c>
      <c r="C3583" t="s">
        <v>149</v>
      </c>
      <c r="D3583" t="s">
        <v>10</v>
      </c>
      <c r="E3583" t="s">
        <v>12</v>
      </c>
      <c r="F3583" t="s">
        <v>26</v>
      </c>
      <c r="L3583" t="s">
        <v>16472</v>
      </c>
      <c r="N3583" t="s">
        <v>16472</v>
      </c>
      <c r="P3583" t="s">
        <v>16473</v>
      </c>
      <c r="S3583" t="s">
        <v>16474</v>
      </c>
      <c r="T3583" t="s">
        <v>16475</v>
      </c>
      <c r="U3583" t="s">
        <v>16476</v>
      </c>
      <c r="V3583" t="s">
        <v>16472</v>
      </c>
      <c r="W3583" t="s">
        <v>49</v>
      </c>
      <c r="X3583" t="s">
        <v>16477</v>
      </c>
      <c r="Y3583">
        <v>0</v>
      </c>
      <c r="Z3583">
        <v>9</v>
      </c>
    </row>
    <row r="3584" spans="1:26">
      <c r="A3584" s="1">
        <v>3582</v>
      </c>
      <c r="B3584" t="str">
        <f>HYPERLINK("https://bugs.eclipse.org/bugs/show_bug.cgi?id=199376", "199376")</f>
        <v>199376</v>
      </c>
      <c r="C3584" t="s">
        <v>35</v>
      </c>
      <c r="D3584" t="s">
        <v>11</v>
      </c>
      <c r="E3584" t="s">
        <v>12</v>
      </c>
      <c r="F3584" t="s">
        <v>26</v>
      </c>
      <c r="L3584" t="s">
        <v>16478</v>
      </c>
      <c r="M3584" t="s">
        <v>16479</v>
      </c>
      <c r="N3584" t="s">
        <v>16478</v>
      </c>
      <c r="T3584" t="s">
        <v>16480</v>
      </c>
      <c r="U3584" t="s">
        <v>16481</v>
      </c>
      <c r="V3584" t="s">
        <v>16479</v>
      </c>
      <c r="W3584" t="s">
        <v>1954</v>
      </c>
      <c r="X3584" t="s">
        <v>16482</v>
      </c>
      <c r="Y3584">
        <v>0</v>
      </c>
      <c r="Z3584">
        <v>0</v>
      </c>
    </row>
    <row r="3585" spans="1:26">
      <c r="A3585" s="1">
        <v>3583</v>
      </c>
      <c r="B3585" t="str">
        <f>HYPERLINK("https://bugs.eclipse.org/bugs/show_bug.cgi?id=199386", "199386")</f>
        <v>199386</v>
      </c>
      <c r="C3585" t="s">
        <v>16483</v>
      </c>
      <c r="D3585" t="s">
        <v>10</v>
      </c>
      <c r="E3585" t="s">
        <v>15</v>
      </c>
      <c r="F3585" t="s">
        <v>26</v>
      </c>
      <c r="L3585" t="s">
        <v>16484</v>
      </c>
      <c r="Q3585" t="s">
        <v>16484</v>
      </c>
      <c r="T3585" t="s">
        <v>16485</v>
      </c>
      <c r="U3585" t="s">
        <v>16486</v>
      </c>
      <c r="V3585" t="s">
        <v>16484</v>
      </c>
      <c r="W3585" t="s">
        <v>1954</v>
      </c>
      <c r="X3585" t="s">
        <v>16487</v>
      </c>
      <c r="Y3585">
        <v>0</v>
      </c>
      <c r="Z3585">
        <v>0</v>
      </c>
    </row>
    <row r="3586" spans="1:26">
      <c r="A3586" s="1">
        <v>3584</v>
      </c>
      <c r="B3586" t="str">
        <f>HYPERLINK("https://bugs.eclipse.org/bugs/show_bug.cgi?id=199429", "199429")</f>
        <v>199429</v>
      </c>
      <c r="C3586" t="s">
        <v>25</v>
      </c>
      <c r="D3586" t="s">
        <v>25</v>
      </c>
      <c r="F3586" t="s">
        <v>26</v>
      </c>
      <c r="T3586" t="s">
        <v>16488</v>
      </c>
      <c r="U3586" t="s">
        <v>16489</v>
      </c>
      <c r="V3586" t="s">
        <v>16490</v>
      </c>
      <c r="W3586" t="s">
        <v>143</v>
      </c>
      <c r="X3586" t="s">
        <v>16491</v>
      </c>
      <c r="Y3586">
        <v>8</v>
      </c>
    </row>
    <row r="3587" spans="1:26">
      <c r="A3587" s="1">
        <v>3585</v>
      </c>
      <c r="B3587" t="str">
        <f>HYPERLINK("https://bugs.eclipse.org/bugs/show_bug.cgi?id=199844", "199844")</f>
        <v>199844</v>
      </c>
      <c r="C3587" t="s">
        <v>16492</v>
      </c>
      <c r="D3587" t="s">
        <v>10</v>
      </c>
      <c r="E3587" t="s">
        <v>15</v>
      </c>
      <c r="F3587" t="s">
        <v>26</v>
      </c>
      <c r="L3587" t="s">
        <v>16493</v>
      </c>
      <c r="Q3587" t="s">
        <v>16493</v>
      </c>
      <c r="T3587" t="s">
        <v>16494</v>
      </c>
      <c r="U3587" t="s">
        <v>16495</v>
      </c>
      <c r="V3587" t="s">
        <v>16493</v>
      </c>
      <c r="W3587" t="s">
        <v>851</v>
      </c>
      <c r="X3587" t="s">
        <v>16496</v>
      </c>
      <c r="Y3587">
        <v>0</v>
      </c>
      <c r="Z3587">
        <v>629</v>
      </c>
    </row>
    <row r="3588" spans="1:26">
      <c r="A3588" s="1">
        <v>3586</v>
      </c>
      <c r="B3588" t="str">
        <f>HYPERLINK("https://bugs.eclipse.org/bugs/show_bug.cgi?id=199937", "199937")</f>
        <v>199937</v>
      </c>
      <c r="C3588" t="s">
        <v>191</v>
      </c>
      <c r="D3588" t="s">
        <v>192</v>
      </c>
      <c r="E3588" t="s">
        <v>14</v>
      </c>
      <c r="F3588" t="s">
        <v>26</v>
      </c>
      <c r="T3588" t="s">
        <v>16497</v>
      </c>
      <c r="U3588" t="s">
        <v>16498</v>
      </c>
      <c r="V3588" t="s">
        <v>16499</v>
      </c>
      <c r="W3588" t="s">
        <v>65</v>
      </c>
      <c r="X3588" t="s">
        <v>16500</v>
      </c>
      <c r="Y3588">
        <v>1</v>
      </c>
      <c r="Z3588">
        <v>4523.041666666667</v>
      </c>
    </row>
    <row r="3589" spans="1:26">
      <c r="A3589" s="1">
        <v>3587</v>
      </c>
      <c r="B3589" t="str">
        <f>HYPERLINK("https://bugs.eclipse.org/bugs/show_bug.cgi?id=199987", "199987")</f>
        <v>199987</v>
      </c>
      <c r="C3589" t="s">
        <v>191</v>
      </c>
      <c r="D3589" t="s">
        <v>192</v>
      </c>
      <c r="E3589" t="s">
        <v>14</v>
      </c>
      <c r="F3589" t="s">
        <v>26</v>
      </c>
      <c r="T3589" t="s">
        <v>16501</v>
      </c>
      <c r="U3589" t="s">
        <v>16502</v>
      </c>
      <c r="V3589" t="s">
        <v>16503</v>
      </c>
      <c r="W3589" t="s">
        <v>65</v>
      </c>
      <c r="X3589" t="s">
        <v>16504</v>
      </c>
      <c r="Y3589">
        <v>0</v>
      </c>
      <c r="Z3589">
        <v>4495.041666666667</v>
      </c>
    </row>
    <row r="3590" spans="1:26">
      <c r="A3590" s="1">
        <v>3588</v>
      </c>
      <c r="B3590" t="str">
        <f>HYPERLINK("https://bugs.eclipse.org/bugs/show_bug.cgi?id=200017", "200017")</f>
        <v>200017</v>
      </c>
      <c r="C3590" t="s">
        <v>16505</v>
      </c>
      <c r="D3590" t="s">
        <v>10</v>
      </c>
      <c r="E3590" t="s">
        <v>15</v>
      </c>
      <c r="F3590" t="s">
        <v>26</v>
      </c>
      <c r="L3590" t="s">
        <v>16506</v>
      </c>
      <c r="Q3590" t="s">
        <v>16506</v>
      </c>
      <c r="T3590" t="s">
        <v>16507</v>
      </c>
      <c r="U3590" t="s">
        <v>16508</v>
      </c>
      <c r="V3590" t="s">
        <v>16506</v>
      </c>
      <c r="W3590" t="s">
        <v>49</v>
      </c>
      <c r="X3590" t="s">
        <v>16509</v>
      </c>
      <c r="Y3590">
        <v>0</v>
      </c>
      <c r="Z3590">
        <v>0</v>
      </c>
    </row>
    <row r="3591" spans="1:26">
      <c r="A3591" s="1">
        <v>3589</v>
      </c>
      <c r="B3591" t="str">
        <f>HYPERLINK("https://bugs.eclipse.org/bugs/show_bug.cgi?id=200152", "200152")</f>
        <v>200152</v>
      </c>
      <c r="C3591" t="s">
        <v>25</v>
      </c>
      <c r="D3591" t="s">
        <v>25</v>
      </c>
      <c r="F3591" t="s">
        <v>26</v>
      </c>
      <c r="T3591" t="s">
        <v>16510</v>
      </c>
      <c r="U3591" t="s">
        <v>16511</v>
      </c>
      <c r="V3591" t="s">
        <v>16512</v>
      </c>
      <c r="W3591" t="s">
        <v>2777</v>
      </c>
      <c r="X3591" t="s">
        <v>16513</v>
      </c>
      <c r="Y3591">
        <v>0</v>
      </c>
    </row>
    <row r="3592" spans="1:26">
      <c r="A3592" s="1">
        <v>3590</v>
      </c>
      <c r="B3592" t="str">
        <f>HYPERLINK("https://bugs.eclipse.org/bugs/show_bug.cgi?id=200288", "200288")</f>
        <v>200288</v>
      </c>
      <c r="C3592" t="s">
        <v>12677</v>
      </c>
      <c r="D3592" t="s">
        <v>10</v>
      </c>
      <c r="E3592" t="s">
        <v>15</v>
      </c>
      <c r="F3592" t="s">
        <v>26</v>
      </c>
      <c r="L3592" t="s">
        <v>16514</v>
      </c>
      <c r="Q3592" t="s">
        <v>16514</v>
      </c>
      <c r="T3592" t="s">
        <v>16515</v>
      </c>
      <c r="U3592" t="s">
        <v>16516</v>
      </c>
      <c r="V3592" t="s">
        <v>16517</v>
      </c>
      <c r="W3592" t="s">
        <v>16518</v>
      </c>
      <c r="X3592" t="s">
        <v>16519</v>
      </c>
      <c r="Y3592">
        <v>1</v>
      </c>
      <c r="Z3592">
        <v>3707</v>
      </c>
    </row>
    <row r="3593" spans="1:26">
      <c r="A3593" s="1">
        <v>3591</v>
      </c>
      <c r="B3593" t="str">
        <f>HYPERLINK("https://bugs.eclipse.org/bugs/show_bug.cgi?id=200549", "200549")</f>
        <v>200549</v>
      </c>
      <c r="C3593" t="s">
        <v>56</v>
      </c>
      <c r="D3593" t="s">
        <v>10</v>
      </c>
      <c r="E3593" t="s">
        <v>14</v>
      </c>
      <c r="F3593" t="s">
        <v>26</v>
      </c>
      <c r="L3593" t="s">
        <v>16520</v>
      </c>
      <c r="P3593" t="s">
        <v>16520</v>
      </c>
      <c r="T3593" t="s">
        <v>16521</v>
      </c>
      <c r="U3593" t="s">
        <v>16522</v>
      </c>
      <c r="V3593" t="s">
        <v>16520</v>
      </c>
      <c r="W3593" t="s">
        <v>49</v>
      </c>
      <c r="X3593" t="s">
        <v>16523</v>
      </c>
      <c r="Y3593">
        <v>0</v>
      </c>
      <c r="Z3593">
        <v>0</v>
      </c>
    </row>
    <row r="3594" spans="1:26">
      <c r="A3594" s="1">
        <v>3592</v>
      </c>
      <c r="B3594" t="str">
        <f>HYPERLINK("https://bugs.eclipse.org/bugs/show_bug.cgi?id=200561", "200561")</f>
        <v>200561</v>
      </c>
      <c r="C3594" t="s">
        <v>191</v>
      </c>
      <c r="D3594" t="s">
        <v>192</v>
      </c>
      <c r="E3594" t="s">
        <v>14</v>
      </c>
      <c r="F3594" t="s">
        <v>26</v>
      </c>
      <c r="P3594" t="s">
        <v>16524</v>
      </c>
      <c r="T3594" t="s">
        <v>16525</v>
      </c>
      <c r="U3594" t="s">
        <v>16526</v>
      </c>
      <c r="V3594" t="s">
        <v>16524</v>
      </c>
      <c r="W3594" t="s">
        <v>65</v>
      </c>
      <c r="X3594" t="s">
        <v>16527</v>
      </c>
      <c r="Y3594">
        <v>1</v>
      </c>
      <c r="Z3594">
        <v>4538.041666666667</v>
      </c>
    </row>
    <row r="3595" spans="1:26">
      <c r="A3595" s="1">
        <v>3593</v>
      </c>
      <c r="B3595" t="str">
        <f>HYPERLINK("https://bugs.eclipse.org/bugs/show_bug.cgi?id=200580", "200580")</f>
        <v>200580</v>
      </c>
      <c r="C3595" t="s">
        <v>35</v>
      </c>
      <c r="D3595" t="s">
        <v>11</v>
      </c>
      <c r="E3595" t="s">
        <v>12</v>
      </c>
      <c r="F3595" t="s">
        <v>26</v>
      </c>
      <c r="G3595" t="s">
        <v>16528</v>
      </c>
      <c r="L3595" t="s">
        <v>16529</v>
      </c>
      <c r="M3595" t="s">
        <v>16530</v>
      </c>
      <c r="N3595" t="s">
        <v>16529</v>
      </c>
      <c r="T3595" t="s">
        <v>16531</v>
      </c>
      <c r="U3595" t="s">
        <v>16532</v>
      </c>
      <c r="V3595" t="s">
        <v>16530</v>
      </c>
      <c r="W3595" t="s">
        <v>1954</v>
      </c>
      <c r="X3595" t="s">
        <v>16533</v>
      </c>
      <c r="Y3595">
        <v>0</v>
      </c>
      <c r="Z3595">
        <v>273</v>
      </c>
    </row>
    <row r="3596" spans="1:26">
      <c r="A3596" s="1">
        <v>3594</v>
      </c>
      <c r="B3596" t="str">
        <f>HYPERLINK("https://bugs.eclipse.org/bugs/show_bug.cgi?id=200707", "200707")</f>
        <v>200707</v>
      </c>
      <c r="C3596" t="s">
        <v>25</v>
      </c>
      <c r="D3596" t="s">
        <v>25</v>
      </c>
      <c r="F3596" t="s">
        <v>460</v>
      </c>
      <c r="T3596" t="s">
        <v>16534</v>
      </c>
      <c r="U3596" t="s">
        <v>16535</v>
      </c>
      <c r="V3596" t="s">
        <v>16536</v>
      </c>
      <c r="W3596" t="s">
        <v>143</v>
      </c>
      <c r="X3596" t="s">
        <v>16537</v>
      </c>
      <c r="Y3596">
        <v>0</v>
      </c>
    </row>
    <row r="3597" spans="1:26">
      <c r="A3597" s="1">
        <v>3595</v>
      </c>
      <c r="B3597" t="str">
        <f>HYPERLINK("https://bugs.eclipse.org/bugs/show_bug.cgi?id=200748", "200748")</f>
        <v>200748</v>
      </c>
      <c r="C3597" t="s">
        <v>191</v>
      </c>
      <c r="D3597" t="s">
        <v>192</v>
      </c>
      <c r="E3597" t="s">
        <v>14</v>
      </c>
      <c r="F3597" t="s">
        <v>26</v>
      </c>
      <c r="P3597" t="s">
        <v>16538</v>
      </c>
      <c r="T3597" t="s">
        <v>16539</v>
      </c>
      <c r="U3597" t="s">
        <v>16540</v>
      </c>
      <c r="V3597" t="s">
        <v>16538</v>
      </c>
      <c r="W3597" t="s">
        <v>65</v>
      </c>
      <c r="X3597" t="s">
        <v>16541</v>
      </c>
      <c r="Y3597">
        <v>1</v>
      </c>
      <c r="Z3597">
        <v>4570.041666666667</v>
      </c>
    </row>
    <row r="3598" spans="1:26">
      <c r="A3598" s="1">
        <v>3596</v>
      </c>
      <c r="B3598" t="str">
        <f>HYPERLINK("https://bugs.eclipse.org/bugs/show_bug.cgi?id=200818", "200818")</f>
        <v>200818</v>
      </c>
      <c r="C3598" t="s">
        <v>149</v>
      </c>
      <c r="D3598" t="s">
        <v>10</v>
      </c>
      <c r="E3598" t="s">
        <v>12</v>
      </c>
      <c r="F3598" t="s">
        <v>26</v>
      </c>
      <c r="G3598" t="s">
        <v>16542</v>
      </c>
      <c r="L3598" t="s">
        <v>16543</v>
      </c>
      <c r="N3598" t="s">
        <v>16543</v>
      </c>
      <c r="T3598" t="s">
        <v>16544</v>
      </c>
      <c r="U3598" t="s">
        <v>16545</v>
      </c>
      <c r="V3598" t="s">
        <v>16543</v>
      </c>
      <c r="W3598" t="s">
        <v>49</v>
      </c>
      <c r="X3598" t="s">
        <v>16546</v>
      </c>
      <c r="Y3598">
        <v>0</v>
      </c>
      <c r="Z3598">
        <v>0</v>
      </c>
    </row>
    <row r="3599" spans="1:26">
      <c r="A3599" s="1">
        <v>3597</v>
      </c>
      <c r="B3599" t="str">
        <f>HYPERLINK("https://bugs.eclipse.org/bugs/show_bug.cgi?id=200819", "200819")</f>
        <v>200819</v>
      </c>
      <c r="C3599" t="s">
        <v>16547</v>
      </c>
      <c r="D3599" t="s">
        <v>10</v>
      </c>
      <c r="E3599" t="s">
        <v>15</v>
      </c>
      <c r="F3599" t="s">
        <v>26</v>
      </c>
      <c r="L3599" t="s">
        <v>16545</v>
      </c>
      <c r="Q3599" t="s">
        <v>16545</v>
      </c>
      <c r="T3599" t="s">
        <v>16548</v>
      </c>
      <c r="U3599" t="s">
        <v>16549</v>
      </c>
      <c r="V3599" t="s">
        <v>16545</v>
      </c>
      <c r="W3599" t="s">
        <v>16550</v>
      </c>
      <c r="X3599" t="s">
        <v>16551</v>
      </c>
      <c r="Y3599">
        <v>0</v>
      </c>
      <c r="Z3599">
        <v>0</v>
      </c>
    </row>
    <row r="3600" spans="1:26">
      <c r="A3600" s="1">
        <v>3598</v>
      </c>
      <c r="B3600" t="str">
        <f>HYPERLINK("https://bugs.eclipse.org/bugs/show_bug.cgi?id=201275", "201275")</f>
        <v>201275</v>
      </c>
      <c r="C3600" t="s">
        <v>16505</v>
      </c>
      <c r="D3600" t="s">
        <v>10</v>
      </c>
      <c r="E3600" t="s">
        <v>15</v>
      </c>
      <c r="F3600" t="s">
        <v>26</v>
      </c>
      <c r="L3600" t="s">
        <v>16281</v>
      </c>
      <c r="Q3600" t="s">
        <v>16281</v>
      </c>
      <c r="T3600" t="s">
        <v>16552</v>
      </c>
      <c r="U3600" t="s">
        <v>16553</v>
      </c>
      <c r="V3600" t="s">
        <v>16281</v>
      </c>
      <c r="W3600" t="s">
        <v>49</v>
      </c>
      <c r="X3600" t="s">
        <v>16554</v>
      </c>
      <c r="Y3600">
        <v>0</v>
      </c>
      <c r="Z3600">
        <v>0</v>
      </c>
    </row>
    <row r="3601" spans="1:26">
      <c r="A3601" s="1">
        <v>3599</v>
      </c>
      <c r="B3601" t="str">
        <f>HYPERLINK("https://bugs.eclipse.org/bugs/show_bug.cgi?id=201415", "201415")</f>
        <v>201415</v>
      </c>
      <c r="C3601" t="s">
        <v>35</v>
      </c>
      <c r="D3601" t="s">
        <v>11</v>
      </c>
      <c r="E3601" t="s">
        <v>12</v>
      </c>
      <c r="F3601" t="s">
        <v>26</v>
      </c>
      <c r="L3601" t="s">
        <v>16555</v>
      </c>
      <c r="M3601" t="s">
        <v>16556</v>
      </c>
      <c r="N3601" t="s">
        <v>16555</v>
      </c>
      <c r="T3601" t="s">
        <v>16557</v>
      </c>
      <c r="U3601" t="s">
        <v>16558</v>
      </c>
      <c r="V3601" t="s">
        <v>16556</v>
      </c>
      <c r="W3601" t="s">
        <v>1954</v>
      </c>
      <c r="X3601" t="s">
        <v>16559</v>
      </c>
      <c r="Y3601">
        <v>0</v>
      </c>
      <c r="Z3601">
        <v>9</v>
      </c>
    </row>
    <row r="3602" spans="1:26">
      <c r="A3602" s="1">
        <v>3600</v>
      </c>
      <c r="B3602" t="str">
        <f>HYPERLINK("https://bugs.eclipse.org/bugs/show_bug.cgi?id=201434", "201434")</f>
        <v>201434</v>
      </c>
      <c r="C3602" t="s">
        <v>16560</v>
      </c>
      <c r="D3602" t="s">
        <v>10</v>
      </c>
      <c r="E3602" t="s">
        <v>15</v>
      </c>
      <c r="F3602" t="s">
        <v>26</v>
      </c>
      <c r="G3602" t="s">
        <v>16561</v>
      </c>
      <c r="L3602" t="s">
        <v>16562</v>
      </c>
      <c r="Q3602" t="s">
        <v>16562</v>
      </c>
      <c r="S3602" t="s">
        <v>16563</v>
      </c>
      <c r="T3602" t="s">
        <v>16564</v>
      </c>
      <c r="U3602" t="s">
        <v>16565</v>
      </c>
      <c r="V3602" t="s">
        <v>16562</v>
      </c>
      <c r="W3602" t="s">
        <v>851</v>
      </c>
      <c r="X3602" t="s">
        <v>16566</v>
      </c>
      <c r="Y3602">
        <v>0</v>
      </c>
      <c r="Z3602">
        <v>500.04166666666669</v>
      </c>
    </row>
    <row r="3603" spans="1:26">
      <c r="A3603" s="1">
        <v>3601</v>
      </c>
      <c r="B3603" t="str">
        <f>HYPERLINK("https://bugs.eclipse.org/bugs/show_bug.cgi?id=201707", "201707")</f>
        <v>201707</v>
      </c>
      <c r="C3603" t="s">
        <v>140</v>
      </c>
      <c r="D3603" t="s">
        <v>10</v>
      </c>
      <c r="E3603" t="s">
        <v>16</v>
      </c>
      <c r="F3603" t="s">
        <v>26</v>
      </c>
      <c r="L3603" t="s">
        <v>16567</v>
      </c>
      <c r="R3603" t="s">
        <v>16567</v>
      </c>
      <c r="T3603" t="s">
        <v>16568</v>
      </c>
      <c r="U3603" t="s">
        <v>16567</v>
      </c>
      <c r="V3603" t="s">
        <v>16569</v>
      </c>
      <c r="W3603" t="s">
        <v>49</v>
      </c>
      <c r="X3603" t="s">
        <v>16570</v>
      </c>
      <c r="Y3603">
        <v>35</v>
      </c>
      <c r="Z3603">
        <v>35</v>
      </c>
    </row>
    <row r="3604" spans="1:26">
      <c r="A3604" s="1">
        <v>3602</v>
      </c>
      <c r="B3604" t="str">
        <f>HYPERLINK("https://bugs.eclipse.org/bugs/show_bug.cgi?id=201882", "201882")</f>
        <v>201882</v>
      </c>
      <c r="C3604" t="s">
        <v>149</v>
      </c>
      <c r="D3604" t="s">
        <v>10</v>
      </c>
      <c r="E3604" t="s">
        <v>12</v>
      </c>
      <c r="F3604" t="s">
        <v>26</v>
      </c>
      <c r="L3604" t="s">
        <v>16571</v>
      </c>
      <c r="N3604" t="s">
        <v>16571</v>
      </c>
      <c r="T3604" t="s">
        <v>16572</v>
      </c>
      <c r="U3604" t="s">
        <v>16573</v>
      </c>
      <c r="V3604" t="s">
        <v>16571</v>
      </c>
      <c r="W3604" t="s">
        <v>49</v>
      </c>
      <c r="X3604" t="s">
        <v>16574</v>
      </c>
      <c r="Y3604">
        <v>0</v>
      </c>
      <c r="Z3604">
        <v>237</v>
      </c>
    </row>
    <row r="3605" spans="1:26">
      <c r="A3605" s="1">
        <v>3603</v>
      </c>
      <c r="B3605" t="str">
        <f>HYPERLINK("https://bugs.eclipse.org/bugs/show_bug.cgi?id=202145", "202145")</f>
        <v>202145</v>
      </c>
      <c r="C3605" t="s">
        <v>149</v>
      </c>
      <c r="D3605" t="s">
        <v>10</v>
      </c>
      <c r="E3605" t="s">
        <v>12</v>
      </c>
      <c r="F3605" t="s">
        <v>26</v>
      </c>
      <c r="G3605" t="s">
        <v>16575</v>
      </c>
      <c r="L3605" t="s">
        <v>16576</v>
      </c>
      <c r="N3605" t="s">
        <v>16576</v>
      </c>
      <c r="T3605" t="s">
        <v>16577</v>
      </c>
      <c r="U3605" t="s">
        <v>16578</v>
      </c>
      <c r="V3605" t="s">
        <v>16576</v>
      </c>
      <c r="W3605" t="s">
        <v>1954</v>
      </c>
      <c r="X3605" t="s">
        <v>16579</v>
      </c>
      <c r="Y3605">
        <v>1</v>
      </c>
      <c r="Z3605">
        <v>13</v>
      </c>
    </row>
    <row r="3606" spans="1:26">
      <c r="A3606" s="1">
        <v>3604</v>
      </c>
      <c r="B3606" t="str">
        <f>HYPERLINK("https://bugs.eclipse.org/bugs/show_bug.cgi?id=202789", "202789")</f>
        <v>202789</v>
      </c>
      <c r="C3606" t="s">
        <v>16580</v>
      </c>
      <c r="D3606" t="s">
        <v>10</v>
      </c>
      <c r="E3606" t="s">
        <v>15</v>
      </c>
      <c r="F3606" t="s">
        <v>26</v>
      </c>
      <c r="L3606" t="s">
        <v>16581</v>
      </c>
      <c r="Q3606" t="s">
        <v>16582</v>
      </c>
      <c r="R3606" t="s">
        <v>16581</v>
      </c>
      <c r="S3606" t="s">
        <v>16583</v>
      </c>
      <c r="T3606" t="s">
        <v>16584</v>
      </c>
      <c r="U3606" t="s">
        <v>16585</v>
      </c>
      <c r="V3606" t="s">
        <v>16582</v>
      </c>
      <c r="W3606" t="s">
        <v>851</v>
      </c>
      <c r="X3606" t="s">
        <v>16586</v>
      </c>
      <c r="Y3606">
        <v>0</v>
      </c>
      <c r="Z3606">
        <v>884.04166666666663</v>
      </c>
    </row>
    <row r="3607" spans="1:26">
      <c r="A3607" s="1">
        <v>3605</v>
      </c>
      <c r="B3607" t="str">
        <f>HYPERLINK("https://bugs.eclipse.org/bugs/show_bug.cgi?id=203281", "203281")</f>
        <v>203281</v>
      </c>
      <c r="C3607" t="s">
        <v>149</v>
      </c>
      <c r="D3607" t="s">
        <v>10</v>
      </c>
      <c r="E3607" t="s">
        <v>12</v>
      </c>
      <c r="F3607" t="s">
        <v>26</v>
      </c>
      <c r="H3607" t="s">
        <v>16587</v>
      </c>
      <c r="L3607" t="s">
        <v>16588</v>
      </c>
      <c r="N3607" t="s">
        <v>16588</v>
      </c>
      <c r="T3607" t="s">
        <v>16589</v>
      </c>
      <c r="U3607" t="s">
        <v>16590</v>
      </c>
      <c r="V3607" t="s">
        <v>16588</v>
      </c>
      <c r="W3607" t="s">
        <v>49</v>
      </c>
      <c r="X3607" t="s">
        <v>16591</v>
      </c>
      <c r="Y3607">
        <v>0</v>
      </c>
      <c r="Z3607">
        <v>4</v>
      </c>
    </row>
    <row r="3608" spans="1:26">
      <c r="A3608" s="1">
        <v>3606</v>
      </c>
      <c r="B3608" t="str">
        <f>HYPERLINK("https://bugs.eclipse.org/bugs/show_bug.cgi?id=203745", "203745")</f>
        <v>203745</v>
      </c>
      <c r="C3608" t="s">
        <v>25</v>
      </c>
      <c r="D3608" t="s">
        <v>25</v>
      </c>
      <c r="F3608" t="s">
        <v>26</v>
      </c>
      <c r="T3608" t="s">
        <v>16592</v>
      </c>
      <c r="U3608" t="s">
        <v>16593</v>
      </c>
      <c r="V3608" t="s">
        <v>16594</v>
      </c>
      <c r="W3608" t="s">
        <v>143</v>
      </c>
      <c r="X3608" t="s">
        <v>16595</v>
      </c>
      <c r="Y3608">
        <v>1</v>
      </c>
    </row>
    <row r="3609" spans="1:26">
      <c r="A3609" s="1">
        <v>3607</v>
      </c>
      <c r="B3609" t="str">
        <f>HYPERLINK("https://bugs.eclipse.org/bugs/show_bug.cgi?id=204453", "204453")</f>
        <v>204453</v>
      </c>
      <c r="C3609" t="s">
        <v>35</v>
      </c>
      <c r="D3609" t="s">
        <v>11</v>
      </c>
      <c r="E3609" t="s">
        <v>12</v>
      </c>
      <c r="F3609" t="s">
        <v>26</v>
      </c>
      <c r="L3609" t="s">
        <v>16596</v>
      </c>
      <c r="M3609" t="s">
        <v>16597</v>
      </c>
      <c r="N3609" t="s">
        <v>16596</v>
      </c>
      <c r="T3609" t="s">
        <v>16598</v>
      </c>
      <c r="U3609" t="s">
        <v>16599</v>
      </c>
      <c r="V3609" t="s">
        <v>16597</v>
      </c>
      <c r="W3609" t="s">
        <v>1954</v>
      </c>
      <c r="X3609" t="s">
        <v>16600</v>
      </c>
      <c r="Y3609">
        <v>8</v>
      </c>
      <c r="Z3609">
        <v>122.0416666666667</v>
      </c>
    </row>
    <row r="3610" spans="1:26">
      <c r="A3610" s="1">
        <v>3608</v>
      </c>
      <c r="B3610" t="str">
        <f>HYPERLINK("https://bugs.eclipse.org/bugs/show_bug.cgi?id=204527", "204527")</f>
        <v>204527</v>
      </c>
      <c r="C3610" t="s">
        <v>16601</v>
      </c>
      <c r="D3610" t="s">
        <v>192</v>
      </c>
      <c r="E3610" t="s">
        <v>15</v>
      </c>
      <c r="F3610" t="s">
        <v>26</v>
      </c>
      <c r="Q3610" t="s">
        <v>16602</v>
      </c>
      <c r="T3610" t="s">
        <v>16603</v>
      </c>
      <c r="U3610" t="s">
        <v>16604</v>
      </c>
      <c r="V3610" t="s">
        <v>16602</v>
      </c>
      <c r="W3610" t="s">
        <v>851</v>
      </c>
      <c r="X3610" t="s">
        <v>16605</v>
      </c>
      <c r="Y3610">
        <v>0</v>
      </c>
      <c r="Z3610">
        <v>2128</v>
      </c>
    </row>
    <row r="3611" spans="1:26">
      <c r="A3611" s="1">
        <v>3609</v>
      </c>
      <c r="B3611" t="str">
        <f>HYPERLINK("https://bugs.eclipse.org/bugs/show_bug.cgi?id=204642", "204642")</f>
        <v>204642</v>
      </c>
      <c r="C3611" t="s">
        <v>35</v>
      </c>
      <c r="D3611" t="s">
        <v>11</v>
      </c>
      <c r="E3611" t="s">
        <v>12</v>
      </c>
      <c r="F3611" t="s">
        <v>26</v>
      </c>
      <c r="L3611" t="s">
        <v>16606</v>
      </c>
      <c r="M3611" t="s">
        <v>16607</v>
      </c>
      <c r="N3611" t="s">
        <v>16606</v>
      </c>
      <c r="T3611" t="s">
        <v>16608</v>
      </c>
      <c r="U3611" t="s">
        <v>16609</v>
      </c>
      <c r="V3611" t="s">
        <v>16607</v>
      </c>
      <c r="W3611" t="s">
        <v>851</v>
      </c>
      <c r="X3611" t="s">
        <v>16610</v>
      </c>
      <c r="Y3611">
        <v>0</v>
      </c>
      <c r="Z3611">
        <v>6</v>
      </c>
    </row>
    <row r="3612" spans="1:26">
      <c r="A3612" s="1">
        <v>3610</v>
      </c>
      <c r="B3612" t="str">
        <f>HYPERLINK("https://bugs.eclipse.org/bugs/show_bug.cgi?id=204882", "204882")</f>
        <v>204882</v>
      </c>
      <c r="C3612" t="s">
        <v>140</v>
      </c>
      <c r="D3612" t="s">
        <v>10</v>
      </c>
      <c r="E3612" t="s">
        <v>16</v>
      </c>
      <c r="F3612" t="s">
        <v>26</v>
      </c>
      <c r="L3612" t="s">
        <v>16611</v>
      </c>
      <c r="R3612" t="s">
        <v>16611</v>
      </c>
      <c r="T3612" t="s">
        <v>16612</v>
      </c>
      <c r="U3612" t="s">
        <v>16611</v>
      </c>
      <c r="V3612" t="s">
        <v>16611</v>
      </c>
      <c r="W3612" t="s">
        <v>49</v>
      </c>
      <c r="X3612" t="s">
        <v>16613</v>
      </c>
      <c r="Y3612">
        <v>1</v>
      </c>
      <c r="Z3612">
        <v>1</v>
      </c>
    </row>
    <row r="3613" spans="1:26">
      <c r="A3613" s="1">
        <v>3611</v>
      </c>
      <c r="B3613" t="str">
        <f>HYPERLINK("https://bugs.eclipse.org/bugs/show_bug.cgi?id=204952", "204952")</f>
        <v>204952</v>
      </c>
      <c r="C3613" t="s">
        <v>25</v>
      </c>
      <c r="D3613" t="s">
        <v>25</v>
      </c>
      <c r="F3613" t="s">
        <v>460</v>
      </c>
      <c r="T3613" t="s">
        <v>16614</v>
      </c>
      <c r="U3613" t="s">
        <v>16615</v>
      </c>
      <c r="V3613" t="s">
        <v>16616</v>
      </c>
      <c r="W3613" t="s">
        <v>2293</v>
      </c>
      <c r="X3613" t="s">
        <v>16617</v>
      </c>
      <c r="Y3613">
        <v>3</v>
      </c>
    </row>
    <row r="3614" spans="1:26">
      <c r="A3614" s="1">
        <v>3612</v>
      </c>
      <c r="B3614" t="str">
        <f>HYPERLINK("https://bugs.eclipse.org/bugs/show_bug.cgi?id=205313", "205313")</f>
        <v>205313</v>
      </c>
      <c r="C3614" t="s">
        <v>16618</v>
      </c>
      <c r="D3614" t="s">
        <v>10</v>
      </c>
      <c r="E3614" t="s">
        <v>15</v>
      </c>
      <c r="F3614" t="s">
        <v>26</v>
      </c>
      <c r="L3614" t="s">
        <v>16619</v>
      </c>
      <c r="Q3614" t="s">
        <v>16619</v>
      </c>
      <c r="T3614" t="s">
        <v>16620</v>
      </c>
      <c r="U3614" t="s">
        <v>16619</v>
      </c>
      <c r="V3614" t="s">
        <v>16619</v>
      </c>
      <c r="W3614" t="s">
        <v>1954</v>
      </c>
      <c r="X3614" t="s">
        <v>16621</v>
      </c>
      <c r="Y3614">
        <v>0</v>
      </c>
      <c r="Z3614">
        <v>0</v>
      </c>
    </row>
    <row r="3615" spans="1:26">
      <c r="A3615" s="1">
        <v>3613</v>
      </c>
      <c r="B3615" t="str">
        <f>HYPERLINK("https://bugs.eclipse.org/bugs/show_bug.cgi?id=205706", "205706")</f>
        <v>205706</v>
      </c>
      <c r="C3615" t="s">
        <v>35</v>
      </c>
      <c r="D3615" t="s">
        <v>11</v>
      </c>
      <c r="E3615" t="s">
        <v>12</v>
      </c>
      <c r="F3615" t="s">
        <v>26</v>
      </c>
      <c r="L3615" t="s">
        <v>16622</v>
      </c>
      <c r="M3615" t="s">
        <v>16623</v>
      </c>
      <c r="N3615" t="s">
        <v>16622</v>
      </c>
      <c r="T3615" t="s">
        <v>16624</v>
      </c>
      <c r="U3615" t="s">
        <v>16625</v>
      </c>
      <c r="V3615" t="s">
        <v>16623</v>
      </c>
      <c r="W3615" t="s">
        <v>1954</v>
      </c>
      <c r="X3615" t="s">
        <v>16626</v>
      </c>
      <c r="Y3615">
        <v>0</v>
      </c>
      <c r="Z3615">
        <v>108.0416666666667</v>
      </c>
    </row>
    <row r="3616" spans="1:26">
      <c r="A3616" s="1">
        <v>3614</v>
      </c>
      <c r="B3616" t="str">
        <f>HYPERLINK("https://bugs.eclipse.org/bugs/show_bug.cgi?id=205805", "205805")</f>
        <v>205805</v>
      </c>
      <c r="C3616" t="s">
        <v>149</v>
      </c>
      <c r="D3616" t="s">
        <v>10</v>
      </c>
      <c r="E3616" t="s">
        <v>12</v>
      </c>
      <c r="F3616" t="s">
        <v>26</v>
      </c>
      <c r="H3616" t="s">
        <v>16627</v>
      </c>
      <c r="L3616" t="s">
        <v>16628</v>
      </c>
      <c r="N3616" t="s">
        <v>16628</v>
      </c>
      <c r="T3616" t="s">
        <v>16629</v>
      </c>
      <c r="U3616" t="s">
        <v>16630</v>
      </c>
      <c r="V3616" t="s">
        <v>16631</v>
      </c>
      <c r="W3616" t="s">
        <v>16632</v>
      </c>
      <c r="X3616" t="s">
        <v>16633</v>
      </c>
      <c r="Y3616">
        <v>0</v>
      </c>
      <c r="Z3616">
        <v>2</v>
      </c>
    </row>
    <row r="3617" spans="1:26">
      <c r="A3617" s="1">
        <v>3615</v>
      </c>
      <c r="B3617" t="str">
        <f>HYPERLINK("https://bugs.eclipse.org/bugs/show_bug.cgi?id=205959", "205959")</f>
        <v>205959</v>
      </c>
      <c r="C3617" t="s">
        <v>191</v>
      </c>
      <c r="D3617" t="s">
        <v>192</v>
      </c>
      <c r="E3617" t="s">
        <v>14</v>
      </c>
      <c r="F3617" t="s">
        <v>26</v>
      </c>
      <c r="T3617" t="s">
        <v>16634</v>
      </c>
      <c r="U3617" t="s">
        <v>16635</v>
      </c>
      <c r="V3617" t="s">
        <v>16636</v>
      </c>
      <c r="W3617" t="s">
        <v>65</v>
      </c>
      <c r="X3617" t="s">
        <v>16637</v>
      </c>
      <c r="Y3617">
        <v>1</v>
      </c>
      <c r="Z3617">
        <v>4280</v>
      </c>
    </row>
    <row r="3618" spans="1:26">
      <c r="A3618" s="1">
        <v>3616</v>
      </c>
      <c r="B3618" t="str">
        <f>HYPERLINK("https://bugs.eclipse.org/bugs/show_bug.cgi?id=206024", "206024")</f>
        <v>206024</v>
      </c>
      <c r="C3618" t="s">
        <v>16638</v>
      </c>
      <c r="D3618" t="s">
        <v>10</v>
      </c>
      <c r="E3618" t="s">
        <v>15</v>
      </c>
      <c r="F3618" t="s">
        <v>26</v>
      </c>
      <c r="L3618" t="s">
        <v>16639</v>
      </c>
      <c r="Q3618" t="s">
        <v>16639</v>
      </c>
      <c r="T3618" t="s">
        <v>16640</v>
      </c>
      <c r="U3618" t="s">
        <v>16641</v>
      </c>
      <c r="V3618" t="s">
        <v>16639</v>
      </c>
      <c r="W3618" t="s">
        <v>1954</v>
      </c>
      <c r="X3618" t="s">
        <v>16642</v>
      </c>
      <c r="Y3618">
        <v>0</v>
      </c>
      <c r="Z3618">
        <v>1</v>
      </c>
    </row>
    <row r="3619" spans="1:26">
      <c r="A3619" s="1">
        <v>3617</v>
      </c>
      <c r="B3619" t="str">
        <f>HYPERLINK("https://bugs.eclipse.org/bugs/show_bug.cgi?id=206025", "206025")</f>
        <v>206025</v>
      </c>
      <c r="C3619" t="s">
        <v>149</v>
      </c>
      <c r="D3619" t="s">
        <v>10</v>
      </c>
      <c r="E3619" t="s">
        <v>12</v>
      </c>
      <c r="F3619" t="s">
        <v>26</v>
      </c>
      <c r="L3619" t="s">
        <v>16643</v>
      </c>
      <c r="N3619" t="s">
        <v>16643</v>
      </c>
      <c r="T3619" t="s">
        <v>16644</v>
      </c>
      <c r="U3619" t="s">
        <v>16645</v>
      </c>
      <c r="V3619" t="s">
        <v>16646</v>
      </c>
      <c r="W3619" t="s">
        <v>851</v>
      </c>
      <c r="X3619" t="s">
        <v>16647</v>
      </c>
      <c r="Y3619">
        <v>0</v>
      </c>
      <c r="Z3619">
        <v>189</v>
      </c>
    </row>
    <row r="3620" spans="1:26">
      <c r="A3620" s="1">
        <v>3618</v>
      </c>
      <c r="B3620" t="str">
        <f>HYPERLINK("https://bugs.eclipse.org/bugs/show_bug.cgi?id=206071", "206071")</f>
        <v>206071</v>
      </c>
      <c r="C3620" t="s">
        <v>149</v>
      </c>
      <c r="D3620" t="s">
        <v>10</v>
      </c>
      <c r="E3620" t="s">
        <v>12</v>
      </c>
      <c r="F3620" t="s">
        <v>26</v>
      </c>
      <c r="H3620" t="s">
        <v>16648</v>
      </c>
      <c r="L3620" t="s">
        <v>16649</v>
      </c>
      <c r="N3620" t="s">
        <v>16649</v>
      </c>
      <c r="S3620" t="s">
        <v>16650</v>
      </c>
      <c r="T3620" t="s">
        <v>16651</v>
      </c>
      <c r="U3620" t="s">
        <v>16652</v>
      </c>
      <c r="V3620" t="s">
        <v>16653</v>
      </c>
      <c r="W3620" t="s">
        <v>49</v>
      </c>
      <c r="X3620" t="s">
        <v>16654</v>
      </c>
      <c r="Y3620">
        <v>0</v>
      </c>
      <c r="Z3620">
        <v>22</v>
      </c>
    </row>
    <row r="3621" spans="1:26">
      <c r="A3621" s="1">
        <v>3619</v>
      </c>
      <c r="B3621" t="str">
        <f>HYPERLINK("https://bugs.eclipse.org/bugs/show_bug.cgi?id=206153", "206153")</f>
        <v>206153</v>
      </c>
      <c r="C3621" t="s">
        <v>149</v>
      </c>
      <c r="D3621" t="s">
        <v>10</v>
      </c>
      <c r="E3621" t="s">
        <v>12</v>
      </c>
      <c r="F3621" t="s">
        <v>26</v>
      </c>
      <c r="H3621" t="s">
        <v>16627</v>
      </c>
      <c r="L3621" t="s">
        <v>16655</v>
      </c>
      <c r="N3621" t="s">
        <v>16655</v>
      </c>
      <c r="T3621" t="s">
        <v>16656</v>
      </c>
      <c r="U3621" t="s">
        <v>16657</v>
      </c>
      <c r="V3621" t="s">
        <v>16653</v>
      </c>
      <c r="W3621" t="s">
        <v>49</v>
      </c>
      <c r="X3621" t="s">
        <v>16658</v>
      </c>
      <c r="Y3621">
        <v>3</v>
      </c>
      <c r="Z3621">
        <v>21</v>
      </c>
    </row>
    <row r="3622" spans="1:26">
      <c r="A3622" s="1">
        <v>3620</v>
      </c>
      <c r="B3622" t="str">
        <f>HYPERLINK("https://bugs.eclipse.org/bugs/show_bug.cgi?id=206523", "206523")</f>
        <v>206523</v>
      </c>
      <c r="C3622" t="s">
        <v>16659</v>
      </c>
      <c r="D3622" t="s">
        <v>192</v>
      </c>
      <c r="E3622" t="s">
        <v>15</v>
      </c>
      <c r="F3622" t="s">
        <v>26</v>
      </c>
      <c r="Q3622" t="s">
        <v>16660</v>
      </c>
      <c r="T3622" t="s">
        <v>16661</v>
      </c>
      <c r="U3622" t="s">
        <v>16662</v>
      </c>
      <c r="V3622" t="s">
        <v>16660</v>
      </c>
      <c r="W3622" t="s">
        <v>143</v>
      </c>
      <c r="X3622" t="s">
        <v>16663</v>
      </c>
      <c r="Y3622">
        <v>1</v>
      </c>
      <c r="Z3622">
        <v>945</v>
      </c>
    </row>
    <row r="3623" spans="1:26">
      <c r="A3623" s="1">
        <v>3621</v>
      </c>
      <c r="B3623" t="str">
        <f>HYPERLINK("https://bugs.eclipse.org/bugs/show_bug.cgi?id=206604", "206604")</f>
        <v>206604</v>
      </c>
      <c r="C3623" t="s">
        <v>149</v>
      </c>
      <c r="D3623" t="s">
        <v>10</v>
      </c>
      <c r="E3623" t="s">
        <v>12</v>
      </c>
      <c r="F3623" t="s">
        <v>26</v>
      </c>
      <c r="G3623" t="s">
        <v>16664</v>
      </c>
      <c r="L3623" t="s">
        <v>16665</v>
      </c>
      <c r="N3623" t="s">
        <v>16665</v>
      </c>
      <c r="T3623" t="s">
        <v>16666</v>
      </c>
      <c r="U3623" t="s">
        <v>16665</v>
      </c>
      <c r="V3623" t="s">
        <v>16665</v>
      </c>
      <c r="W3623" t="s">
        <v>49</v>
      </c>
      <c r="X3623" t="s">
        <v>16667</v>
      </c>
      <c r="Y3623">
        <v>1</v>
      </c>
      <c r="Z3623">
        <v>1</v>
      </c>
    </row>
    <row r="3624" spans="1:26">
      <c r="A3624" s="1">
        <v>3622</v>
      </c>
      <c r="B3624" t="str">
        <f>HYPERLINK("https://bugs.eclipse.org/bugs/show_bug.cgi?id=206769", "206769")</f>
        <v>206769</v>
      </c>
      <c r="C3624" t="s">
        <v>191</v>
      </c>
      <c r="D3624" t="s">
        <v>192</v>
      </c>
      <c r="E3624" t="s">
        <v>14</v>
      </c>
      <c r="F3624" t="s">
        <v>26</v>
      </c>
      <c r="P3624" t="s">
        <v>16668</v>
      </c>
      <c r="T3624" t="s">
        <v>16669</v>
      </c>
      <c r="U3624" t="s">
        <v>16670</v>
      </c>
      <c r="V3624" t="s">
        <v>16668</v>
      </c>
      <c r="W3624" t="s">
        <v>65</v>
      </c>
      <c r="X3624" t="s">
        <v>16671</v>
      </c>
      <c r="Y3624">
        <v>0</v>
      </c>
      <c r="Z3624">
        <v>4522.041666666667</v>
      </c>
    </row>
    <row r="3625" spans="1:26">
      <c r="A3625" s="1">
        <v>3623</v>
      </c>
      <c r="B3625" t="str">
        <f>HYPERLINK("https://bugs.eclipse.org/bugs/show_bug.cgi?id=207185", "207185")</f>
        <v>207185</v>
      </c>
      <c r="C3625" t="s">
        <v>149</v>
      </c>
      <c r="D3625" t="s">
        <v>10</v>
      </c>
      <c r="E3625" t="s">
        <v>12</v>
      </c>
      <c r="F3625" t="s">
        <v>26</v>
      </c>
      <c r="L3625" t="s">
        <v>16672</v>
      </c>
      <c r="N3625" t="s">
        <v>16672</v>
      </c>
      <c r="T3625" t="s">
        <v>16673</v>
      </c>
      <c r="U3625" t="s">
        <v>16674</v>
      </c>
      <c r="V3625" t="s">
        <v>8450</v>
      </c>
      <c r="W3625" t="s">
        <v>49</v>
      </c>
      <c r="X3625" t="s">
        <v>16675</v>
      </c>
      <c r="Y3625">
        <v>1</v>
      </c>
      <c r="Z3625">
        <v>1</v>
      </c>
    </row>
    <row r="3626" spans="1:26">
      <c r="A3626" s="1">
        <v>3624</v>
      </c>
      <c r="B3626" t="str">
        <f>HYPERLINK("https://bugs.eclipse.org/bugs/show_bug.cgi?id=207264", "207264")</f>
        <v>207264</v>
      </c>
      <c r="C3626" t="s">
        <v>149</v>
      </c>
      <c r="D3626" t="s">
        <v>10</v>
      </c>
      <c r="E3626" t="s">
        <v>12</v>
      </c>
      <c r="F3626" t="s">
        <v>26</v>
      </c>
      <c r="L3626" t="s">
        <v>16676</v>
      </c>
      <c r="N3626" t="s">
        <v>16676</v>
      </c>
      <c r="T3626" t="s">
        <v>16677</v>
      </c>
      <c r="U3626" t="s">
        <v>16678</v>
      </c>
      <c r="V3626" t="s">
        <v>16676</v>
      </c>
      <c r="W3626" t="s">
        <v>49</v>
      </c>
      <c r="X3626" t="s">
        <v>16679</v>
      </c>
      <c r="Y3626">
        <v>0</v>
      </c>
      <c r="Z3626">
        <v>0</v>
      </c>
    </row>
    <row r="3627" spans="1:26">
      <c r="A3627" s="1">
        <v>3625</v>
      </c>
      <c r="B3627" t="str">
        <f>HYPERLINK("https://bugs.eclipse.org/bugs/show_bug.cgi?id=207492", "207492")</f>
        <v>207492</v>
      </c>
      <c r="C3627" t="s">
        <v>149</v>
      </c>
      <c r="D3627" t="s">
        <v>10</v>
      </c>
      <c r="E3627" t="s">
        <v>12</v>
      </c>
      <c r="F3627" t="s">
        <v>26</v>
      </c>
      <c r="L3627" t="s">
        <v>16680</v>
      </c>
      <c r="N3627" t="s">
        <v>16680</v>
      </c>
      <c r="T3627" t="s">
        <v>16681</v>
      </c>
      <c r="U3627" t="s">
        <v>16682</v>
      </c>
      <c r="V3627" t="s">
        <v>16680</v>
      </c>
      <c r="W3627" t="s">
        <v>49</v>
      </c>
      <c r="X3627" t="s">
        <v>16683</v>
      </c>
      <c r="Y3627">
        <v>1</v>
      </c>
      <c r="Z3627">
        <v>1</v>
      </c>
    </row>
    <row r="3628" spans="1:26">
      <c r="A3628" s="1">
        <v>3626</v>
      </c>
      <c r="B3628" t="str">
        <f>HYPERLINK("https://bugs.eclipse.org/bugs/show_bug.cgi?id=207587", "207587")</f>
        <v>207587</v>
      </c>
      <c r="C3628" t="s">
        <v>56</v>
      </c>
      <c r="D3628" t="s">
        <v>10</v>
      </c>
      <c r="E3628" t="s">
        <v>14</v>
      </c>
      <c r="F3628" t="s">
        <v>26</v>
      </c>
      <c r="L3628" t="s">
        <v>16684</v>
      </c>
      <c r="P3628" t="s">
        <v>16684</v>
      </c>
      <c r="T3628" t="s">
        <v>16685</v>
      </c>
      <c r="U3628" t="s">
        <v>16684</v>
      </c>
      <c r="V3628" t="s">
        <v>16684</v>
      </c>
      <c r="W3628" t="s">
        <v>49</v>
      </c>
      <c r="X3628" t="s">
        <v>16686</v>
      </c>
      <c r="Y3628">
        <v>3</v>
      </c>
      <c r="Z3628">
        <v>3</v>
      </c>
    </row>
    <row r="3629" spans="1:26">
      <c r="A3629" s="1">
        <v>3627</v>
      </c>
      <c r="B3629" t="str">
        <f>HYPERLINK("https://bugs.eclipse.org/bugs/show_bug.cgi?id=208200", "208200")</f>
        <v>208200</v>
      </c>
      <c r="C3629" t="s">
        <v>25</v>
      </c>
      <c r="D3629" t="s">
        <v>25</v>
      </c>
      <c r="F3629" t="s">
        <v>26</v>
      </c>
      <c r="T3629" t="s">
        <v>16687</v>
      </c>
      <c r="U3629" t="s">
        <v>16688</v>
      </c>
      <c r="V3629" t="s">
        <v>16689</v>
      </c>
      <c r="W3629" t="s">
        <v>49</v>
      </c>
      <c r="X3629" t="s">
        <v>16690</v>
      </c>
      <c r="Y3629">
        <v>0</v>
      </c>
    </row>
    <row r="3630" spans="1:26">
      <c r="A3630" s="1">
        <v>3628</v>
      </c>
      <c r="B3630" t="str">
        <f>HYPERLINK("https://bugs.eclipse.org/bugs/show_bug.cgi?id=208537", "208537")</f>
        <v>208537</v>
      </c>
      <c r="C3630" t="s">
        <v>7691</v>
      </c>
      <c r="D3630" t="s">
        <v>10</v>
      </c>
      <c r="E3630" t="s">
        <v>15</v>
      </c>
      <c r="F3630" t="s">
        <v>26</v>
      </c>
      <c r="L3630" t="s">
        <v>16691</v>
      </c>
      <c r="Q3630" t="s">
        <v>16691</v>
      </c>
      <c r="T3630" t="s">
        <v>16692</v>
      </c>
      <c r="U3630" t="s">
        <v>16691</v>
      </c>
      <c r="V3630" t="s">
        <v>16691</v>
      </c>
      <c r="W3630" t="s">
        <v>49</v>
      </c>
      <c r="X3630" t="s">
        <v>16693</v>
      </c>
      <c r="Y3630">
        <v>17.041666666666671</v>
      </c>
      <c r="Z3630">
        <v>17.041666666666671</v>
      </c>
    </row>
    <row r="3631" spans="1:26">
      <c r="A3631" s="1">
        <v>3629</v>
      </c>
      <c r="B3631" t="str">
        <f>HYPERLINK("https://bugs.eclipse.org/bugs/show_bug.cgi?id=208859", "208859")</f>
        <v>208859</v>
      </c>
      <c r="C3631" t="s">
        <v>4692</v>
      </c>
      <c r="D3631" t="s">
        <v>4692</v>
      </c>
      <c r="F3631" t="s">
        <v>26</v>
      </c>
    </row>
    <row r="3632" spans="1:26">
      <c r="A3632" s="1">
        <v>3630</v>
      </c>
      <c r="B3632" t="str">
        <f>HYPERLINK("https://bugs.eclipse.org/bugs/show_bug.cgi?id=208974", "208974")</f>
        <v>208974</v>
      </c>
      <c r="C3632" t="s">
        <v>149</v>
      </c>
      <c r="D3632" t="s">
        <v>10</v>
      </c>
      <c r="E3632" t="s">
        <v>12</v>
      </c>
      <c r="F3632" t="s">
        <v>26</v>
      </c>
      <c r="G3632" t="s">
        <v>16694</v>
      </c>
      <c r="L3632" t="s">
        <v>16695</v>
      </c>
      <c r="N3632" t="s">
        <v>16695</v>
      </c>
      <c r="T3632" t="s">
        <v>16696</v>
      </c>
      <c r="U3632" t="s">
        <v>16695</v>
      </c>
      <c r="V3632" t="s">
        <v>16697</v>
      </c>
      <c r="W3632" t="s">
        <v>16698</v>
      </c>
      <c r="X3632" t="s">
        <v>16699</v>
      </c>
      <c r="Y3632">
        <v>1</v>
      </c>
      <c r="Z3632">
        <v>1</v>
      </c>
    </row>
    <row r="3633" spans="1:26">
      <c r="A3633" s="1">
        <v>3631</v>
      </c>
      <c r="B3633" t="str">
        <f>HYPERLINK("https://bugs.eclipse.org/bugs/show_bug.cgi?id=209315", "209315")</f>
        <v>209315</v>
      </c>
      <c r="C3633" t="s">
        <v>16700</v>
      </c>
      <c r="D3633" t="s">
        <v>10</v>
      </c>
      <c r="E3633" t="s">
        <v>15</v>
      </c>
      <c r="F3633" t="s">
        <v>26</v>
      </c>
      <c r="L3633" t="s">
        <v>16701</v>
      </c>
      <c r="Q3633" t="s">
        <v>16701</v>
      </c>
      <c r="T3633" t="s">
        <v>16702</v>
      </c>
      <c r="U3633" t="s">
        <v>16701</v>
      </c>
      <c r="V3633" t="s">
        <v>16701</v>
      </c>
      <c r="W3633" t="s">
        <v>49</v>
      </c>
      <c r="X3633" t="s">
        <v>16703</v>
      </c>
      <c r="Y3633">
        <v>3</v>
      </c>
      <c r="Z3633">
        <v>3</v>
      </c>
    </row>
    <row r="3634" spans="1:26">
      <c r="A3634" s="1">
        <v>3632</v>
      </c>
      <c r="B3634" t="str">
        <f>HYPERLINK("https://bugs.eclipse.org/bugs/show_bug.cgi?id=209500", "209500")</f>
        <v>209500</v>
      </c>
      <c r="C3634" t="s">
        <v>35</v>
      </c>
      <c r="D3634" t="s">
        <v>11</v>
      </c>
      <c r="E3634" t="s">
        <v>12</v>
      </c>
      <c r="F3634" t="s">
        <v>26</v>
      </c>
      <c r="L3634" t="s">
        <v>16704</v>
      </c>
      <c r="M3634" t="s">
        <v>16705</v>
      </c>
      <c r="N3634" t="s">
        <v>16704</v>
      </c>
      <c r="T3634" t="s">
        <v>16706</v>
      </c>
      <c r="U3634" t="s">
        <v>16707</v>
      </c>
      <c r="V3634" t="s">
        <v>16705</v>
      </c>
      <c r="W3634" t="s">
        <v>143</v>
      </c>
      <c r="X3634" t="s">
        <v>16708</v>
      </c>
      <c r="Y3634">
        <v>0</v>
      </c>
      <c r="Z3634">
        <v>73</v>
      </c>
    </row>
    <row r="3635" spans="1:26">
      <c r="A3635" s="1">
        <v>3633</v>
      </c>
      <c r="B3635" t="str">
        <f>HYPERLINK("https://bugs.eclipse.org/bugs/show_bug.cgi?id=209573", "209573")</f>
        <v>209573</v>
      </c>
      <c r="C3635" t="s">
        <v>140</v>
      </c>
      <c r="D3635" t="s">
        <v>10</v>
      </c>
      <c r="E3635" t="s">
        <v>16</v>
      </c>
      <c r="F3635" t="s">
        <v>26</v>
      </c>
      <c r="L3635" t="s">
        <v>16709</v>
      </c>
      <c r="R3635" t="s">
        <v>16709</v>
      </c>
      <c r="T3635" t="s">
        <v>16710</v>
      </c>
      <c r="U3635" t="s">
        <v>16711</v>
      </c>
      <c r="V3635" t="s">
        <v>16709</v>
      </c>
      <c r="W3635" t="s">
        <v>49</v>
      </c>
      <c r="X3635" t="s">
        <v>16712</v>
      </c>
      <c r="Y3635">
        <v>0</v>
      </c>
      <c r="Z3635">
        <v>1</v>
      </c>
    </row>
    <row r="3636" spans="1:26">
      <c r="A3636" s="1">
        <v>3634</v>
      </c>
      <c r="B3636" t="str">
        <f>HYPERLINK("https://bugs.eclipse.org/bugs/show_bug.cgi?id=209615", "209615")</f>
        <v>209615</v>
      </c>
      <c r="C3636" t="s">
        <v>4692</v>
      </c>
      <c r="D3636" t="s">
        <v>4692</v>
      </c>
      <c r="F3636" t="s">
        <v>26</v>
      </c>
      <c r="T3636" t="s">
        <v>16713</v>
      </c>
      <c r="U3636" t="s">
        <v>16714</v>
      </c>
      <c r="V3636" t="s">
        <v>16715</v>
      </c>
      <c r="W3636" t="s">
        <v>49</v>
      </c>
      <c r="X3636" t="s">
        <v>16716</v>
      </c>
      <c r="Y3636">
        <v>0</v>
      </c>
    </row>
    <row r="3637" spans="1:26">
      <c r="A3637" s="1">
        <v>3635</v>
      </c>
      <c r="B3637" t="str">
        <f>HYPERLINK("https://bugs.eclipse.org/bugs/show_bug.cgi?id=209853", "209853")</f>
        <v>209853</v>
      </c>
      <c r="C3637" t="s">
        <v>149</v>
      </c>
      <c r="D3637" t="s">
        <v>10</v>
      </c>
      <c r="E3637" t="s">
        <v>12</v>
      </c>
      <c r="F3637" t="s">
        <v>26</v>
      </c>
      <c r="L3637" t="s">
        <v>16717</v>
      </c>
      <c r="N3637" t="s">
        <v>16717</v>
      </c>
      <c r="T3637" t="s">
        <v>16718</v>
      </c>
      <c r="U3637" t="s">
        <v>16719</v>
      </c>
      <c r="V3637" t="s">
        <v>16717</v>
      </c>
      <c r="W3637" t="s">
        <v>851</v>
      </c>
      <c r="X3637" t="s">
        <v>16720</v>
      </c>
      <c r="Y3637">
        <v>1</v>
      </c>
      <c r="Z3637">
        <v>1</v>
      </c>
    </row>
    <row r="3638" spans="1:26">
      <c r="A3638" s="1">
        <v>3636</v>
      </c>
      <c r="B3638" t="str">
        <f>HYPERLINK("https://bugs.eclipse.org/bugs/show_bug.cgi?id=209937", "209937")</f>
        <v>209937</v>
      </c>
      <c r="C3638" t="s">
        <v>35</v>
      </c>
      <c r="D3638" t="s">
        <v>11</v>
      </c>
      <c r="E3638" t="s">
        <v>12</v>
      </c>
      <c r="F3638" t="s">
        <v>26</v>
      </c>
      <c r="L3638" t="s">
        <v>16721</v>
      </c>
      <c r="M3638" t="s">
        <v>16722</v>
      </c>
      <c r="N3638" t="s">
        <v>16721</v>
      </c>
      <c r="T3638" t="s">
        <v>16723</v>
      </c>
      <c r="U3638" t="s">
        <v>16724</v>
      </c>
      <c r="V3638" t="s">
        <v>16722</v>
      </c>
      <c r="W3638" t="s">
        <v>143</v>
      </c>
      <c r="X3638" t="s">
        <v>16725</v>
      </c>
      <c r="Y3638">
        <v>0</v>
      </c>
      <c r="Z3638">
        <v>186.95833333333329</v>
      </c>
    </row>
    <row r="3639" spans="1:26">
      <c r="A3639" s="1">
        <v>3637</v>
      </c>
      <c r="B3639" t="str">
        <f>HYPERLINK("https://bugs.eclipse.org/bugs/show_bug.cgi?id=210008", "210008")</f>
        <v>210008</v>
      </c>
      <c r="C3639" t="s">
        <v>35</v>
      </c>
      <c r="D3639" t="s">
        <v>11</v>
      </c>
      <c r="E3639" t="s">
        <v>12</v>
      </c>
      <c r="F3639" t="s">
        <v>26</v>
      </c>
      <c r="L3639" t="s">
        <v>16726</v>
      </c>
      <c r="M3639" t="s">
        <v>16727</v>
      </c>
      <c r="N3639" t="s">
        <v>16726</v>
      </c>
      <c r="T3639" t="s">
        <v>16728</v>
      </c>
      <c r="U3639" t="s">
        <v>16729</v>
      </c>
      <c r="V3639" t="s">
        <v>16727</v>
      </c>
      <c r="W3639" t="s">
        <v>12301</v>
      </c>
      <c r="X3639" t="s">
        <v>16730</v>
      </c>
      <c r="Y3639">
        <v>1</v>
      </c>
      <c r="Z3639">
        <v>4478</v>
      </c>
    </row>
    <row r="3640" spans="1:26">
      <c r="A3640" s="1">
        <v>3638</v>
      </c>
      <c r="B3640" t="str">
        <f>HYPERLINK("https://bugs.eclipse.org/bugs/show_bug.cgi?id=210152", "210152")</f>
        <v>210152</v>
      </c>
      <c r="C3640" t="s">
        <v>149</v>
      </c>
      <c r="D3640" t="s">
        <v>10</v>
      </c>
      <c r="E3640" t="s">
        <v>12</v>
      </c>
      <c r="F3640" t="s">
        <v>26</v>
      </c>
      <c r="L3640" t="s">
        <v>16731</v>
      </c>
      <c r="N3640" t="s">
        <v>16731</v>
      </c>
      <c r="T3640" t="s">
        <v>16732</v>
      </c>
      <c r="U3640" t="s">
        <v>16733</v>
      </c>
      <c r="V3640" t="s">
        <v>16731</v>
      </c>
      <c r="W3640" t="s">
        <v>49</v>
      </c>
      <c r="X3640" t="s">
        <v>16734</v>
      </c>
      <c r="Y3640">
        <v>0</v>
      </c>
      <c r="Z3640">
        <v>180.95833333333329</v>
      </c>
    </row>
    <row r="3641" spans="1:26">
      <c r="A3641" s="1">
        <v>3639</v>
      </c>
      <c r="B3641" t="str">
        <f>HYPERLINK("https://bugs.eclipse.org/bugs/show_bug.cgi?id=210166", "210166")</f>
        <v>210166</v>
      </c>
      <c r="C3641" t="s">
        <v>191</v>
      </c>
      <c r="D3641" t="s">
        <v>192</v>
      </c>
      <c r="E3641" t="s">
        <v>14</v>
      </c>
      <c r="F3641" t="s">
        <v>26</v>
      </c>
      <c r="T3641" t="s">
        <v>16735</v>
      </c>
      <c r="U3641" t="s">
        <v>16736</v>
      </c>
      <c r="V3641" t="s">
        <v>16737</v>
      </c>
      <c r="W3641" t="s">
        <v>65</v>
      </c>
      <c r="X3641" t="s">
        <v>16738</v>
      </c>
      <c r="Y3641">
        <v>3</v>
      </c>
      <c r="Z3641">
        <v>4364.958333333333</v>
      </c>
    </row>
    <row r="3642" spans="1:26">
      <c r="A3642" s="1">
        <v>3640</v>
      </c>
      <c r="B3642" t="str">
        <f>HYPERLINK("https://bugs.eclipse.org/bugs/show_bug.cgi?id=210599", "210599")</f>
        <v>210599</v>
      </c>
      <c r="C3642" t="s">
        <v>140</v>
      </c>
      <c r="D3642" t="s">
        <v>10</v>
      </c>
      <c r="E3642" t="s">
        <v>16</v>
      </c>
      <c r="F3642" t="s">
        <v>26</v>
      </c>
      <c r="L3642" t="s">
        <v>16739</v>
      </c>
      <c r="R3642" t="s">
        <v>16739</v>
      </c>
      <c r="T3642" t="s">
        <v>16740</v>
      </c>
      <c r="U3642" t="s">
        <v>16739</v>
      </c>
      <c r="V3642" t="s">
        <v>16741</v>
      </c>
      <c r="W3642" t="s">
        <v>143</v>
      </c>
      <c r="X3642" t="s">
        <v>16742</v>
      </c>
      <c r="Y3642">
        <v>1</v>
      </c>
      <c r="Z3642">
        <v>1</v>
      </c>
    </row>
    <row r="3643" spans="1:26">
      <c r="A3643" s="1">
        <v>3641</v>
      </c>
      <c r="B3643" t="str">
        <f>HYPERLINK("https://bugs.eclipse.org/bugs/show_bug.cgi?id=210952", "210952")</f>
        <v>210952</v>
      </c>
      <c r="C3643" t="s">
        <v>149</v>
      </c>
      <c r="D3643" t="s">
        <v>10</v>
      </c>
      <c r="E3643" t="s">
        <v>12</v>
      </c>
      <c r="F3643" t="s">
        <v>26</v>
      </c>
      <c r="L3643" t="s">
        <v>16743</v>
      </c>
      <c r="N3643" t="s">
        <v>16743</v>
      </c>
      <c r="T3643" t="s">
        <v>16744</v>
      </c>
      <c r="U3643" t="s">
        <v>16745</v>
      </c>
      <c r="V3643" t="s">
        <v>16743</v>
      </c>
      <c r="W3643" t="s">
        <v>49</v>
      </c>
      <c r="X3643" t="s">
        <v>16746</v>
      </c>
      <c r="Y3643">
        <v>1</v>
      </c>
      <c r="Z3643">
        <v>3</v>
      </c>
    </row>
    <row r="3644" spans="1:26">
      <c r="A3644" s="1">
        <v>3642</v>
      </c>
      <c r="B3644" t="str">
        <f>HYPERLINK("https://bugs.eclipse.org/bugs/show_bug.cgi?id=211037", "211037")</f>
        <v>211037</v>
      </c>
      <c r="C3644" t="s">
        <v>35</v>
      </c>
      <c r="D3644" t="s">
        <v>11</v>
      </c>
      <c r="E3644" t="s">
        <v>12</v>
      </c>
      <c r="F3644" t="s">
        <v>26</v>
      </c>
      <c r="G3644" t="s">
        <v>16747</v>
      </c>
      <c r="H3644" t="s">
        <v>16748</v>
      </c>
      <c r="L3644" t="s">
        <v>16749</v>
      </c>
      <c r="M3644" t="s">
        <v>16750</v>
      </c>
      <c r="N3644" t="s">
        <v>16749</v>
      </c>
      <c r="T3644" t="s">
        <v>16751</v>
      </c>
      <c r="U3644" t="s">
        <v>16752</v>
      </c>
      <c r="V3644" t="s">
        <v>16750</v>
      </c>
      <c r="W3644" t="s">
        <v>143</v>
      </c>
      <c r="X3644" t="s">
        <v>16753</v>
      </c>
      <c r="Y3644">
        <v>0</v>
      </c>
      <c r="Z3644">
        <v>184.95833333333329</v>
      </c>
    </row>
    <row r="3645" spans="1:26">
      <c r="A3645" s="1">
        <v>3643</v>
      </c>
      <c r="B3645" t="str">
        <f>HYPERLINK("https://bugs.eclipse.org/bugs/show_bug.cgi?id=211491", "211491")</f>
        <v>211491</v>
      </c>
      <c r="C3645" t="s">
        <v>16754</v>
      </c>
      <c r="D3645" t="s">
        <v>10</v>
      </c>
      <c r="E3645" t="s">
        <v>15</v>
      </c>
      <c r="F3645" t="s">
        <v>26</v>
      </c>
      <c r="L3645" t="s">
        <v>16755</v>
      </c>
      <c r="Q3645" t="s">
        <v>16755</v>
      </c>
      <c r="T3645" t="s">
        <v>16756</v>
      </c>
      <c r="U3645" t="s">
        <v>16757</v>
      </c>
      <c r="V3645" t="s">
        <v>16755</v>
      </c>
      <c r="W3645" t="s">
        <v>49</v>
      </c>
      <c r="X3645" t="s">
        <v>16758</v>
      </c>
      <c r="Y3645">
        <v>0</v>
      </c>
      <c r="Z3645">
        <v>1</v>
      </c>
    </row>
    <row r="3646" spans="1:26">
      <c r="A3646" s="1">
        <v>3644</v>
      </c>
      <c r="B3646" t="str">
        <f>HYPERLINK("https://bugs.eclipse.org/bugs/show_bug.cgi?id=211529", "211529")</f>
        <v>211529</v>
      </c>
      <c r="C3646" t="s">
        <v>35</v>
      </c>
      <c r="D3646" t="s">
        <v>11</v>
      </c>
      <c r="E3646" t="s">
        <v>12</v>
      </c>
      <c r="F3646" t="s">
        <v>26</v>
      </c>
      <c r="G3646" t="s">
        <v>16759</v>
      </c>
      <c r="L3646" t="s">
        <v>16760</v>
      </c>
      <c r="M3646" t="s">
        <v>16761</v>
      </c>
      <c r="N3646" t="s">
        <v>16760</v>
      </c>
      <c r="T3646" t="s">
        <v>16762</v>
      </c>
      <c r="U3646" t="s">
        <v>16763</v>
      </c>
      <c r="V3646" t="s">
        <v>16764</v>
      </c>
      <c r="W3646" t="s">
        <v>2777</v>
      </c>
      <c r="X3646" t="s">
        <v>16765</v>
      </c>
      <c r="Y3646">
        <v>1</v>
      </c>
      <c r="Z3646">
        <v>1603.958333333333</v>
      </c>
    </row>
    <row r="3647" spans="1:26">
      <c r="A3647" s="1">
        <v>3645</v>
      </c>
      <c r="B3647" t="str">
        <f>HYPERLINK("https://bugs.eclipse.org/bugs/show_bug.cgi?id=212122", "212122")</f>
        <v>212122</v>
      </c>
      <c r="C3647" t="s">
        <v>4692</v>
      </c>
      <c r="D3647" t="s">
        <v>4692</v>
      </c>
      <c r="F3647" t="s">
        <v>26</v>
      </c>
      <c r="T3647" t="s">
        <v>16766</v>
      </c>
      <c r="U3647" t="s">
        <v>16767</v>
      </c>
      <c r="V3647" t="s">
        <v>16768</v>
      </c>
      <c r="W3647" t="s">
        <v>12301</v>
      </c>
      <c r="X3647" t="s">
        <v>16769</v>
      </c>
      <c r="Y3647">
        <v>1</v>
      </c>
    </row>
    <row r="3648" spans="1:26">
      <c r="A3648" s="1">
        <v>3646</v>
      </c>
      <c r="B3648" t="str">
        <f>HYPERLINK("https://bugs.eclipse.org/bugs/show_bug.cgi?id=212263", "212263")</f>
        <v>212263</v>
      </c>
      <c r="C3648" t="s">
        <v>149</v>
      </c>
      <c r="D3648" t="s">
        <v>10</v>
      </c>
      <c r="E3648" t="s">
        <v>12</v>
      </c>
      <c r="F3648" t="s">
        <v>26</v>
      </c>
      <c r="L3648" t="s">
        <v>16770</v>
      </c>
      <c r="N3648" t="s">
        <v>16770</v>
      </c>
      <c r="T3648" t="s">
        <v>16771</v>
      </c>
      <c r="U3648" t="s">
        <v>16772</v>
      </c>
      <c r="V3648" t="s">
        <v>16770</v>
      </c>
      <c r="W3648" t="s">
        <v>1954</v>
      </c>
      <c r="X3648" t="s">
        <v>16773</v>
      </c>
      <c r="Y3648">
        <v>3</v>
      </c>
      <c r="Z3648">
        <v>3</v>
      </c>
    </row>
    <row r="3649" spans="1:26">
      <c r="A3649" s="1">
        <v>3647</v>
      </c>
      <c r="B3649" t="str">
        <f>HYPERLINK("https://bugs.eclipse.org/bugs/show_bug.cgi?id=212512", "212512")</f>
        <v>212512</v>
      </c>
      <c r="C3649" t="s">
        <v>140</v>
      </c>
      <c r="D3649" t="s">
        <v>10</v>
      </c>
      <c r="E3649" t="s">
        <v>16</v>
      </c>
      <c r="F3649" t="s">
        <v>26</v>
      </c>
      <c r="G3649" t="s">
        <v>16774</v>
      </c>
      <c r="L3649" t="s">
        <v>16775</v>
      </c>
      <c r="R3649" t="s">
        <v>16775</v>
      </c>
      <c r="T3649" t="s">
        <v>16776</v>
      </c>
      <c r="U3649" t="s">
        <v>16777</v>
      </c>
      <c r="V3649" t="s">
        <v>16778</v>
      </c>
      <c r="W3649" t="s">
        <v>851</v>
      </c>
      <c r="X3649" t="s">
        <v>16779</v>
      </c>
      <c r="Y3649">
        <v>0</v>
      </c>
      <c r="Z3649">
        <v>2792.958333333333</v>
      </c>
    </row>
    <row r="3650" spans="1:26">
      <c r="A3650" s="1">
        <v>3648</v>
      </c>
      <c r="B3650" t="str">
        <f>HYPERLINK("https://bugs.eclipse.org/bugs/show_bug.cgi?id=213144", "213144")</f>
        <v>213144</v>
      </c>
      <c r="C3650" t="s">
        <v>191</v>
      </c>
      <c r="D3650" t="s">
        <v>192</v>
      </c>
      <c r="E3650" t="s">
        <v>14</v>
      </c>
      <c r="F3650" t="s">
        <v>26</v>
      </c>
      <c r="T3650" t="s">
        <v>16780</v>
      </c>
      <c r="U3650" t="s">
        <v>16781</v>
      </c>
      <c r="V3650" t="s">
        <v>16782</v>
      </c>
      <c r="W3650" t="s">
        <v>65</v>
      </c>
      <c r="X3650" t="s">
        <v>16783</v>
      </c>
      <c r="Y3650">
        <v>0</v>
      </c>
      <c r="Z3650">
        <v>3986</v>
      </c>
    </row>
    <row r="3651" spans="1:26">
      <c r="A3651" s="1">
        <v>3649</v>
      </c>
      <c r="B3651" t="str">
        <f>HYPERLINK("https://bugs.eclipse.org/bugs/show_bug.cgi?id=213638", "213638")</f>
        <v>213638</v>
      </c>
      <c r="C3651" t="s">
        <v>149</v>
      </c>
      <c r="D3651" t="s">
        <v>10</v>
      </c>
      <c r="E3651" t="s">
        <v>12</v>
      </c>
      <c r="F3651" t="s">
        <v>26</v>
      </c>
      <c r="L3651" t="s">
        <v>16784</v>
      </c>
      <c r="N3651" t="s">
        <v>16784</v>
      </c>
      <c r="T3651" t="s">
        <v>16785</v>
      </c>
      <c r="U3651" t="s">
        <v>16786</v>
      </c>
      <c r="V3651" t="s">
        <v>16787</v>
      </c>
      <c r="W3651" t="s">
        <v>1954</v>
      </c>
      <c r="X3651" t="s">
        <v>16788</v>
      </c>
      <c r="Y3651">
        <v>1</v>
      </c>
      <c r="Z3651">
        <v>64</v>
      </c>
    </row>
    <row r="3652" spans="1:26">
      <c r="A3652" s="1">
        <v>3650</v>
      </c>
      <c r="B3652" t="str">
        <f>HYPERLINK("https://bugs.eclipse.org/bugs/show_bug.cgi?id=213984", "213984")</f>
        <v>213984</v>
      </c>
      <c r="C3652" t="s">
        <v>88</v>
      </c>
      <c r="D3652" t="s">
        <v>10</v>
      </c>
      <c r="E3652" t="s">
        <v>13</v>
      </c>
      <c r="F3652" t="s">
        <v>26</v>
      </c>
      <c r="L3652" t="s">
        <v>16789</v>
      </c>
      <c r="O3652" t="s">
        <v>16789</v>
      </c>
      <c r="T3652" t="s">
        <v>16790</v>
      </c>
      <c r="U3652" t="s">
        <v>16791</v>
      </c>
      <c r="V3652" t="s">
        <v>16792</v>
      </c>
      <c r="W3652" t="s">
        <v>143</v>
      </c>
      <c r="X3652" t="s">
        <v>16793</v>
      </c>
      <c r="Y3652">
        <v>0</v>
      </c>
      <c r="Z3652">
        <v>11</v>
      </c>
    </row>
    <row r="3653" spans="1:26">
      <c r="A3653" s="1">
        <v>3651</v>
      </c>
      <c r="B3653" t="str">
        <f>HYPERLINK("https://bugs.eclipse.org/bugs/show_bug.cgi?id=214027", "214027")</f>
        <v>214027</v>
      </c>
      <c r="C3653" t="s">
        <v>191</v>
      </c>
      <c r="D3653" t="s">
        <v>192</v>
      </c>
      <c r="E3653" t="s">
        <v>14</v>
      </c>
      <c r="F3653" t="s">
        <v>26</v>
      </c>
      <c r="P3653" t="s">
        <v>16794</v>
      </c>
      <c r="T3653" t="s">
        <v>16795</v>
      </c>
      <c r="U3653" t="s">
        <v>16796</v>
      </c>
      <c r="V3653" t="s">
        <v>16794</v>
      </c>
      <c r="W3653" t="s">
        <v>65</v>
      </c>
      <c r="X3653" t="s">
        <v>16797</v>
      </c>
      <c r="Y3653">
        <v>1</v>
      </c>
      <c r="Z3653">
        <v>4497.958333333333</v>
      </c>
    </row>
    <row r="3654" spans="1:26">
      <c r="A3654" s="1">
        <v>3652</v>
      </c>
      <c r="B3654" t="str">
        <f>HYPERLINK("https://bugs.eclipse.org/bugs/show_bug.cgi?id=214047", "214047")</f>
        <v>214047</v>
      </c>
      <c r="C3654" t="s">
        <v>140</v>
      </c>
      <c r="D3654" t="s">
        <v>10</v>
      </c>
      <c r="E3654" t="s">
        <v>16</v>
      </c>
      <c r="F3654" t="s">
        <v>26</v>
      </c>
      <c r="L3654" t="s">
        <v>16798</v>
      </c>
      <c r="R3654" t="s">
        <v>16798</v>
      </c>
      <c r="T3654" t="s">
        <v>16799</v>
      </c>
      <c r="U3654" t="s">
        <v>16800</v>
      </c>
      <c r="V3654" t="s">
        <v>16801</v>
      </c>
      <c r="W3654" t="s">
        <v>143</v>
      </c>
      <c r="X3654" t="s">
        <v>16802</v>
      </c>
      <c r="Y3654">
        <v>7</v>
      </c>
      <c r="Z3654">
        <v>4070</v>
      </c>
    </row>
    <row r="3655" spans="1:26">
      <c r="A3655" s="1">
        <v>3653</v>
      </c>
      <c r="B3655" t="str">
        <f>HYPERLINK("https://bugs.eclipse.org/bugs/show_bug.cgi?id=214584", "214584")</f>
        <v>214584</v>
      </c>
      <c r="C3655" t="s">
        <v>56</v>
      </c>
      <c r="D3655" t="s">
        <v>10</v>
      </c>
      <c r="E3655" t="s">
        <v>14</v>
      </c>
      <c r="F3655" t="s">
        <v>26</v>
      </c>
      <c r="L3655" t="s">
        <v>16803</v>
      </c>
      <c r="P3655" t="s">
        <v>16803</v>
      </c>
      <c r="T3655" t="s">
        <v>16804</v>
      </c>
      <c r="U3655" t="s">
        <v>16803</v>
      </c>
      <c r="V3655" t="s">
        <v>16803</v>
      </c>
      <c r="W3655" t="s">
        <v>143</v>
      </c>
      <c r="X3655" t="s">
        <v>16805</v>
      </c>
      <c r="Y3655">
        <v>0</v>
      </c>
      <c r="Z3655">
        <v>0</v>
      </c>
    </row>
    <row r="3656" spans="1:26">
      <c r="A3656" s="1">
        <v>3654</v>
      </c>
      <c r="B3656" t="str">
        <f>HYPERLINK("https://bugs.eclipse.org/bugs/show_bug.cgi?id=215837", "215837")</f>
        <v>215837</v>
      </c>
      <c r="C3656" t="s">
        <v>16806</v>
      </c>
      <c r="D3656" t="s">
        <v>10</v>
      </c>
      <c r="E3656" t="s">
        <v>15</v>
      </c>
      <c r="F3656" t="s">
        <v>26</v>
      </c>
      <c r="L3656" t="s">
        <v>16807</v>
      </c>
      <c r="Q3656" t="s">
        <v>16807</v>
      </c>
      <c r="T3656" t="s">
        <v>16808</v>
      </c>
      <c r="U3656" t="s">
        <v>16809</v>
      </c>
      <c r="V3656" t="s">
        <v>16807</v>
      </c>
      <c r="W3656" t="s">
        <v>143</v>
      </c>
      <c r="X3656" t="s">
        <v>16810</v>
      </c>
      <c r="Y3656">
        <v>0</v>
      </c>
      <c r="Z3656">
        <v>3</v>
      </c>
    </row>
    <row r="3657" spans="1:26">
      <c r="A3657" s="1">
        <v>3655</v>
      </c>
      <c r="B3657" t="str">
        <f>HYPERLINK("https://bugs.eclipse.org/bugs/show_bug.cgi?id=215957", "215957")</f>
        <v>215957</v>
      </c>
      <c r="C3657" t="s">
        <v>25</v>
      </c>
      <c r="D3657" t="s">
        <v>25</v>
      </c>
      <c r="F3657" t="s">
        <v>26</v>
      </c>
      <c r="T3657" t="s">
        <v>16811</v>
      </c>
      <c r="U3657" t="s">
        <v>16812</v>
      </c>
      <c r="V3657" t="s">
        <v>16813</v>
      </c>
      <c r="W3657" t="s">
        <v>16814</v>
      </c>
      <c r="X3657" t="s">
        <v>16815</v>
      </c>
      <c r="Y3657">
        <v>0</v>
      </c>
    </row>
    <row r="3658" spans="1:26">
      <c r="A3658" s="1">
        <v>3656</v>
      </c>
      <c r="B3658" t="str">
        <f>HYPERLINK("https://bugs.eclipse.org/bugs/show_bug.cgi?id=216627", "216627")</f>
        <v>216627</v>
      </c>
      <c r="C3658" t="s">
        <v>149</v>
      </c>
      <c r="D3658" t="s">
        <v>10</v>
      </c>
      <c r="E3658" t="s">
        <v>12</v>
      </c>
      <c r="F3658" t="s">
        <v>26</v>
      </c>
      <c r="L3658" t="s">
        <v>16816</v>
      </c>
      <c r="N3658" t="s">
        <v>16816</v>
      </c>
      <c r="T3658" t="s">
        <v>16817</v>
      </c>
      <c r="U3658" t="s">
        <v>16818</v>
      </c>
      <c r="V3658" t="s">
        <v>16816</v>
      </c>
      <c r="W3658" t="s">
        <v>851</v>
      </c>
      <c r="X3658" t="s">
        <v>16819</v>
      </c>
      <c r="Y3658">
        <v>0</v>
      </c>
      <c r="Z3658">
        <v>796.95833333333337</v>
      </c>
    </row>
    <row r="3659" spans="1:26">
      <c r="A3659" s="1">
        <v>3657</v>
      </c>
      <c r="B3659" t="str">
        <f>HYPERLINK("https://bugs.eclipse.org/bugs/show_bug.cgi?id=216661", "216661")</f>
        <v>216661</v>
      </c>
      <c r="C3659" t="s">
        <v>16048</v>
      </c>
      <c r="D3659" t="s">
        <v>10</v>
      </c>
      <c r="E3659" t="s">
        <v>15</v>
      </c>
      <c r="F3659" t="s">
        <v>26</v>
      </c>
      <c r="L3659" t="s">
        <v>16820</v>
      </c>
      <c r="Q3659" t="s">
        <v>16820</v>
      </c>
      <c r="T3659" t="s">
        <v>16821</v>
      </c>
      <c r="U3659" t="s">
        <v>16820</v>
      </c>
      <c r="V3659" t="s">
        <v>16822</v>
      </c>
      <c r="W3659" t="s">
        <v>143</v>
      </c>
      <c r="X3659" t="s">
        <v>16823</v>
      </c>
      <c r="Y3659">
        <v>3</v>
      </c>
      <c r="Z3659">
        <v>3</v>
      </c>
    </row>
    <row r="3660" spans="1:26">
      <c r="A3660" s="1">
        <v>3658</v>
      </c>
      <c r="B3660" t="str">
        <f>HYPERLINK("https://bugs.eclipse.org/bugs/show_bug.cgi?id=216697", "216697")</f>
        <v>216697</v>
      </c>
      <c r="C3660" t="s">
        <v>56</v>
      </c>
      <c r="D3660" t="s">
        <v>10</v>
      </c>
      <c r="E3660" t="s">
        <v>14</v>
      </c>
      <c r="F3660" t="s">
        <v>26</v>
      </c>
      <c r="L3660" t="s">
        <v>16824</v>
      </c>
      <c r="P3660" t="s">
        <v>16824</v>
      </c>
      <c r="T3660" t="s">
        <v>16825</v>
      </c>
      <c r="U3660" t="s">
        <v>16826</v>
      </c>
      <c r="V3660" t="s">
        <v>16824</v>
      </c>
      <c r="W3660" t="s">
        <v>851</v>
      </c>
      <c r="X3660" t="s">
        <v>16827</v>
      </c>
      <c r="Y3660">
        <v>0</v>
      </c>
      <c r="Z3660">
        <v>3</v>
      </c>
    </row>
    <row r="3661" spans="1:26">
      <c r="A3661" s="1">
        <v>3659</v>
      </c>
      <c r="B3661" t="str">
        <f>HYPERLINK("https://bugs.eclipse.org/bugs/show_bug.cgi?id=216843", "216843")</f>
        <v>216843</v>
      </c>
      <c r="C3661" t="s">
        <v>191</v>
      </c>
      <c r="D3661" t="s">
        <v>192</v>
      </c>
      <c r="E3661" t="s">
        <v>14</v>
      </c>
      <c r="F3661" t="s">
        <v>26</v>
      </c>
      <c r="G3661" t="s">
        <v>16828</v>
      </c>
      <c r="P3661" t="s">
        <v>16829</v>
      </c>
      <c r="T3661" t="s">
        <v>16830</v>
      </c>
      <c r="U3661" t="s">
        <v>16831</v>
      </c>
      <c r="V3661" t="s">
        <v>16829</v>
      </c>
      <c r="W3661" t="s">
        <v>65</v>
      </c>
      <c r="X3661" t="s">
        <v>16832</v>
      </c>
      <c r="Y3661">
        <v>602.95833333333337</v>
      </c>
      <c r="Z3661">
        <v>4374</v>
      </c>
    </row>
    <row r="3662" spans="1:26">
      <c r="A3662" s="1">
        <v>3660</v>
      </c>
      <c r="B3662" t="str">
        <f>HYPERLINK("https://bugs.eclipse.org/bugs/show_bug.cgi?id=217126", "217126")</f>
        <v>217126</v>
      </c>
      <c r="C3662" t="s">
        <v>191</v>
      </c>
      <c r="D3662" t="s">
        <v>192</v>
      </c>
      <c r="E3662" t="s">
        <v>14</v>
      </c>
      <c r="F3662" t="s">
        <v>26</v>
      </c>
      <c r="G3662" t="s">
        <v>16833</v>
      </c>
      <c r="P3662" t="s">
        <v>16834</v>
      </c>
      <c r="T3662" t="s">
        <v>16835</v>
      </c>
      <c r="U3662" t="s">
        <v>16836</v>
      </c>
      <c r="V3662" t="s">
        <v>16834</v>
      </c>
      <c r="W3662" t="s">
        <v>65</v>
      </c>
      <c r="X3662" t="s">
        <v>16837</v>
      </c>
      <c r="Y3662">
        <v>1</v>
      </c>
      <c r="Z3662">
        <v>4379</v>
      </c>
    </row>
    <row r="3663" spans="1:26">
      <c r="A3663" s="1">
        <v>3661</v>
      </c>
      <c r="B3663" t="str">
        <f>HYPERLINK("https://bugs.eclipse.org/bugs/show_bug.cgi?id=217432", "217432")</f>
        <v>217432</v>
      </c>
      <c r="C3663" t="s">
        <v>25</v>
      </c>
      <c r="D3663" t="s">
        <v>25</v>
      </c>
      <c r="F3663" t="s">
        <v>26</v>
      </c>
      <c r="T3663" t="s">
        <v>16838</v>
      </c>
      <c r="U3663" t="s">
        <v>16839</v>
      </c>
      <c r="V3663" t="s">
        <v>16839</v>
      </c>
      <c r="W3663" t="s">
        <v>49</v>
      </c>
      <c r="X3663" t="s">
        <v>16840</v>
      </c>
      <c r="Y3663">
        <v>3</v>
      </c>
    </row>
    <row r="3664" spans="1:26">
      <c r="A3664" s="1">
        <v>3662</v>
      </c>
      <c r="B3664" t="str">
        <f>HYPERLINK("https://bugs.eclipse.org/bugs/show_bug.cgi?id=217806", "217806")</f>
        <v>217806</v>
      </c>
      <c r="C3664" t="s">
        <v>149</v>
      </c>
      <c r="D3664" t="s">
        <v>10</v>
      </c>
      <c r="E3664" t="s">
        <v>12</v>
      </c>
      <c r="F3664" t="s">
        <v>26</v>
      </c>
      <c r="L3664" t="s">
        <v>16841</v>
      </c>
      <c r="N3664" t="s">
        <v>16841</v>
      </c>
      <c r="T3664" t="s">
        <v>16842</v>
      </c>
      <c r="U3664" t="s">
        <v>16843</v>
      </c>
      <c r="V3664" t="s">
        <v>16841</v>
      </c>
      <c r="W3664" t="s">
        <v>49</v>
      </c>
      <c r="X3664" t="s">
        <v>16844</v>
      </c>
      <c r="Y3664">
        <v>0</v>
      </c>
      <c r="Z3664">
        <v>2</v>
      </c>
    </row>
    <row r="3665" spans="1:26">
      <c r="A3665" s="1">
        <v>3663</v>
      </c>
      <c r="B3665" t="str">
        <f>HYPERLINK("https://bugs.eclipse.org/bugs/show_bug.cgi?id=217851", "217851")</f>
        <v>217851</v>
      </c>
      <c r="C3665" t="s">
        <v>4640</v>
      </c>
      <c r="D3665" t="s">
        <v>10</v>
      </c>
      <c r="E3665" t="s">
        <v>15</v>
      </c>
      <c r="F3665" t="s">
        <v>26</v>
      </c>
      <c r="L3665" t="s">
        <v>16845</v>
      </c>
      <c r="Q3665" t="s">
        <v>16845</v>
      </c>
      <c r="T3665" t="s">
        <v>16846</v>
      </c>
      <c r="U3665" t="s">
        <v>16847</v>
      </c>
      <c r="V3665" t="s">
        <v>16845</v>
      </c>
      <c r="W3665" t="s">
        <v>49</v>
      </c>
      <c r="X3665" t="s">
        <v>16848</v>
      </c>
      <c r="Y3665">
        <v>0</v>
      </c>
      <c r="Z3665">
        <v>1</v>
      </c>
    </row>
    <row r="3666" spans="1:26">
      <c r="A3666" s="1">
        <v>3664</v>
      </c>
      <c r="B3666" t="str">
        <f>HYPERLINK("https://bugs.eclipse.org/bugs/show_bug.cgi?id=218108", "218108")</f>
        <v>218108</v>
      </c>
      <c r="C3666" t="s">
        <v>35</v>
      </c>
      <c r="D3666" t="s">
        <v>11</v>
      </c>
      <c r="E3666" t="s">
        <v>12</v>
      </c>
      <c r="F3666" t="s">
        <v>26</v>
      </c>
      <c r="L3666" t="s">
        <v>16849</v>
      </c>
      <c r="M3666" t="s">
        <v>16850</v>
      </c>
      <c r="N3666" t="s">
        <v>16849</v>
      </c>
      <c r="T3666" t="s">
        <v>16851</v>
      </c>
      <c r="U3666" t="s">
        <v>16852</v>
      </c>
      <c r="V3666" t="s">
        <v>16850</v>
      </c>
      <c r="W3666" t="s">
        <v>49</v>
      </c>
      <c r="X3666" t="s">
        <v>16853</v>
      </c>
      <c r="Y3666">
        <v>1</v>
      </c>
      <c r="Z3666">
        <v>102.9583333333333</v>
      </c>
    </row>
    <row r="3667" spans="1:26">
      <c r="A3667" s="1">
        <v>3665</v>
      </c>
      <c r="B3667" t="str">
        <f>HYPERLINK("https://bugs.eclipse.org/bugs/show_bug.cgi?id=218381", "218381")</f>
        <v>218381</v>
      </c>
      <c r="C3667" t="s">
        <v>191</v>
      </c>
      <c r="D3667" t="s">
        <v>192</v>
      </c>
      <c r="E3667" t="s">
        <v>14</v>
      </c>
      <c r="F3667" t="s">
        <v>26</v>
      </c>
      <c r="P3667" t="s">
        <v>16854</v>
      </c>
      <c r="T3667" t="s">
        <v>16855</v>
      </c>
      <c r="U3667" t="s">
        <v>16856</v>
      </c>
      <c r="V3667" t="s">
        <v>16854</v>
      </c>
      <c r="W3667" t="s">
        <v>65</v>
      </c>
      <c r="X3667" t="s">
        <v>16857</v>
      </c>
      <c r="Y3667">
        <v>0</v>
      </c>
      <c r="Z3667">
        <v>4388</v>
      </c>
    </row>
    <row r="3668" spans="1:26">
      <c r="A3668" s="1">
        <v>3666</v>
      </c>
      <c r="B3668" t="str">
        <f>HYPERLINK("https://bugs.eclipse.org/bugs/show_bug.cgi?id=218437", "218437")</f>
        <v>218437</v>
      </c>
      <c r="C3668" t="s">
        <v>149</v>
      </c>
      <c r="D3668" t="s">
        <v>10</v>
      </c>
      <c r="E3668" t="s">
        <v>12</v>
      </c>
      <c r="F3668" t="s">
        <v>26</v>
      </c>
      <c r="G3668" t="s">
        <v>16858</v>
      </c>
      <c r="H3668" t="s">
        <v>16859</v>
      </c>
      <c r="L3668" t="s">
        <v>16860</v>
      </c>
      <c r="N3668" t="s">
        <v>16860</v>
      </c>
      <c r="T3668" t="s">
        <v>16861</v>
      </c>
      <c r="U3668" t="s">
        <v>16862</v>
      </c>
      <c r="V3668" t="s">
        <v>16863</v>
      </c>
      <c r="W3668" t="s">
        <v>851</v>
      </c>
      <c r="X3668" t="s">
        <v>16864</v>
      </c>
      <c r="Y3668">
        <v>2</v>
      </c>
      <c r="Z3668">
        <v>169.95833333333329</v>
      </c>
    </row>
    <row r="3669" spans="1:26">
      <c r="A3669" s="1">
        <v>3667</v>
      </c>
      <c r="B3669" t="str">
        <f>HYPERLINK("https://bugs.eclipse.org/bugs/show_bug.cgi?id=218622", "218622")</f>
        <v>218622</v>
      </c>
      <c r="C3669" t="s">
        <v>25</v>
      </c>
      <c r="D3669" t="s">
        <v>25</v>
      </c>
      <c r="F3669" t="s">
        <v>26</v>
      </c>
      <c r="G3669" t="s">
        <v>16865</v>
      </c>
      <c r="T3669" t="s">
        <v>16866</v>
      </c>
      <c r="U3669" t="s">
        <v>16867</v>
      </c>
      <c r="V3669" t="s">
        <v>16868</v>
      </c>
      <c r="W3669" t="s">
        <v>851</v>
      </c>
      <c r="X3669" t="s">
        <v>16869</v>
      </c>
      <c r="Y3669">
        <v>0</v>
      </c>
    </row>
    <row r="3670" spans="1:26">
      <c r="A3670" s="1">
        <v>3668</v>
      </c>
      <c r="B3670" t="str">
        <f>HYPERLINK("https://bugs.eclipse.org/bugs/show_bug.cgi?id=219204", "219204")</f>
        <v>219204</v>
      </c>
      <c r="C3670" t="s">
        <v>35</v>
      </c>
      <c r="D3670" t="s">
        <v>11</v>
      </c>
      <c r="E3670" t="s">
        <v>12</v>
      </c>
      <c r="F3670" t="s">
        <v>26</v>
      </c>
      <c r="L3670" t="s">
        <v>16870</v>
      </c>
      <c r="M3670" t="s">
        <v>16871</v>
      </c>
      <c r="N3670" t="s">
        <v>16870</v>
      </c>
      <c r="T3670" t="s">
        <v>16872</v>
      </c>
      <c r="U3670" t="s">
        <v>16873</v>
      </c>
      <c r="V3670" t="s">
        <v>16871</v>
      </c>
      <c r="W3670" t="s">
        <v>49</v>
      </c>
      <c r="X3670" t="s">
        <v>16874</v>
      </c>
      <c r="Y3670">
        <v>0</v>
      </c>
      <c r="Z3670">
        <v>38.958333333333343</v>
      </c>
    </row>
    <row r="3671" spans="1:26">
      <c r="A3671" s="1">
        <v>3669</v>
      </c>
      <c r="B3671" t="str">
        <f>HYPERLINK("https://bugs.eclipse.org/bugs/show_bug.cgi?id=219530", "219530")</f>
        <v>219530</v>
      </c>
      <c r="C3671" t="s">
        <v>149</v>
      </c>
      <c r="D3671" t="s">
        <v>10</v>
      </c>
      <c r="E3671" t="s">
        <v>12</v>
      </c>
      <c r="F3671" t="s">
        <v>26</v>
      </c>
      <c r="G3671" t="s">
        <v>16875</v>
      </c>
      <c r="L3671" t="s">
        <v>16876</v>
      </c>
      <c r="N3671" t="s">
        <v>16876</v>
      </c>
      <c r="T3671" t="s">
        <v>16877</v>
      </c>
      <c r="U3671" t="s">
        <v>16878</v>
      </c>
      <c r="V3671" t="s">
        <v>16879</v>
      </c>
      <c r="W3671" t="s">
        <v>143</v>
      </c>
      <c r="X3671" t="s">
        <v>16880</v>
      </c>
      <c r="Y3671">
        <v>0</v>
      </c>
      <c r="Z3671">
        <v>467.95833333333331</v>
      </c>
    </row>
    <row r="3672" spans="1:26">
      <c r="A3672" s="1">
        <v>3670</v>
      </c>
      <c r="B3672" t="str">
        <f>HYPERLINK("https://bugs.eclipse.org/bugs/show_bug.cgi?id=219623", "219623")</f>
        <v>219623</v>
      </c>
      <c r="C3672" t="s">
        <v>16881</v>
      </c>
      <c r="D3672" t="s">
        <v>10</v>
      </c>
      <c r="E3672" t="s">
        <v>15</v>
      </c>
      <c r="F3672" t="s">
        <v>26</v>
      </c>
      <c r="L3672" t="s">
        <v>16882</v>
      </c>
      <c r="Q3672" t="s">
        <v>16882</v>
      </c>
      <c r="T3672" t="s">
        <v>16883</v>
      </c>
      <c r="U3672" t="s">
        <v>16884</v>
      </c>
      <c r="V3672" t="s">
        <v>16882</v>
      </c>
      <c r="W3672" t="s">
        <v>49</v>
      </c>
      <c r="X3672" t="s">
        <v>16885</v>
      </c>
      <c r="Y3672">
        <v>1</v>
      </c>
      <c r="Z3672">
        <v>2</v>
      </c>
    </row>
    <row r="3673" spans="1:26">
      <c r="A3673" s="1">
        <v>3671</v>
      </c>
      <c r="B3673" t="str">
        <f>HYPERLINK("https://bugs.eclipse.org/bugs/show_bug.cgi?id=219963", "219963")</f>
        <v>219963</v>
      </c>
      <c r="C3673" t="s">
        <v>140</v>
      </c>
      <c r="D3673" t="s">
        <v>10</v>
      </c>
      <c r="E3673" t="s">
        <v>16</v>
      </c>
      <c r="F3673" t="s">
        <v>26</v>
      </c>
      <c r="L3673" t="s">
        <v>16886</v>
      </c>
      <c r="R3673" t="s">
        <v>16886</v>
      </c>
      <c r="T3673" t="s">
        <v>16887</v>
      </c>
      <c r="U3673" t="s">
        <v>16888</v>
      </c>
      <c r="V3673" t="s">
        <v>16886</v>
      </c>
      <c r="W3673" t="s">
        <v>1954</v>
      </c>
      <c r="X3673" t="s">
        <v>16889</v>
      </c>
      <c r="Y3673">
        <v>3</v>
      </c>
      <c r="Z3673">
        <v>81.958333333333329</v>
      </c>
    </row>
    <row r="3674" spans="1:26">
      <c r="A3674" s="1">
        <v>3672</v>
      </c>
      <c r="B3674" t="str">
        <f>HYPERLINK("https://bugs.eclipse.org/bugs/show_bug.cgi?id=220079", "220079")</f>
        <v>220079</v>
      </c>
      <c r="C3674" t="s">
        <v>15124</v>
      </c>
      <c r="D3674" t="s">
        <v>10</v>
      </c>
      <c r="E3674" t="s">
        <v>15</v>
      </c>
      <c r="F3674" t="s">
        <v>26</v>
      </c>
      <c r="L3674" t="s">
        <v>16890</v>
      </c>
      <c r="Q3674" t="s">
        <v>16890</v>
      </c>
      <c r="T3674" t="s">
        <v>16891</v>
      </c>
      <c r="U3674" t="s">
        <v>16892</v>
      </c>
      <c r="V3674" t="s">
        <v>16890</v>
      </c>
      <c r="W3674" t="s">
        <v>49</v>
      </c>
      <c r="X3674" t="s">
        <v>16893</v>
      </c>
      <c r="Y3674">
        <v>2</v>
      </c>
      <c r="Z3674">
        <v>2</v>
      </c>
    </row>
    <row r="3675" spans="1:26">
      <c r="A3675" s="1">
        <v>3673</v>
      </c>
      <c r="B3675" t="str">
        <f>HYPERLINK("https://bugs.eclipse.org/bugs/show_bug.cgi?id=220200", "220200")</f>
        <v>220200</v>
      </c>
      <c r="C3675" t="s">
        <v>191</v>
      </c>
      <c r="D3675" t="s">
        <v>192</v>
      </c>
      <c r="E3675" t="s">
        <v>14</v>
      </c>
      <c r="F3675" t="s">
        <v>26</v>
      </c>
      <c r="T3675" t="s">
        <v>16894</v>
      </c>
      <c r="U3675" t="s">
        <v>16895</v>
      </c>
      <c r="V3675" t="s">
        <v>16896</v>
      </c>
      <c r="W3675" t="s">
        <v>65</v>
      </c>
      <c r="X3675" t="s">
        <v>16897</v>
      </c>
      <c r="Y3675">
        <v>1</v>
      </c>
      <c r="Z3675">
        <v>4265.958333333333</v>
      </c>
    </row>
    <row r="3676" spans="1:26">
      <c r="A3676" s="1">
        <v>3674</v>
      </c>
      <c r="B3676" t="str">
        <f>HYPERLINK("https://bugs.eclipse.org/bugs/show_bug.cgi?id=220304", "220304")</f>
        <v>220304</v>
      </c>
      <c r="C3676" t="s">
        <v>8439</v>
      </c>
      <c r="D3676" t="s">
        <v>192</v>
      </c>
      <c r="E3676" t="s">
        <v>13</v>
      </c>
      <c r="F3676" t="s">
        <v>460</v>
      </c>
      <c r="O3676" t="s">
        <v>16898</v>
      </c>
      <c r="T3676" t="s">
        <v>16899</v>
      </c>
      <c r="U3676" t="s">
        <v>16900</v>
      </c>
      <c r="V3676" t="s">
        <v>16898</v>
      </c>
      <c r="W3676" t="s">
        <v>16901</v>
      </c>
      <c r="X3676" t="s">
        <v>16902</v>
      </c>
      <c r="Y3676">
        <v>1</v>
      </c>
      <c r="Z3676">
        <v>3853.958333333333</v>
      </c>
    </row>
    <row r="3677" spans="1:26">
      <c r="A3677" s="1">
        <v>3675</v>
      </c>
      <c r="B3677" t="str">
        <f>HYPERLINK("https://bugs.eclipse.org/bugs/show_bug.cgi?id=220693", "220693")</f>
        <v>220693</v>
      </c>
      <c r="C3677" t="s">
        <v>149</v>
      </c>
      <c r="D3677" t="s">
        <v>10</v>
      </c>
      <c r="E3677" t="s">
        <v>12</v>
      </c>
      <c r="F3677" t="s">
        <v>26</v>
      </c>
      <c r="L3677" t="s">
        <v>16903</v>
      </c>
      <c r="N3677" t="s">
        <v>16903</v>
      </c>
      <c r="T3677" t="s">
        <v>16904</v>
      </c>
      <c r="U3677" t="s">
        <v>16905</v>
      </c>
      <c r="V3677" t="s">
        <v>16903</v>
      </c>
      <c r="W3677" t="s">
        <v>49</v>
      </c>
      <c r="X3677" t="s">
        <v>16906</v>
      </c>
      <c r="Y3677">
        <v>1</v>
      </c>
      <c r="Z3677">
        <v>5</v>
      </c>
    </row>
    <row r="3678" spans="1:26">
      <c r="A3678" s="1">
        <v>3676</v>
      </c>
      <c r="B3678" t="str">
        <f>HYPERLINK("https://bugs.eclipse.org/bugs/show_bug.cgi?id=220945", "220945")</f>
        <v>220945</v>
      </c>
      <c r="C3678" t="s">
        <v>140</v>
      </c>
      <c r="D3678" t="s">
        <v>10</v>
      </c>
      <c r="E3678" t="s">
        <v>16</v>
      </c>
      <c r="F3678" t="s">
        <v>26</v>
      </c>
      <c r="L3678" t="s">
        <v>16907</v>
      </c>
      <c r="R3678" t="s">
        <v>16907</v>
      </c>
      <c r="T3678" t="s">
        <v>16908</v>
      </c>
      <c r="U3678" t="s">
        <v>16909</v>
      </c>
      <c r="V3678" t="s">
        <v>16910</v>
      </c>
      <c r="W3678" t="s">
        <v>49</v>
      </c>
      <c r="X3678" t="s">
        <v>16911</v>
      </c>
      <c r="Y3678">
        <v>0</v>
      </c>
      <c r="Z3678">
        <v>0</v>
      </c>
    </row>
    <row r="3679" spans="1:26">
      <c r="A3679" s="1">
        <v>3677</v>
      </c>
      <c r="B3679" t="str">
        <f>HYPERLINK("https://bugs.eclipse.org/bugs/show_bug.cgi?id=221147", "221147")</f>
        <v>221147</v>
      </c>
      <c r="C3679" t="s">
        <v>25</v>
      </c>
      <c r="D3679" t="s">
        <v>25</v>
      </c>
      <c r="F3679" t="s">
        <v>26</v>
      </c>
      <c r="T3679" t="s">
        <v>16912</v>
      </c>
      <c r="U3679" t="s">
        <v>16913</v>
      </c>
      <c r="V3679" t="s">
        <v>16914</v>
      </c>
      <c r="W3679" t="s">
        <v>2777</v>
      </c>
      <c r="X3679" t="s">
        <v>16915</v>
      </c>
      <c r="Y3679">
        <v>0</v>
      </c>
    </row>
    <row r="3680" spans="1:26">
      <c r="A3680" s="1">
        <v>3678</v>
      </c>
      <c r="B3680" t="str">
        <f>HYPERLINK("https://bugs.eclipse.org/bugs/show_bug.cgi?id=222014", "222014")</f>
        <v>222014</v>
      </c>
      <c r="C3680" t="s">
        <v>191</v>
      </c>
      <c r="D3680" t="s">
        <v>192</v>
      </c>
      <c r="E3680" t="s">
        <v>14</v>
      </c>
      <c r="F3680" t="s">
        <v>26</v>
      </c>
      <c r="P3680" t="s">
        <v>16916</v>
      </c>
      <c r="T3680" t="s">
        <v>16917</v>
      </c>
      <c r="U3680" t="s">
        <v>16918</v>
      </c>
      <c r="V3680" t="s">
        <v>16916</v>
      </c>
      <c r="W3680" t="s">
        <v>65</v>
      </c>
      <c r="X3680" t="s">
        <v>16919</v>
      </c>
      <c r="Y3680">
        <v>0</v>
      </c>
      <c r="Z3680">
        <v>4333.041666666667</v>
      </c>
    </row>
    <row r="3681" spans="1:26">
      <c r="A3681" s="1">
        <v>3679</v>
      </c>
      <c r="B3681" t="str">
        <f>HYPERLINK("https://bugs.eclipse.org/bugs/show_bug.cgi?id=222235", "222235")</f>
        <v>222235</v>
      </c>
      <c r="C3681" t="s">
        <v>140</v>
      </c>
      <c r="D3681" t="s">
        <v>10</v>
      </c>
      <c r="E3681" t="s">
        <v>16</v>
      </c>
      <c r="F3681" t="s">
        <v>26</v>
      </c>
      <c r="L3681" t="s">
        <v>16920</v>
      </c>
      <c r="R3681" t="s">
        <v>16920</v>
      </c>
      <c r="T3681" t="s">
        <v>16921</v>
      </c>
      <c r="U3681" t="s">
        <v>16922</v>
      </c>
      <c r="V3681" t="s">
        <v>16920</v>
      </c>
      <c r="W3681" t="s">
        <v>1954</v>
      </c>
      <c r="X3681" t="s">
        <v>16923</v>
      </c>
      <c r="Y3681">
        <v>0</v>
      </c>
      <c r="Z3681">
        <v>1</v>
      </c>
    </row>
    <row r="3682" spans="1:26">
      <c r="A3682" s="1">
        <v>3680</v>
      </c>
      <c r="B3682" t="str">
        <f>HYPERLINK("https://bugs.eclipse.org/bugs/show_bug.cgi?id=222355", "222355")</f>
        <v>222355</v>
      </c>
      <c r="C3682" t="s">
        <v>149</v>
      </c>
      <c r="D3682" t="s">
        <v>10</v>
      </c>
      <c r="E3682" t="s">
        <v>12</v>
      </c>
      <c r="F3682" t="s">
        <v>26</v>
      </c>
      <c r="L3682" t="s">
        <v>16924</v>
      </c>
      <c r="N3682" t="s">
        <v>16924</v>
      </c>
      <c r="T3682" t="s">
        <v>16925</v>
      </c>
      <c r="U3682" t="s">
        <v>16926</v>
      </c>
      <c r="V3682" t="s">
        <v>16924</v>
      </c>
      <c r="W3682" t="s">
        <v>49</v>
      </c>
      <c r="X3682" t="s">
        <v>16927</v>
      </c>
      <c r="Y3682">
        <v>0</v>
      </c>
      <c r="Z3682">
        <v>0</v>
      </c>
    </row>
    <row r="3683" spans="1:26">
      <c r="A3683" s="1">
        <v>3681</v>
      </c>
      <c r="B3683" t="str">
        <f>HYPERLINK("https://bugs.eclipse.org/bugs/show_bug.cgi?id=222392", "222392")</f>
        <v>222392</v>
      </c>
      <c r="C3683" t="s">
        <v>149</v>
      </c>
      <c r="D3683" t="s">
        <v>10</v>
      </c>
      <c r="E3683" t="s">
        <v>12</v>
      </c>
      <c r="F3683" t="s">
        <v>26</v>
      </c>
      <c r="G3683" t="s">
        <v>16928</v>
      </c>
      <c r="L3683" t="s">
        <v>16929</v>
      </c>
      <c r="N3683" t="s">
        <v>16929</v>
      </c>
      <c r="T3683" t="s">
        <v>16930</v>
      </c>
      <c r="U3683" t="s">
        <v>16931</v>
      </c>
      <c r="V3683" t="s">
        <v>16932</v>
      </c>
      <c r="W3683" t="s">
        <v>1954</v>
      </c>
      <c r="X3683" t="s">
        <v>16933</v>
      </c>
      <c r="Y3683">
        <v>0</v>
      </c>
      <c r="Z3683">
        <v>2</v>
      </c>
    </row>
    <row r="3684" spans="1:26">
      <c r="A3684" s="1">
        <v>3682</v>
      </c>
      <c r="B3684" t="str">
        <f>HYPERLINK("https://bugs.eclipse.org/bugs/show_bug.cgi?id=222430", "222430")</f>
        <v>222430</v>
      </c>
      <c r="C3684" t="s">
        <v>56</v>
      </c>
      <c r="D3684" t="s">
        <v>10</v>
      </c>
      <c r="E3684" t="s">
        <v>14</v>
      </c>
      <c r="F3684" t="s">
        <v>26</v>
      </c>
      <c r="L3684" t="s">
        <v>16934</v>
      </c>
      <c r="P3684" t="s">
        <v>16934</v>
      </c>
      <c r="T3684" t="s">
        <v>16935</v>
      </c>
      <c r="U3684" t="s">
        <v>16936</v>
      </c>
      <c r="V3684" t="s">
        <v>16934</v>
      </c>
      <c r="W3684" t="s">
        <v>49</v>
      </c>
      <c r="X3684" t="s">
        <v>16937</v>
      </c>
      <c r="Y3684">
        <v>0</v>
      </c>
      <c r="Z3684">
        <v>0</v>
      </c>
    </row>
    <row r="3685" spans="1:26">
      <c r="A3685" s="1">
        <v>3683</v>
      </c>
      <c r="B3685" t="str">
        <f>HYPERLINK("https://bugs.eclipse.org/bugs/show_bug.cgi?id=222599", "222599")</f>
        <v>222599</v>
      </c>
      <c r="C3685" t="s">
        <v>149</v>
      </c>
      <c r="D3685" t="s">
        <v>10</v>
      </c>
      <c r="E3685" t="s">
        <v>12</v>
      </c>
      <c r="F3685" t="s">
        <v>26</v>
      </c>
      <c r="L3685" t="s">
        <v>16938</v>
      </c>
      <c r="N3685" t="s">
        <v>16938</v>
      </c>
      <c r="T3685" t="s">
        <v>16939</v>
      </c>
      <c r="U3685" t="s">
        <v>16940</v>
      </c>
      <c r="V3685" t="s">
        <v>16938</v>
      </c>
      <c r="W3685" t="s">
        <v>49</v>
      </c>
      <c r="X3685" t="s">
        <v>16941</v>
      </c>
      <c r="Y3685">
        <v>13</v>
      </c>
      <c r="Z3685">
        <v>42</v>
      </c>
    </row>
    <row r="3686" spans="1:26">
      <c r="A3686" s="1">
        <v>3684</v>
      </c>
      <c r="B3686" t="str">
        <f>HYPERLINK("https://bugs.eclipse.org/bugs/show_bug.cgi?id=222700", "222700")</f>
        <v>222700</v>
      </c>
      <c r="C3686" t="s">
        <v>25</v>
      </c>
      <c r="D3686" t="s">
        <v>25</v>
      </c>
      <c r="F3686" t="s">
        <v>460</v>
      </c>
      <c r="T3686" t="s">
        <v>16942</v>
      </c>
      <c r="U3686" t="s">
        <v>16943</v>
      </c>
      <c r="V3686" t="s">
        <v>16944</v>
      </c>
      <c r="W3686" t="s">
        <v>49</v>
      </c>
      <c r="X3686" t="s">
        <v>16945</v>
      </c>
      <c r="Y3686">
        <v>5</v>
      </c>
    </row>
    <row r="3687" spans="1:26">
      <c r="A3687" s="1">
        <v>3685</v>
      </c>
      <c r="B3687" t="str">
        <f>HYPERLINK("https://bugs.eclipse.org/bugs/show_bug.cgi?id=222743", "222743")</f>
        <v>222743</v>
      </c>
      <c r="C3687" t="s">
        <v>16946</v>
      </c>
      <c r="D3687" t="s">
        <v>10</v>
      </c>
      <c r="E3687" t="s">
        <v>15</v>
      </c>
      <c r="F3687" t="s">
        <v>26</v>
      </c>
      <c r="L3687" t="s">
        <v>16932</v>
      </c>
      <c r="Q3687" t="s">
        <v>16932</v>
      </c>
      <c r="T3687" t="s">
        <v>16947</v>
      </c>
      <c r="U3687" t="s">
        <v>16948</v>
      </c>
      <c r="V3687" t="s">
        <v>16932</v>
      </c>
      <c r="W3687" t="s">
        <v>1954</v>
      </c>
      <c r="X3687" t="s">
        <v>16949</v>
      </c>
      <c r="Y3687">
        <v>0</v>
      </c>
      <c r="Z3687">
        <v>0</v>
      </c>
    </row>
    <row r="3688" spans="1:26">
      <c r="A3688" s="1">
        <v>3686</v>
      </c>
      <c r="B3688" t="str">
        <f>HYPERLINK("https://bugs.eclipse.org/bugs/show_bug.cgi?id=222848", "222848")</f>
        <v>222848</v>
      </c>
      <c r="C3688" t="s">
        <v>16950</v>
      </c>
      <c r="D3688" t="s">
        <v>10</v>
      </c>
      <c r="E3688" t="s">
        <v>15</v>
      </c>
      <c r="F3688" t="s">
        <v>26</v>
      </c>
      <c r="L3688" t="s">
        <v>16951</v>
      </c>
      <c r="Q3688" t="s">
        <v>16951</v>
      </c>
      <c r="T3688" t="s">
        <v>16952</v>
      </c>
      <c r="U3688" t="s">
        <v>16951</v>
      </c>
      <c r="V3688" t="s">
        <v>16951</v>
      </c>
      <c r="W3688" t="s">
        <v>851</v>
      </c>
      <c r="X3688" t="s">
        <v>16953</v>
      </c>
      <c r="Y3688">
        <v>2</v>
      </c>
      <c r="Z3688">
        <v>2</v>
      </c>
    </row>
    <row r="3689" spans="1:26">
      <c r="A3689" s="1">
        <v>3687</v>
      </c>
      <c r="B3689" t="str">
        <f>HYPERLINK("https://bugs.eclipse.org/bugs/show_bug.cgi?id=223483", "223483")</f>
        <v>223483</v>
      </c>
      <c r="C3689" t="s">
        <v>149</v>
      </c>
      <c r="D3689" t="s">
        <v>10</v>
      </c>
      <c r="E3689" t="s">
        <v>12</v>
      </c>
      <c r="F3689" t="s">
        <v>26</v>
      </c>
      <c r="L3689" t="s">
        <v>16954</v>
      </c>
      <c r="N3689" t="s">
        <v>16954</v>
      </c>
      <c r="T3689" t="s">
        <v>16955</v>
      </c>
      <c r="U3689" t="s">
        <v>16956</v>
      </c>
      <c r="V3689" t="s">
        <v>16957</v>
      </c>
      <c r="W3689" t="s">
        <v>143</v>
      </c>
      <c r="X3689" t="s">
        <v>16958</v>
      </c>
      <c r="Y3689">
        <v>0</v>
      </c>
      <c r="Z3689">
        <v>17</v>
      </c>
    </row>
    <row r="3690" spans="1:26">
      <c r="A3690" s="1">
        <v>3688</v>
      </c>
      <c r="B3690" t="str">
        <f>HYPERLINK("https://bugs.eclipse.org/bugs/show_bug.cgi?id=223593", "223593")</f>
        <v>223593</v>
      </c>
      <c r="C3690" t="s">
        <v>13737</v>
      </c>
      <c r="D3690" t="s">
        <v>10</v>
      </c>
      <c r="E3690" t="s">
        <v>15</v>
      </c>
      <c r="F3690" t="s">
        <v>26</v>
      </c>
      <c r="L3690" t="s">
        <v>16959</v>
      </c>
      <c r="Q3690" t="s">
        <v>16959</v>
      </c>
      <c r="T3690" t="s">
        <v>16960</v>
      </c>
      <c r="U3690" t="s">
        <v>16961</v>
      </c>
      <c r="V3690" t="s">
        <v>16959</v>
      </c>
      <c r="W3690" t="s">
        <v>851</v>
      </c>
      <c r="X3690" t="s">
        <v>16962</v>
      </c>
      <c r="Y3690">
        <v>0</v>
      </c>
      <c r="Z3690">
        <v>2</v>
      </c>
    </row>
    <row r="3691" spans="1:26">
      <c r="A3691" s="1">
        <v>3689</v>
      </c>
      <c r="B3691" t="str">
        <f>HYPERLINK("https://bugs.eclipse.org/bugs/show_bug.cgi?id=223635", "223635")</f>
        <v>223635</v>
      </c>
      <c r="C3691" t="s">
        <v>88</v>
      </c>
      <c r="D3691" t="s">
        <v>10</v>
      </c>
      <c r="E3691" t="s">
        <v>13</v>
      </c>
      <c r="F3691" t="s">
        <v>26</v>
      </c>
      <c r="L3691" t="s">
        <v>16963</v>
      </c>
      <c r="O3691" t="s">
        <v>16963</v>
      </c>
      <c r="T3691" t="s">
        <v>16964</v>
      </c>
      <c r="U3691" t="s">
        <v>16965</v>
      </c>
      <c r="V3691" t="s">
        <v>16963</v>
      </c>
      <c r="W3691" t="s">
        <v>49</v>
      </c>
      <c r="X3691" t="s">
        <v>16966</v>
      </c>
      <c r="Y3691">
        <v>0</v>
      </c>
      <c r="Z3691">
        <v>1</v>
      </c>
    </row>
    <row r="3692" spans="1:26">
      <c r="A3692" s="1">
        <v>3690</v>
      </c>
      <c r="B3692" t="str">
        <f>HYPERLINK("https://bugs.eclipse.org/bugs/show_bug.cgi?id=224029", "224029")</f>
        <v>224029</v>
      </c>
      <c r="C3692" t="s">
        <v>191</v>
      </c>
      <c r="D3692" t="s">
        <v>192</v>
      </c>
      <c r="E3692" t="s">
        <v>14</v>
      </c>
      <c r="F3692" t="s">
        <v>26</v>
      </c>
      <c r="T3692" t="s">
        <v>16967</v>
      </c>
      <c r="U3692" t="s">
        <v>16968</v>
      </c>
      <c r="V3692" t="s">
        <v>16969</v>
      </c>
      <c r="W3692" t="s">
        <v>65</v>
      </c>
      <c r="X3692" t="s">
        <v>16970</v>
      </c>
      <c r="Y3692">
        <v>1</v>
      </c>
      <c r="Z3692">
        <v>4204</v>
      </c>
    </row>
    <row r="3693" spans="1:26">
      <c r="A3693" s="1">
        <v>3691</v>
      </c>
      <c r="B3693" t="str">
        <f>HYPERLINK("https://bugs.eclipse.org/bugs/show_bug.cgi?id=224399", "224399")</f>
        <v>224399</v>
      </c>
      <c r="C3693" t="s">
        <v>35</v>
      </c>
      <c r="D3693" t="s">
        <v>11</v>
      </c>
      <c r="E3693" t="s">
        <v>12</v>
      </c>
      <c r="F3693" t="s">
        <v>26</v>
      </c>
      <c r="L3693" t="s">
        <v>16971</v>
      </c>
      <c r="M3693" t="s">
        <v>16972</v>
      </c>
      <c r="N3693" t="s">
        <v>16971</v>
      </c>
      <c r="T3693" t="s">
        <v>16973</v>
      </c>
      <c r="U3693" t="s">
        <v>16974</v>
      </c>
      <c r="V3693" t="s">
        <v>16972</v>
      </c>
      <c r="W3693" t="s">
        <v>143</v>
      </c>
      <c r="X3693" t="s">
        <v>16975</v>
      </c>
      <c r="Y3693">
        <v>0</v>
      </c>
      <c r="Z3693">
        <v>1</v>
      </c>
    </row>
    <row r="3694" spans="1:26">
      <c r="A3694" s="1">
        <v>3692</v>
      </c>
      <c r="B3694" t="str">
        <f>HYPERLINK("https://bugs.eclipse.org/bugs/show_bug.cgi?id=224916", "224916")</f>
        <v>224916</v>
      </c>
      <c r="C3694" t="s">
        <v>149</v>
      </c>
      <c r="D3694" t="s">
        <v>10</v>
      </c>
      <c r="E3694" t="s">
        <v>12</v>
      </c>
      <c r="F3694" t="s">
        <v>26</v>
      </c>
      <c r="L3694" t="s">
        <v>16976</v>
      </c>
      <c r="N3694" t="s">
        <v>16976</v>
      </c>
      <c r="T3694" t="s">
        <v>16977</v>
      </c>
      <c r="U3694" t="s">
        <v>16978</v>
      </c>
      <c r="V3694" t="s">
        <v>16976</v>
      </c>
      <c r="W3694" t="s">
        <v>49</v>
      </c>
      <c r="X3694" t="s">
        <v>16979</v>
      </c>
      <c r="Y3694">
        <v>0</v>
      </c>
      <c r="Z3694">
        <v>17</v>
      </c>
    </row>
    <row r="3695" spans="1:26">
      <c r="A3695" s="1">
        <v>3693</v>
      </c>
      <c r="B3695" t="str">
        <f>HYPERLINK("https://bugs.eclipse.org/bugs/show_bug.cgi?id=224958", "224958")</f>
        <v>224958</v>
      </c>
      <c r="C3695" t="s">
        <v>149</v>
      </c>
      <c r="D3695" t="s">
        <v>10</v>
      </c>
      <c r="E3695" t="s">
        <v>12</v>
      </c>
      <c r="F3695" t="s">
        <v>26</v>
      </c>
      <c r="L3695" t="s">
        <v>16980</v>
      </c>
      <c r="N3695" t="s">
        <v>16980</v>
      </c>
      <c r="T3695" t="s">
        <v>16981</v>
      </c>
      <c r="U3695" t="s">
        <v>16982</v>
      </c>
      <c r="V3695" t="s">
        <v>16980</v>
      </c>
      <c r="W3695" t="s">
        <v>851</v>
      </c>
      <c r="X3695" t="s">
        <v>16983</v>
      </c>
      <c r="Y3695">
        <v>0</v>
      </c>
      <c r="Z3695">
        <v>198</v>
      </c>
    </row>
    <row r="3696" spans="1:26">
      <c r="A3696" s="1">
        <v>3694</v>
      </c>
      <c r="B3696" t="str">
        <f>HYPERLINK("https://bugs.eclipse.org/bugs/show_bug.cgi?id=224959", "224959")</f>
        <v>224959</v>
      </c>
      <c r="C3696" t="s">
        <v>25</v>
      </c>
      <c r="D3696" t="s">
        <v>25</v>
      </c>
      <c r="F3696" t="s">
        <v>26</v>
      </c>
      <c r="T3696" t="s">
        <v>16984</v>
      </c>
      <c r="U3696" t="s">
        <v>16985</v>
      </c>
      <c r="V3696" t="s">
        <v>16986</v>
      </c>
      <c r="W3696" t="s">
        <v>16987</v>
      </c>
      <c r="X3696" t="s">
        <v>16988</v>
      </c>
      <c r="Y3696">
        <v>0</v>
      </c>
    </row>
    <row r="3697" spans="1:26">
      <c r="A3697" s="1">
        <v>3695</v>
      </c>
      <c r="B3697" t="str">
        <f>HYPERLINK("https://bugs.eclipse.org/bugs/show_bug.cgi?id=225247", "225247")</f>
        <v>225247</v>
      </c>
      <c r="C3697" t="s">
        <v>149</v>
      </c>
      <c r="D3697" t="s">
        <v>10</v>
      </c>
      <c r="E3697" t="s">
        <v>12</v>
      </c>
      <c r="F3697" t="s">
        <v>26</v>
      </c>
      <c r="L3697" t="s">
        <v>16989</v>
      </c>
      <c r="N3697" t="s">
        <v>16989</v>
      </c>
      <c r="T3697" t="s">
        <v>16990</v>
      </c>
      <c r="U3697" t="s">
        <v>16991</v>
      </c>
      <c r="V3697" t="s">
        <v>16989</v>
      </c>
      <c r="W3697" t="s">
        <v>49</v>
      </c>
      <c r="X3697" t="s">
        <v>16992</v>
      </c>
      <c r="Y3697">
        <v>0</v>
      </c>
      <c r="Z3697">
        <v>1</v>
      </c>
    </row>
    <row r="3698" spans="1:26">
      <c r="A3698" s="1">
        <v>3696</v>
      </c>
      <c r="B3698" t="str">
        <f>HYPERLINK("https://bugs.eclipse.org/bugs/show_bug.cgi?id=225716", "225716")</f>
        <v>225716</v>
      </c>
      <c r="C3698" t="s">
        <v>25</v>
      </c>
      <c r="D3698" t="s">
        <v>25</v>
      </c>
      <c r="F3698" t="s">
        <v>26</v>
      </c>
      <c r="T3698" t="s">
        <v>16993</v>
      </c>
      <c r="U3698" t="s">
        <v>16994</v>
      </c>
      <c r="V3698" t="s">
        <v>16995</v>
      </c>
      <c r="W3698" t="s">
        <v>16996</v>
      </c>
      <c r="X3698" t="s">
        <v>16997</v>
      </c>
      <c r="Y3698">
        <v>0</v>
      </c>
    </row>
    <row r="3699" spans="1:26">
      <c r="A3699" s="1">
        <v>3697</v>
      </c>
      <c r="B3699" t="str">
        <f>HYPERLINK("https://bugs.eclipse.org/bugs/show_bug.cgi?id=226593", "226593")</f>
        <v>226593</v>
      </c>
      <c r="C3699" t="s">
        <v>4692</v>
      </c>
      <c r="D3699" t="s">
        <v>4692</v>
      </c>
      <c r="F3699" t="s">
        <v>26</v>
      </c>
      <c r="T3699" t="s">
        <v>16998</v>
      </c>
      <c r="U3699" t="s">
        <v>16999</v>
      </c>
      <c r="V3699" t="s">
        <v>17000</v>
      </c>
      <c r="W3699" t="s">
        <v>17001</v>
      </c>
      <c r="X3699" t="s">
        <v>17002</v>
      </c>
      <c r="Y3699">
        <v>0</v>
      </c>
    </row>
    <row r="3700" spans="1:26">
      <c r="A3700" s="1">
        <v>3698</v>
      </c>
      <c r="B3700" t="str">
        <f>HYPERLINK("https://bugs.eclipse.org/bugs/show_bug.cgi?id=226814", "226814")</f>
        <v>226814</v>
      </c>
      <c r="C3700" t="s">
        <v>149</v>
      </c>
      <c r="D3700" t="s">
        <v>10</v>
      </c>
      <c r="E3700" t="s">
        <v>12</v>
      </c>
      <c r="F3700" t="s">
        <v>26</v>
      </c>
      <c r="L3700" t="s">
        <v>17003</v>
      </c>
      <c r="N3700" t="s">
        <v>17003</v>
      </c>
      <c r="T3700" t="s">
        <v>17004</v>
      </c>
      <c r="U3700" t="s">
        <v>17005</v>
      </c>
      <c r="V3700" t="s">
        <v>17003</v>
      </c>
      <c r="W3700" t="s">
        <v>851</v>
      </c>
      <c r="X3700" t="s">
        <v>17006</v>
      </c>
      <c r="Y3700">
        <v>2</v>
      </c>
      <c r="Z3700">
        <v>2</v>
      </c>
    </row>
    <row r="3701" spans="1:26">
      <c r="A3701" s="1">
        <v>3699</v>
      </c>
      <c r="B3701" t="str">
        <f>HYPERLINK("https://bugs.eclipse.org/bugs/show_bug.cgi?id=226926", "226926")</f>
        <v>226926</v>
      </c>
      <c r="C3701" t="s">
        <v>17007</v>
      </c>
      <c r="D3701" t="s">
        <v>192</v>
      </c>
      <c r="E3701" t="s">
        <v>15</v>
      </c>
      <c r="F3701" t="s">
        <v>26</v>
      </c>
      <c r="Q3701" t="s">
        <v>17008</v>
      </c>
      <c r="T3701" t="s">
        <v>17009</v>
      </c>
      <c r="U3701" t="s">
        <v>17008</v>
      </c>
      <c r="V3701" t="s">
        <v>17008</v>
      </c>
      <c r="W3701" t="s">
        <v>851</v>
      </c>
      <c r="X3701" t="s">
        <v>17010</v>
      </c>
      <c r="Y3701">
        <v>1303.041666666667</v>
      </c>
      <c r="Z3701">
        <v>1303.041666666667</v>
      </c>
    </row>
    <row r="3702" spans="1:26">
      <c r="A3702" s="1">
        <v>3700</v>
      </c>
      <c r="B3702" t="str">
        <f>HYPERLINK("https://bugs.eclipse.org/bugs/show_bug.cgi?id=227039", "227039")</f>
        <v>227039</v>
      </c>
      <c r="C3702" t="s">
        <v>191</v>
      </c>
      <c r="D3702" t="s">
        <v>192</v>
      </c>
      <c r="E3702" t="s">
        <v>14</v>
      </c>
      <c r="F3702" t="s">
        <v>26</v>
      </c>
      <c r="T3702" t="s">
        <v>17011</v>
      </c>
      <c r="U3702" t="s">
        <v>17012</v>
      </c>
      <c r="V3702" t="s">
        <v>17013</v>
      </c>
      <c r="W3702" t="s">
        <v>65</v>
      </c>
      <c r="X3702" t="s">
        <v>17014</v>
      </c>
      <c r="Y3702">
        <v>2</v>
      </c>
      <c r="Z3702">
        <v>4218</v>
      </c>
    </row>
    <row r="3703" spans="1:26">
      <c r="A3703" s="1">
        <v>3701</v>
      </c>
      <c r="B3703" t="str">
        <f>HYPERLINK("https://bugs.eclipse.org/bugs/show_bug.cgi?id=227338", "227338")</f>
        <v>227338</v>
      </c>
      <c r="C3703" t="s">
        <v>140</v>
      </c>
      <c r="D3703" t="s">
        <v>10</v>
      </c>
      <c r="E3703" t="s">
        <v>16</v>
      </c>
      <c r="F3703" t="s">
        <v>26</v>
      </c>
      <c r="L3703" t="s">
        <v>17015</v>
      </c>
      <c r="R3703" t="s">
        <v>17015</v>
      </c>
      <c r="T3703" t="s">
        <v>17016</v>
      </c>
      <c r="U3703" t="s">
        <v>17017</v>
      </c>
      <c r="V3703" t="s">
        <v>17015</v>
      </c>
      <c r="W3703" t="s">
        <v>49</v>
      </c>
      <c r="X3703" t="s">
        <v>17018</v>
      </c>
      <c r="Y3703">
        <v>1</v>
      </c>
      <c r="Z3703">
        <v>1</v>
      </c>
    </row>
    <row r="3704" spans="1:26">
      <c r="A3704" s="1">
        <v>3702</v>
      </c>
      <c r="B3704" t="str">
        <f>HYPERLINK("https://bugs.eclipse.org/bugs/show_bug.cgi?id=227876", "227876")</f>
        <v>227876</v>
      </c>
      <c r="C3704" t="s">
        <v>149</v>
      </c>
      <c r="D3704" t="s">
        <v>10</v>
      </c>
      <c r="E3704" t="s">
        <v>12</v>
      </c>
      <c r="F3704" t="s">
        <v>26</v>
      </c>
      <c r="L3704" t="s">
        <v>17019</v>
      </c>
      <c r="N3704" t="s">
        <v>17019</v>
      </c>
      <c r="S3704" t="s">
        <v>17020</v>
      </c>
      <c r="T3704" t="s">
        <v>17021</v>
      </c>
      <c r="U3704" t="s">
        <v>17022</v>
      </c>
      <c r="V3704" t="s">
        <v>17019</v>
      </c>
      <c r="W3704" t="s">
        <v>49</v>
      </c>
      <c r="X3704" t="s">
        <v>17023</v>
      </c>
      <c r="Y3704">
        <v>3</v>
      </c>
      <c r="Z3704">
        <v>5</v>
      </c>
    </row>
    <row r="3705" spans="1:26">
      <c r="A3705" s="1">
        <v>3703</v>
      </c>
      <c r="B3705" t="str">
        <f>HYPERLINK("https://bugs.eclipse.org/bugs/show_bug.cgi?id=228635", "228635")</f>
        <v>228635</v>
      </c>
      <c r="C3705" t="s">
        <v>191</v>
      </c>
      <c r="D3705" t="s">
        <v>192</v>
      </c>
      <c r="E3705" t="s">
        <v>14</v>
      </c>
      <c r="F3705" t="s">
        <v>26</v>
      </c>
      <c r="T3705" t="s">
        <v>17024</v>
      </c>
      <c r="U3705" t="s">
        <v>17025</v>
      </c>
      <c r="V3705" t="s">
        <v>17026</v>
      </c>
      <c r="W3705" t="s">
        <v>65</v>
      </c>
      <c r="X3705" t="s">
        <v>17027</v>
      </c>
      <c r="Y3705">
        <v>0</v>
      </c>
      <c r="Z3705">
        <v>4165</v>
      </c>
    </row>
    <row r="3706" spans="1:26">
      <c r="A3706" s="1">
        <v>3704</v>
      </c>
      <c r="B3706" t="str">
        <f>HYPERLINK("https://bugs.eclipse.org/bugs/show_bug.cgi?id=228921", "228921")</f>
        <v>228921</v>
      </c>
      <c r="C3706" t="s">
        <v>140</v>
      </c>
      <c r="D3706" t="s">
        <v>10</v>
      </c>
      <c r="E3706" t="s">
        <v>16</v>
      </c>
      <c r="F3706" t="s">
        <v>26</v>
      </c>
      <c r="L3706" t="s">
        <v>17028</v>
      </c>
      <c r="R3706" t="s">
        <v>17028</v>
      </c>
      <c r="T3706" t="s">
        <v>17029</v>
      </c>
      <c r="U3706" t="s">
        <v>17030</v>
      </c>
      <c r="V3706" t="s">
        <v>17028</v>
      </c>
      <c r="W3706" t="s">
        <v>143</v>
      </c>
      <c r="X3706" t="s">
        <v>17031</v>
      </c>
      <c r="Y3706">
        <v>1</v>
      </c>
      <c r="Z3706">
        <v>522</v>
      </c>
    </row>
    <row r="3707" spans="1:26">
      <c r="A3707" s="1">
        <v>3705</v>
      </c>
      <c r="B3707" t="str">
        <f>HYPERLINK("https://bugs.eclipse.org/bugs/show_bug.cgi?id=228950", "228950")</f>
        <v>228950</v>
      </c>
      <c r="C3707" t="s">
        <v>149</v>
      </c>
      <c r="D3707" t="s">
        <v>10</v>
      </c>
      <c r="E3707" t="s">
        <v>12</v>
      </c>
      <c r="F3707" t="s">
        <v>26</v>
      </c>
      <c r="L3707" t="s">
        <v>17032</v>
      </c>
      <c r="N3707" t="s">
        <v>17032</v>
      </c>
      <c r="T3707" t="s">
        <v>17033</v>
      </c>
      <c r="U3707" t="s">
        <v>17032</v>
      </c>
      <c r="V3707" t="s">
        <v>17034</v>
      </c>
      <c r="W3707" t="s">
        <v>143</v>
      </c>
      <c r="X3707" t="s">
        <v>17035</v>
      </c>
      <c r="Y3707">
        <v>69</v>
      </c>
      <c r="Z3707">
        <v>82</v>
      </c>
    </row>
    <row r="3708" spans="1:26">
      <c r="A3708" s="1">
        <v>3706</v>
      </c>
      <c r="B3708" t="str">
        <f>HYPERLINK("https://bugs.eclipse.org/bugs/show_bug.cgi?id=228983", "228983")</f>
        <v>228983</v>
      </c>
      <c r="C3708" t="s">
        <v>88</v>
      </c>
      <c r="D3708" t="s">
        <v>10</v>
      </c>
      <c r="E3708" t="s">
        <v>13</v>
      </c>
      <c r="F3708" t="s">
        <v>26</v>
      </c>
      <c r="L3708" t="s">
        <v>17036</v>
      </c>
      <c r="O3708" t="s">
        <v>17036</v>
      </c>
      <c r="T3708" t="s">
        <v>17037</v>
      </c>
      <c r="U3708" t="s">
        <v>17038</v>
      </c>
      <c r="V3708" t="s">
        <v>17036</v>
      </c>
      <c r="W3708" t="s">
        <v>49</v>
      </c>
      <c r="X3708" t="s">
        <v>17039</v>
      </c>
      <c r="Y3708">
        <v>0</v>
      </c>
      <c r="Z3708">
        <v>11</v>
      </c>
    </row>
    <row r="3709" spans="1:26">
      <c r="A3709" s="1">
        <v>3707</v>
      </c>
      <c r="B3709" t="str">
        <f>HYPERLINK("https://bugs.eclipse.org/bugs/show_bug.cgi?id=229004", "229004")</f>
        <v>229004</v>
      </c>
      <c r="C3709" t="s">
        <v>191</v>
      </c>
      <c r="D3709" t="s">
        <v>192</v>
      </c>
      <c r="E3709" t="s">
        <v>14</v>
      </c>
      <c r="F3709" t="s">
        <v>26</v>
      </c>
      <c r="T3709" t="s">
        <v>17040</v>
      </c>
      <c r="U3709" t="s">
        <v>17041</v>
      </c>
      <c r="V3709" t="s">
        <v>17042</v>
      </c>
      <c r="W3709" t="s">
        <v>65</v>
      </c>
      <c r="X3709" t="s">
        <v>17043</v>
      </c>
      <c r="Y3709">
        <v>0</v>
      </c>
      <c r="Z3709">
        <v>4160</v>
      </c>
    </row>
    <row r="3710" spans="1:26">
      <c r="A3710" s="1">
        <v>3708</v>
      </c>
      <c r="B3710" t="str">
        <f>HYPERLINK("https://bugs.eclipse.org/bugs/show_bug.cgi?id=229527", "229527")</f>
        <v>229527</v>
      </c>
      <c r="C3710" t="s">
        <v>25</v>
      </c>
      <c r="D3710" t="s">
        <v>25</v>
      </c>
      <c r="F3710" t="s">
        <v>51</v>
      </c>
      <c r="T3710" t="s">
        <v>17044</v>
      </c>
      <c r="U3710" t="s">
        <v>17045</v>
      </c>
      <c r="V3710" t="s">
        <v>17046</v>
      </c>
      <c r="W3710" t="s">
        <v>4846</v>
      </c>
      <c r="X3710" t="s">
        <v>17047</v>
      </c>
      <c r="Y3710">
        <v>1</v>
      </c>
    </row>
    <row r="3711" spans="1:26">
      <c r="A3711" s="1">
        <v>3709</v>
      </c>
      <c r="B3711" t="str">
        <f>HYPERLINK("https://bugs.eclipse.org/bugs/show_bug.cgi?id=229550", "229550")</f>
        <v>229550</v>
      </c>
      <c r="C3711" t="s">
        <v>17048</v>
      </c>
      <c r="D3711" t="s">
        <v>10</v>
      </c>
      <c r="E3711" t="s">
        <v>15</v>
      </c>
      <c r="F3711" t="s">
        <v>26</v>
      </c>
      <c r="L3711" t="s">
        <v>17049</v>
      </c>
      <c r="Q3711" t="s">
        <v>17049</v>
      </c>
      <c r="T3711" t="s">
        <v>17050</v>
      </c>
      <c r="U3711" t="s">
        <v>17051</v>
      </c>
      <c r="V3711" t="s">
        <v>17049</v>
      </c>
      <c r="W3711" t="s">
        <v>143</v>
      </c>
      <c r="X3711" t="s">
        <v>17052</v>
      </c>
      <c r="Y3711">
        <v>0</v>
      </c>
      <c r="Z3711">
        <v>0</v>
      </c>
    </row>
    <row r="3712" spans="1:26">
      <c r="A3712" s="1">
        <v>3710</v>
      </c>
      <c r="B3712" t="str">
        <f>HYPERLINK("https://bugs.eclipse.org/bugs/show_bug.cgi?id=229842", "229842")</f>
        <v>229842</v>
      </c>
      <c r="C3712" t="s">
        <v>17053</v>
      </c>
      <c r="D3712" t="s">
        <v>192</v>
      </c>
      <c r="E3712" t="s">
        <v>15</v>
      </c>
      <c r="F3712" t="s">
        <v>26</v>
      </c>
      <c r="Q3712" t="s">
        <v>17054</v>
      </c>
      <c r="T3712" t="s">
        <v>17055</v>
      </c>
      <c r="U3712" t="s">
        <v>17056</v>
      </c>
      <c r="V3712" t="s">
        <v>17054</v>
      </c>
      <c r="W3712" t="s">
        <v>143</v>
      </c>
      <c r="X3712" t="s">
        <v>17057</v>
      </c>
      <c r="Y3712">
        <v>0</v>
      </c>
      <c r="Z3712">
        <v>818</v>
      </c>
    </row>
    <row r="3713" spans="1:26">
      <c r="A3713" s="1">
        <v>3711</v>
      </c>
      <c r="B3713" t="str">
        <f>HYPERLINK("https://bugs.eclipse.org/bugs/show_bug.cgi?id=229943", "229943")</f>
        <v>229943</v>
      </c>
      <c r="C3713" t="s">
        <v>35</v>
      </c>
      <c r="D3713" t="s">
        <v>11</v>
      </c>
      <c r="E3713" t="s">
        <v>12</v>
      </c>
      <c r="F3713" t="s">
        <v>26</v>
      </c>
      <c r="G3713" t="s">
        <v>17058</v>
      </c>
      <c r="L3713" t="s">
        <v>17059</v>
      </c>
      <c r="M3713" t="s">
        <v>17060</v>
      </c>
      <c r="N3713" t="s">
        <v>17059</v>
      </c>
      <c r="T3713" t="s">
        <v>17061</v>
      </c>
      <c r="U3713" t="s">
        <v>17062</v>
      </c>
      <c r="V3713" t="s">
        <v>17060</v>
      </c>
      <c r="W3713" t="s">
        <v>851</v>
      </c>
      <c r="X3713" t="s">
        <v>17063</v>
      </c>
      <c r="Y3713">
        <v>3</v>
      </c>
      <c r="Z3713">
        <v>18</v>
      </c>
    </row>
    <row r="3714" spans="1:26">
      <c r="A3714" s="1">
        <v>3712</v>
      </c>
      <c r="B3714" t="str">
        <f>HYPERLINK("https://bugs.eclipse.org/bugs/show_bug.cgi?id=230244", "230244")</f>
        <v>230244</v>
      </c>
      <c r="C3714" t="s">
        <v>149</v>
      </c>
      <c r="D3714" t="s">
        <v>10</v>
      </c>
      <c r="E3714" t="s">
        <v>12</v>
      </c>
      <c r="F3714" t="s">
        <v>26</v>
      </c>
      <c r="L3714" t="s">
        <v>17064</v>
      </c>
      <c r="N3714" t="s">
        <v>17064</v>
      </c>
      <c r="T3714" t="s">
        <v>17065</v>
      </c>
      <c r="U3714" t="s">
        <v>17066</v>
      </c>
      <c r="V3714" t="s">
        <v>17064</v>
      </c>
      <c r="W3714" t="s">
        <v>851</v>
      </c>
      <c r="X3714" t="s">
        <v>17067</v>
      </c>
      <c r="Y3714">
        <v>1</v>
      </c>
      <c r="Z3714">
        <v>1033.041666666667</v>
      </c>
    </row>
    <row r="3715" spans="1:26">
      <c r="A3715" s="1">
        <v>3713</v>
      </c>
      <c r="B3715" t="str">
        <f>HYPERLINK("https://bugs.eclipse.org/bugs/show_bug.cgi?id=230361", "230361")</f>
        <v>230361</v>
      </c>
      <c r="C3715" t="s">
        <v>191</v>
      </c>
      <c r="D3715" t="s">
        <v>192</v>
      </c>
      <c r="E3715" t="s">
        <v>14</v>
      </c>
      <c r="F3715" t="s">
        <v>26</v>
      </c>
      <c r="T3715" t="s">
        <v>17068</v>
      </c>
      <c r="U3715" t="s">
        <v>17069</v>
      </c>
      <c r="V3715" t="s">
        <v>17070</v>
      </c>
      <c r="W3715" t="s">
        <v>65</v>
      </c>
      <c r="X3715" t="s">
        <v>17071</v>
      </c>
      <c r="Y3715">
        <v>0</v>
      </c>
      <c r="Z3715">
        <v>4200.041666666667</v>
      </c>
    </row>
    <row r="3716" spans="1:26">
      <c r="A3716" s="1">
        <v>3714</v>
      </c>
      <c r="B3716" t="str">
        <f>HYPERLINK("https://bugs.eclipse.org/bugs/show_bug.cgi?id=231035", "231035")</f>
        <v>231035</v>
      </c>
      <c r="C3716" t="s">
        <v>13274</v>
      </c>
      <c r="D3716" t="s">
        <v>10</v>
      </c>
      <c r="E3716" t="s">
        <v>15</v>
      </c>
      <c r="F3716" t="s">
        <v>26</v>
      </c>
      <c r="L3716" t="s">
        <v>17072</v>
      </c>
      <c r="Q3716" t="s">
        <v>17072</v>
      </c>
      <c r="T3716" t="s">
        <v>17073</v>
      </c>
      <c r="U3716" t="s">
        <v>17074</v>
      </c>
      <c r="V3716" t="s">
        <v>17072</v>
      </c>
      <c r="W3716" t="s">
        <v>851</v>
      </c>
      <c r="X3716" t="s">
        <v>17075</v>
      </c>
      <c r="Y3716">
        <v>0</v>
      </c>
      <c r="Z3716">
        <v>186.04166666666671</v>
      </c>
    </row>
    <row r="3717" spans="1:26">
      <c r="A3717" s="1">
        <v>3715</v>
      </c>
      <c r="B3717" t="str">
        <f>HYPERLINK("https://bugs.eclipse.org/bugs/show_bug.cgi?id=231285", "231285")</f>
        <v>231285</v>
      </c>
      <c r="C3717" t="s">
        <v>25</v>
      </c>
      <c r="D3717" t="s">
        <v>25</v>
      </c>
      <c r="F3717" t="s">
        <v>26</v>
      </c>
      <c r="T3717" t="s">
        <v>17076</v>
      </c>
      <c r="U3717" t="s">
        <v>17077</v>
      </c>
      <c r="V3717" t="s">
        <v>17078</v>
      </c>
      <c r="W3717" t="s">
        <v>65</v>
      </c>
      <c r="X3717" t="s">
        <v>17079</v>
      </c>
      <c r="Y3717">
        <v>13</v>
      </c>
    </row>
    <row r="3718" spans="1:26">
      <c r="A3718" s="1">
        <v>3716</v>
      </c>
      <c r="B3718" t="str">
        <f>HYPERLINK("https://bugs.eclipse.org/bugs/show_bug.cgi?id=231568", "231568")</f>
        <v>231568</v>
      </c>
      <c r="C3718" t="s">
        <v>140</v>
      </c>
      <c r="D3718" t="s">
        <v>10</v>
      </c>
      <c r="E3718" t="s">
        <v>16</v>
      </c>
      <c r="F3718" t="s">
        <v>26</v>
      </c>
      <c r="L3718" t="s">
        <v>17080</v>
      </c>
      <c r="R3718" t="s">
        <v>17080</v>
      </c>
      <c r="T3718" t="s">
        <v>17081</v>
      </c>
      <c r="U3718" t="s">
        <v>17082</v>
      </c>
      <c r="V3718" t="s">
        <v>17080</v>
      </c>
      <c r="W3718" t="s">
        <v>17083</v>
      </c>
      <c r="X3718" t="s">
        <v>17084</v>
      </c>
      <c r="Y3718">
        <v>0</v>
      </c>
      <c r="Z3718">
        <v>447</v>
      </c>
    </row>
    <row r="3719" spans="1:26">
      <c r="A3719" s="1">
        <v>3717</v>
      </c>
      <c r="B3719" t="str">
        <f>HYPERLINK("https://bugs.eclipse.org/bugs/show_bug.cgi?id=231595", "231595")</f>
        <v>231595</v>
      </c>
      <c r="C3719" t="s">
        <v>56</v>
      </c>
      <c r="D3719" t="s">
        <v>10</v>
      </c>
      <c r="E3719" t="s">
        <v>14</v>
      </c>
      <c r="F3719" t="s">
        <v>26</v>
      </c>
      <c r="L3719" t="s">
        <v>17085</v>
      </c>
      <c r="P3719" t="s">
        <v>17085</v>
      </c>
      <c r="T3719" t="s">
        <v>17086</v>
      </c>
      <c r="U3719" t="s">
        <v>17087</v>
      </c>
      <c r="V3719" t="s">
        <v>17085</v>
      </c>
      <c r="W3719" t="s">
        <v>49</v>
      </c>
      <c r="X3719" t="s">
        <v>17088</v>
      </c>
      <c r="Y3719">
        <v>0</v>
      </c>
      <c r="Z3719">
        <v>4</v>
      </c>
    </row>
    <row r="3720" spans="1:26">
      <c r="A3720" s="1">
        <v>3718</v>
      </c>
      <c r="B3720" t="str">
        <f>HYPERLINK("https://bugs.eclipse.org/bugs/show_bug.cgi?id=232125", "232125")</f>
        <v>232125</v>
      </c>
      <c r="C3720" t="s">
        <v>56</v>
      </c>
      <c r="D3720" t="s">
        <v>10</v>
      </c>
      <c r="E3720" t="s">
        <v>14</v>
      </c>
      <c r="F3720" t="s">
        <v>26</v>
      </c>
      <c r="L3720" t="s">
        <v>17089</v>
      </c>
      <c r="P3720" t="s">
        <v>17089</v>
      </c>
      <c r="T3720" t="s">
        <v>17090</v>
      </c>
      <c r="U3720" t="s">
        <v>17091</v>
      </c>
      <c r="V3720" t="s">
        <v>17089</v>
      </c>
      <c r="W3720" t="s">
        <v>49</v>
      </c>
      <c r="X3720" t="s">
        <v>17092</v>
      </c>
      <c r="Y3720">
        <v>0</v>
      </c>
      <c r="Z3720">
        <v>1</v>
      </c>
    </row>
    <row r="3721" spans="1:26">
      <c r="A3721" s="1">
        <v>3719</v>
      </c>
      <c r="B3721" t="str">
        <f>HYPERLINK("https://bugs.eclipse.org/bugs/show_bug.cgi?id=232297", "232297")</f>
        <v>232297</v>
      </c>
      <c r="C3721" t="s">
        <v>35</v>
      </c>
      <c r="D3721" t="s">
        <v>11</v>
      </c>
      <c r="E3721" t="s">
        <v>12</v>
      </c>
      <c r="F3721" t="s">
        <v>26</v>
      </c>
      <c r="L3721" t="s">
        <v>17093</v>
      </c>
      <c r="M3721" t="s">
        <v>17094</v>
      </c>
      <c r="N3721" t="s">
        <v>17093</v>
      </c>
      <c r="T3721" t="s">
        <v>17095</v>
      </c>
      <c r="U3721" t="s">
        <v>17096</v>
      </c>
      <c r="V3721" t="s">
        <v>17094</v>
      </c>
      <c r="W3721" t="s">
        <v>851</v>
      </c>
      <c r="X3721" t="s">
        <v>17097</v>
      </c>
      <c r="Y3721">
        <v>7</v>
      </c>
      <c r="Z3721">
        <v>8</v>
      </c>
    </row>
    <row r="3722" spans="1:26">
      <c r="A3722" s="1">
        <v>3720</v>
      </c>
      <c r="B3722" t="str">
        <f>HYPERLINK("https://bugs.eclipse.org/bugs/show_bug.cgi?id=232396", "232396")</f>
        <v>232396</v>
      </c>
      <c r="C3722" t="s">
        <v>88</v>
      </c>
      <c r="D3722" t="s">
        <v>10</v>
      </c>
      <c r="E3722" t="s">
        <v>13</v>
      </c>
      <c r="F3722" t="s">
        <v>26</v>
      </c>
      <c r="G3722" t="s">
        <v>17098</v>
      </c>
      <c r="L3722" t="s">
        <v>17099</v>
      </c>
      <c r="O3722" t="s">
        <v>17099</v>
      </c>
      <c r="T3722" t="s">
        <v>17100</v>
      </c>
      <c r="U3722" t="s">
        <v>17101</v>
      </c>
      <c r="V3722" t="s">
        <v>17099</v>
      </c>
      <c r="W3722" t="s">
        <v>49</v>
      </c>
      <c r="X3722" t="s">
        <v>17102</v>
      </c>
      <c r="Y3722">
        <v>1</v>
      </c>
      <c r="Z3722">
        <v>8</v>
      </c>
    </row>
    <row r="3723" spans="1:26">
      <c r="A3723" s="1">
        <v>3721</v>
      </c>
      <c r="B3723" t="str">
        <f>HYPERLINK("https://bugs.eclipse.org/bugs/show_bug.cgi?id=232657", "232657")</f>
        <v>232657</v>
      </c>
      <c r="C3723" t="s">
        <v>25</v>
      </c>
      <c r="D3723" t="s">
        <v>25</v>
      </c>
      <c r="F3723" t="s">
        <v>26</v>
      </c>
      <c r="T3723" t="s">
        <v>17103</v>
      </c>
      <c r="U3723" t="s">
        <v>17104</v>
      </c>
      <c r="V3723" t="s">
        <v>17105</v>
      </c>
      <c r="W3723" t="s">
        <v>49</v>
      </c>
      <c r="X3723" t="s">
        <v>17106</v>
      </c>
      <c r="Y3723">
        <v>1</v>
      </c>
    </row>
    <row r="3724" spans="1:26">
      <c r="A3724" s="1">
        <v>3722</v>
      </c>
      <c r="B3724" t="str">
        <f>HYPERLINK("https://bugs.eclipse.org/bugs/show_bug.cgi?id=232660", "232660")</f>
        <v>232660</v>
      </c>
      <c r="C3724" t="s">
        <v>56</v>
      </c>
      <c r="D3724" t="s">
        <v>10</v>
      </c>
      <c r="E3724" t="s">
        <v>14</v>
      </c>
      <c r="F3724" t="s">
        <v>26</v>
      </c>
      <c r="G3724" t="s">
        <v>17107</v>
      </c>
      <c r="L3724" t="s">
        <v>17108</v>
      </c>
      <c r="P3724" t="s">
        <v>17108</v>
      </c>
      <c r="T3724" t="s">
        <v>17109</v>
      </c>
      <c r="U3724" t="s">
        <v>17110</v>
      </c>
      <c r="V3724" t="s">
        <v>17108</v>
      </c>
      <c r="W3724" t="s">
        <v>49</v>
      </c>
      <c r="X3724" t="s">
        <v>17111</v>
      </c>
      <c r="Y3724">
        <v>1</v>
      </c>
      <c r="Z3724">
        <v>5</v>
      </c>
    </row>
    <row r="3725" spans="1:26">
      <c r="A3725" s="1">
        <v>3723</v>
      </c>
      <c r="B3725" t="str">
        <f>HYPERLINK("https://bugs.eclipse.org/bugs/show_bug.cgi?id=232731", "232731")</f>
        <v>232731</v>
      </c>
      <c r="C3725" t="s">
        <v>56</v>
      </c>
      <c r="D3725" t="s">
        <v>10</v>
      </c>
      <c r="E3725" t="s">
        <v>14</v>
      </c>
      <c r="F3725" t="s">
        <v>26</v>
      </c>
      <c r="L3725" t="s">
        <v>17112</v>
      </c>
      <c r="P3725" t="s">
        <v>17112</v>
      </c>
      <c r="T3725" t="s">
        <v>17113</v>
      </c>
      <c r="U3725" t="s">
        <v>17114</v>
      </c>
      <c r="V3725" t="s">
        <v>17112</v>
      </c>
      <c r="W3725" t="s">
        <v>16518</v>
      </c>
      <c r="X3725" t="s">
        <v>17115</v>
      </c>
      <c r="Y3725">
        <v>4140</v>
      </c>
      <c r="Z3725">
        <v>4140</v>
      </c>
    </row>
    <row r="3726" spans="1:26">
      <c r="A3726" s="1">
        <v>3724</v>
      </c>
      <c r="B3726" t="str">
        <f>HYPERLINK("https://bugs.eclipse.org/bugs/show_bug.cgi?id=232735", "232735")</f>
        <v>232735</v>
      </c>
      <c r="C3726" t="s">
        <v>191</v>
      </c>
      <c r="D3726" t="s">
        <v>192</v>
      </c>
      <c r="E3726" t="s">
        <v>14</v>
      </c>
      <c r="F3726" t="s">
        <v>26</v>
      </c>
      <c r="G3726" t="s">
        <v>17116</v>
      </c>
      <c r="P3726" t="s">
        <v>17117</v>
      </c>
      <c r="T3726" t="s">
        <v>17118</v>
      </c>
      <c r="U3726" t="s">
        <v>17119</v>
      </c>
      <c r="V3726" t="s">
        <v>17117</v>
      </c>
      <c r="W3726" t="s">
        <v>65</v>
      </c>
      <c r="X3726" t="s">
        <v>17120</v>
      </c>
      <c r="Y3726">
        <v>0</v>
      </c>
      <c r="Z3726">
        <v>4302.041666666667</v>
      </c>
    </row>
    <row r="3727" spans="1:26">
      <c r="A3727" s="1">
        <v>3725</v>
      </c>
      <c r="B3727" t="str">
        <f>HYPERLINK("https://bugs.eclipse.org/bugs/show_bug.cgi?id=232750", "232750")</f>
        <v>232750</v>
      </c>
      <c r="C3727" t="s">
        <v>17121</v>
      </c>
      <c r="D3727" t="s">
        <v>10</v>
      </c>
      <c r="E3727" t="s">
        <v>15</v>
      </c>
      <c r="F3727" t="s">
        <v>26</v>
      </c>
      <c r="L3727" t="s">
        <v>17122</v>
      </c>
      <c r="Q3727" t="s">
        <v>17122</v>
      </c>
      <c r="T3727" t="s">
        <v>17123</v>
      </c>
      <c r="U3727" t="s">
        <v>17124</v>
      </c>
      <c r="V3727" t="s">
        <v>17122</v>
      </c>
      <c r="W3727" t="s">
        <v>9181</v>
      </c>
      <c r="X3727" t="s">
        <v>17125</v>
      </c>
      <c r="Y3727">
        <v>196.04166666666671</v>
      </c>
      <c r="Z3727">
        <v>2107.041666666667</v>
      </c>
    </row>
    <row r="3728" spans="1:26">
      <c r="A3728" s="1">
        <v>3726</v>
      </c>
      <c r="B3728" t="str">
        <f>HYPERLINK("https://bugs.eclipse.org/bugs/show_bug.cgi?id=232920", "232920")</f>
        <v>232920</v>
      </c>
      <c r="C3728" t="s">
        <v>35</v>
      </c>
      <c r="D3728" t="s">
        <v>11</v>
      </c>
      <c r="E3728" t="s">
        <v>12</v>
      </c>
      <c r="F3728" t="s">
        <v>26</v>
      </c>
      <c r="G3728" t="s">
        <v>17126</v>
      </c>
      <c r="L3728" t="s">
        <v>17127</v>
      </c>
      <c r="M3728" t="s">
        <v>17128</v>
      </c>
      <c r="N3728" t="s">
        <v>17127</v>
      </c>
      <c r="S3728" t="s">
        <v>17129</v>
      </c>
      <c r="T3728" t="s">
        <v>17130</v>
      </c>
      <c r="U3728" t="s">
        <v>17131</v>
      </c>
      <c r="V3728" t="s">
        <v>17128</v>
      </c>
      <c r="W3728" t="s">
        <v>9266</v>
      </c>
      <c r="X3728" t="s">
        <v>17132</v>
      </c>
      <c r="Y3728">
        <v>2053.041666666667</v>
      </c>
      <c r="Z3728">
        <v>3977</v>
      </c>
    </row>
    <row r="3729" spans="1:26">
      <c r="A3729" s="1">
        <v>3727</v>
      </c>
      <c r="B3729" t="str">
        <f>HYPERLINK("https://bugs.eclipse.org/bugs/show_bug.cgi?id=232990", "232990")</f>
        <v>232990</v>
      </c>
      <c r="C3729" t="s">
        <v>191</v>
      </c>
      <c r="D3729" t="s">
        <v>192</v>
      </c>
      <c r="E3729" t="s">
        <v>14</v>
      </c>
      <c r="F3729" t="s">
        <v>26</v>
      </c>
      <c r="L3729" t="s">
        <v>17133</v>
      </c>
      <c r="R3729" t="s">
        <v>17133</v>
      </c>
      <c r="S3729" t="s">
        <v>17134</v>
      </c>
      <c r="T3729" t="s">
        <v>17135</v>
      </c>
      <c r="U3729" t="s">
        <v>17136</v>
      </c>
      <c r="V3729" t="s">
        <v>17137</v>
      </c>
      <c r="W3729" t="s">
        <v>65</v>
      </c>
      <c r="X3729" t="s">
        <v>17138</v>
      </c>
      <c r="Y3729">
        <v>1</v>
      </c>
      <c r="Z3729">
        <v>4128</v>
      </c>
    </row>
    <row r="3730" spans="1:26">
      <c r="A3730" s="1">
        <v>3728</v>
      </c>
      <c r="B3730" t="str">
        <f>HYPERLINK("https://bugs.eclipse.org/bugs/show_bug.cgi?id=233252", "233252")</f>
        <v>233252</v>
      </c>
      <c r="C3730" t="s">
        <v>56</v>
      </c>
      <c r="D3730" t="s">
        <v>10</v>
      </c>
      <c r="E3730" t="s">
        <v>14</v>
      </c>
      <c r="F3730" t="s">
        <v>26</v>
      </c>
      <c r="L3730" t="s">
        <v>17139</v>
      </c>
      <c r="P3730" t="s">
        <v>17139</v>
      </c>
      <c r="T3730" t="s">
        <v>17140</v>
      </c>
      <c r="U3730" t="s">
        <v>17141</v>
      </c>
      <c r="V3730" t="s">
        <v>17139</v>
      </c>
      <c r="W3730" t="s">
        <v>49</v>
      </c>
      <c r="X3730" t="s">
        <v>17142</v>
      </c>
      <c r="Y3730">
        <v>0</v>
      </c>
      <c r="Z3730">
        <v>2</v>
      </c>
    </row>
    <row r="3731" spans="1:26">
      <c r="A3731" s="1">
        <v>3729</v>
      </c>
      <c r="B3731" t="str">
        <f>HYPERLINK("https://bugs.eclipse.org/bugs/show_bug.cgi?id=233278", "233278")</f>
        <v>233278</v>
      </c>
      <c r="C3731" t="s">
        <v>149</v>
      </c>
      <c r="D3731" t="s">
        <v>10</v>
      </c>
      <c r="E3731" t="s">
        <v>12</v>
      </c>
      <c r="F3731" t="s">
        <v>150</v>
      </c>
      <c r="L3731" t="s">
        <v>17143</v>
      </c>
      <c r="N3731" t="s">
        <v>17143</v>
      </c>
      <c r="T3731" t="s">
        <v>17144</v>
      </c>
      <c r="U3731" t="s">
        <v>17145</v>
      </c>
      <c r="V3731" t="s">
        <v>17146</v>
      </c>
      <c r="W3731" t="s">
        <v>8448</v>
      </c>
      <c r="X3731" t="s">
        <v>17147</v>
      </c>
      <c r="Y3731">
        <v>1</v>
      </c>
      <c r="Z3731">
        <v>62</v>
      </c>
    </row>
    <row r="3732" spans="1:26">
      <c r="A3732" s="1">
        <v>3730</v>
      </c>
      <c r="B3732" t="str">
        <f>HYPERLINK("https://bugs.eclipse.org/bugs/show_bug.cgi?id=233413", "233413")</f>
        <v>233413</v>
      </c>
      <c r="C3732" t="s">
        <v>25</v>
      </c>
      <c r="D3732" t="s">
        <v>25</v>
      </c>
      <c r="F3732" t="s">
        <v>51</v>
      </c>
      <c r="T3732" t="s">
        <v>17148</v>
      </c>
      <c r="U3732" t="s">
        <v>17149</v>
      </c>
      <c r="V3732" t="s">
        <v>17150</v>
      </c>
      <c r="W3732" t="s">
        <v>49</v>
      </c>
      <c r="X3732" t="s">
        <v>17151</v>
      </c>
      <c r="Y3732">
        <v>0</v>
      </c>
    </row>
    <row r="3733" spans="1:26">
      <c r="A3733" s="1">
        <v>3731</v>
      </c>
      <c r="B3733" t="str">
        <f>HYPERLINK("https://bugs.eclipse.org/bugs/show_bug.cgi?id=233437", "233437")</f>
        <v>233437</v>
      </c>
      <c r="C3733" t="s">
        <v>191</v>
      </c>
      <c r="D3733" t="s">
        <v>192</v>
      </c>
      <c r="E3733" t="s">
        <v>14</v>
      </c>
      <c r="F3733" t="s">
        <v>26</v>
      </c>
      <c r="P3733" t="s">
        <v>17152</v>
      </c>
      <c r="T3733" t="s">
        <v>17153</v>
      </c>
      <c r="U3733" t="s">
        <v>17154</v>
      </c>
      <c r="V3733" t="s">
        <v>17152</v>
      </c>
      <c r="W3733" t="s">
        <v>65</v>
      </c>
      <c r="X3733" t="s">
        <v>17155</v>
      </c>
      <c r="Y3733">
        <v>1</v>
      </c>
      <c r="Z3733">
        <v>4284.041666666667</v>
      </c>
    </row>
    <row r="3734" spans="1:26">
      <c r="A3734" s="1">
        <v>3732</v>
      </c>
      <c r="B3734" t="str">
        <f>HYPERLINK("https://bugs.eclipse.org/bugs/show_bug.cgi?id=233465", "233465")</f>
        <v>233465</v>
      </c>
      <c r="C3734" t="s">
        <v>140</v>
      </c>
      <c r="D3734" t="s">
        <v>10</v>
      </c>
      <c r="E3734" t="s">
        <v>16</v>
      </c>
      <c r="F3734" t="s">
        <v>26</v>
      </c>
      <c r="L3734" t="s">
        <v>17156</v>
      </c>
      <c r="R3734" t="s">
        <v>17156</v>
      </c>
      <c r="T3734" t="s">
        <v>17157</v>
      </c>
      <c r="U3734" t="s">
        <v>17158</v>
      </c>
      <c r="V3734" t="s">
        <v>17156</v>
      </c>
      <c r="W3734" t="s">
        <v>49</v>
      </c>
      <c r="X3734" t="s">
        <v>17159</v>
      </c>
      <c r="Y3734">
        <v>0</v>
      </c>
      <c r="Z3734">
        <v>0</v>
      </c>
    </row>
    <row r="3735" spans="1:26">
      <c r="A3735" s="1">
        <v>3733</v>
      </c>
      <c r="B3735" t="str">
        <f>HYPERLINK("https://bugs.eclipse.org/bugs/show_bug.cgi?id=233629", "233629")</f>
        <v>233629</v>
      </c>
      <c r="C3735" t="s">
        <v>35</v>
      </c>
      <c r="D3735" t="s">
        <v>11</v>
      </c>
      <c r="E3735" t="s">
        <v>12</v>
      </c>
      <c r="F3735" t="s">
        <v>26</v>
      </c>
      <c r="L3735" t="s">
        <v>17160</v>
      </c>
      <c r="M3735" t="s">
        <v>17161</v>
      </c>
      <c r="N3735" t="s">
        <v>17160</v>
      </c>
      <c r="T3735" t="s">
        <v>17162</v>
      </c>
      <c r="U3735" t="s">
        <v>17163</v>
      </c>
      <c r="V3735" t="s">
        <v>17161</v>
      </c>
      <c r="W3735" t="s">
        <v>1954</v>
      </c>
      <c r="X3735" t="s">
        <v>17164</v>
      </c>
      <c r="Y3735">
        <v>4</v>
      </c>
      <c r="Z3735">
        <v>6</v>
      </c>
    </row>
    <row r="3736" spans="1:26">
      <c r="A3736" s="1">
        <v>3734</v>
      </c>
      <c r="B3736" t="str">
        <f>HYPERLINK("https://bugs.eclipse.org/bugs/show_bug.cgi?id=233719", "233719")</f>
        <v>233719</v>
      </c>
      <c r="C3736" t="s">
        <v>191</v>
      </c>
      <c r="D3736" t="s">
        <v>192</v>
      </c>
      <c r="E3736" t="s">
        <v>14</v>
      </c>
      <c r="F3736" t="s">
        <v>26</v>
      </c>
      <c r="P3736" t="s">
        <v>17165</v>
      </c>
      <c r="T3736" t="s">
        <v>17166</v>
      </c>
      <c r="U3736" t="s">
        <v>17167</v>
      </c>
      <c r="V3736" t="s">
        <v>17165</v>
      </c>
      <c r="W3736" t="s">
        <v>65</v>
      </c>
      <c r="X3736" t="s">
        <v>17168</v>
      </c>
      <c r="Y3736">
        <v>3</v>
      </c>
      <c r="Z3736">
        <v>4257.041666666667</v>
      </c>
    </row>
    <row r="3737" spans="1:26">
      <c r="A3737" s="1">
        <v>3735</v>
      </c>
      <c r="B3737" t="str">
        <f>HYPERLINK("https://bugs.eclipse.org/bugs/show_bug.cgi?id=233796", "233796")</f>
        <v>233796</v>
      </c>
      <c r="C3737" t="s">
        <v>191</v>
      </c>
      <c r="D3737" t="s">
        <v>192</v>
      </c>
      <c r="E3737" t="s">
        <v>14</v>
      </c>
      <c r="F3737" t="s">
        <v>150</v>
      </c>
      <c r="P3737" t="s">
        <v>17169</v>
      </c>
      <c r="T3737" t="s">
        <v>17170</v>
      </c>
      <c r="U3737" t="s">
        <v>17171</v>
      </c>
      <c r="V3737" t="s">
        <v>17169</v>
      </c>
      <c r="W3737" t="s">
        <v>65</v>
      </c>
      <c r="X3737" t="s">
        <v>17172</v>
      </c>
      <c r="Y3737">
        <v>0</v>
      </c>
      <c r="Z3737">
        <v>4344</v>
      </c>
    </row>
    <row r="3738" spans="1:26">
      <c r="A3738" s="1">
        <v>3736</v>
      </c>
      <c r="B3738" t="str">
        <f>HYPERLINK("https://bugs.eclipse.org/bugs/show_bug.cgi?id=233941", "233941")</f>
        <v>233941</v>
      </c>
      <c r="C3738" t="s">
        <v>35</v>
      </c>
      <c r="D3738" t="s">
        <v>11</v>
      </c>
      <c r="E3738" t="s">
        <v>12</v>
      </c>
      <c r="F3738" t="s">
        <v>26</v>
      </c>
      <c r="L3738" t="s">
        <v>17173</v>
      </c>
      <c r="M3738" t="s">
        <v>17174</v>
      </c>
      <c r="N3738" t="s">
        <v>17173</v>
      </c>
      <c r="T3738" t="s">
        <v>17175</v>
      </c>
      <c r="U3738" t="s">
        <v>17176</v>
      </c>
      <c r="V3738" t="s">
        <v>17174</v>
      </c>
      <c r="W3738" t="s">
        <v>143</v>
      </c>
      <c r="X3738" t="s">
        <v>17177</v>
      </c>
      <c r="Y3738">
        <v>0</v>
      </c>
      <c r="Z3738">
        <v>72</v>
      </c>
    </row>
    <row r="3739" spans="1:26">
      <c r="A3739" s="1">
        <v>3737</v>
      </c>
      <c r="B3739" t="str">
        <f>HYPERLINK("https://bugs.eclipse.org/bugs/show_bug.cgi?id=234316", "234316")</f>
        <v>234316</v>
      </c>
      <c r="C3739" t="s">
        <v>191</v>
      </c>
      <c r="D3739" t="s">
        <v>192</v>
      </c>
      <c r="E3739" t="s">
        <v>14</v>
      </c>
      <c r="F3739" t="s">
        <v>26</v>
      </c>
      <c r="P3739" t="s">
        <v>17178</v>
      </c>
      <c r="T3739" t="s">
        <v>17179</v>
      </c>
      <c r="U3739" t="s">
        <v>17178</v>
      </c>
      <c r="V3739" t="s">
        <v>17178</v>
      </c>
      <c r="W3739" t="s">
        <v>65</v>
      </c>
      <c r="X3739" t="s">
        <v>17180</v>
      </c>
      <c r="Y3739">
        <v>4286.041666666667</v>
      </c>
      <c r="Z3739">
        <v>4286.041666666667</v>
      </c>
    </row>
    <row r="3740" spans="1:26">
      <c r="A3740" s="1">
        <v>3738</v>
      </c>
      <c r="B3740" t="str">
        <f>HYPERLINK("https://bugs.eclipse.org/bugs/show_bug.cgi?id=234542", "234542")</f>
        <v>234542</v>
      </c>
      <c r="C3740" t="s">
        <v>140</v>
      </c>
      <c r="D3740" t="s">
        <v>10</v>
      </c>
      <c r="E3740" t="s">
        <v>16</v>
      </c>
      <c r="F3740" t="s">
        <v>26</v>
      </c>
      <c r="L3740" t="s">
        <v>17181</v>
      </c>
      <c r="R3740" t="s">
        <v>17181</v>
      </c>
      <c r="T3740" t="s">
        <v>17182</v>
      </c>
      <c r="U3740" t="s">
        <v>17183</v>
      </c>
      <c r="V3740" t="s">
        <v>17181</v>
      </c>
      <c r="W3740" t="s">
        <v>17184</v>
      </c>
      <c r="X3740" t="s">
        <v>17185</v>
      </c>
      <c r="Y3740">
        <v>0</v>
      </c>
      <c r="Z3740">
        <v>11</v>
      </c>
    </row>
    <row r="3741" spans="1:26">
      <c r="A3741" s="1">
        <v>3739</v>
      </c>
      <c r="B3741" t="str">
        <f>HYPERLINK("https://bugs.eclipse.org/bugs/show_bug.cgi?id=234977", "234977")</f>
        <v>234977</v>
      </c>
      <c r="C3741" t="s">
        <v>140</v>
      </c>
      <c r="D3741" t="s">
        <v>10</v>
      </c>
      <c r="E3741" t="s">
        <v>16</v>
      </c>
      <c r="F3741" t="s">
        <v>26</v>
      </c>
      <c r="L3741" t="s">
        <v>17186</v>
      </c>
      <c r="R3741" t="s">
        <v>17186</v>
      </c>
      <c r="T3741" t="s">
        <v>17187</v>
      </c>
      <c r="U3741" t="s">
        <v>17186</v>
      </c>
      <c r="V3741" t="s">
        <v>17186</v>
      </c>
      <c r="W3741" t="s">
        <v>49</v>
      </c>
      <c r="X3741" t="s">
        <v>17188</v>
      </c>
      <c r="Y3741">
        <v>2</v>
      </c>
      <c r="Z3741">
        <v>2</v>
      </c>
    </row>
    <row r="3742" spans="1:26">
      <c r="A3742" s="1">
        <v>3740</v>
      </c>
      <c r="B3742" t="str">
        <f>HYPERLINK("https://bugs.eclipse.org/bugs/show_bug.cgi?id=234981", "234981")</f>
        <v>234981</v>
      </c>
      <c r="C3742" t="s">
        <v>25</v>
      </c>
      <c r="D3742" t="s">
        <v>25</v>
      </c>
      <c r="F3742" t="s">
        <v>26</v>
      </c>
      <c r="G3742" t="s">
        <v>17189</v>
      </c>
      <c r="T3742" t="s">
        <v>17190</v>
      </c>
      <c r="U3742" t="s">
        <v>17191</v>
      </c>
      <c r="V3742" t="s">
        <v>17192</v>
      </c>
      <c r="W3742" t="s">
        <v>65</v>
      </c>
      <c r="X3742" t="s">
        <v>17193</v>
      </c>
      <c r="Y3742">
        <v>2</v>
      </c>
    </row>
    <row r="3743" spans="1:26">
      <c r="A3743" s="1">
        <v>3741</v>
      </c>
      <c r="B3743" t="str">
        <f>HYPERLINK("https://bugs.eclipse.org/bugs/show_bug.cgi?id=234999", "234999")</f>
        <v>234999</v>
      </c>
      <c r="C3743" t="s">
        <v>191</v>
      </c>
      <c r="D3743" t="s">
        <v>192</v>
      </c>
      <c r="E3743" t="s">
        <v>14</v>
      </c>
      <c r="F3743" t="s">
        <v>26</v>
      </c>
      <c r="T3743" t="s">
        <v>17194</v>
      </c>
      <c r="U3743" t="s">
        <v>17195</v>
      </c>
      <c r="V3743" t="s">
        <v>17196</v>
      </c>
      <c r="W3743" t="s">
        <v>143</v>
      </c>
      <c r="X3743" t="s">
        <v>17197</v>
      </c>
      <c r="Y3743">
        <v>1</v>
      </c>
      <c r="Z3743">
        <v>4057</v>
      </c>
    </row>
    <row r="3744" spans="1:26">
      <c r="A3744" s="1">
        <v>3742</v>
      </c>
      <c r="B3744" t="str">
        <f>HYPERLINK("https://bugs.eclipse.org/bugs/show_bug.cgi?id=235052", "235052")</f>
        <v>235052</v>
      </c>
      <c r="C3744" t="s">
        <v>191</v>
      </c>
      <c r="D3744" t="s">
        <v>192</v>
      </c>
      <c r="E3744" t="s">
        <v>14</v>
      </c>
      <c r="F3744" t="s">
        <v>26</v>
      </c>
      <c r="P3744" t="s">
        <v>17198</v>
      </c>
      <c r="T3744" t="s">
        <v>17199</v>
      </c>
      <c r="U3744" t="s">
        <v>17200</v>
      </c>
      <c r="V3744" t="s">
        <v>17198</v>
      </c>
      <c r="W3744" t="s">
        <v>65</v>
      </c>
      <c r="X3744" t="s">
        <v>17201</v>
      </c>
      <c r="Y3744">
        <v>0</v>
      </c>
      <c r="Z3744">
        <v>4343</v>
      </c>
    </row>
    <row r="3745" spans="1:26">
      <c r="A3745" s="1">
        <v>3743</v>
      </c>
      <c r="B3745" t="str">
        <f>HYPERLINK("https://bugs.eclipse.org/bugs/show_bug.cgi?id=235112", "235112")</f>
        <v>235112</v>
      </c>
      <c r="C3745" t="s">
        <v>191</v>
      </c>
      <c r="D3745" t="s">
        <v>192</v>
      </c>
      <c r="E3745" t="s">
        <v>14</v>
      </c>
      <c r="F3745" t="s">
        <v>26</v>
      </c>
      <c r="G3745" t="s">
        <v>17202</v>
      </c>
      <c r="T3745" t="s">
        <v>17203</v>
      </c>
      <c r="U3745" t="s">
        <v>17204</v>
      </c>
      <c r="V3745" t="s">
        <v>17205</v>
      </c>
      <c r="W3745" t="s">
        <v>65</v>
      </c>
      <c r="X3745" t="s">
        <v>17206</v>
      </c>
      <c r="Y3745">
        <v>182.04166666666671</v>
      </c>
      <c r="Z3745">
        <v>4193.041666666667</v>
      </c>
    </row>
    <row r="3746" spans="1:26">
      <c r="A3746" s="1">
        <v>3744</v>
      </c>
      <c r="B3746" t="str">
        <f>HYPERLINK("https://bugs.eclipse.org/bugs/show_bug.cgi?id=235118", "235118")</f>
        <v>235118</v>
      </c>
      <c r="C3746" t="s">
        <v>17207</v>
      </c>
      <c r="D3746" t="s">
        <v>192</v>
      </c>
      <c r="E3746" t="s">
        <v>15</v>
      </c>
      <c r="F3746" t="s">
        <v>26</v>
      </c>
      <c r="Q3746" t="s">
        <v>17208</v>
      </c>
      <c r="T3746" t="s">
        <v>17209</v>
      </c>
      <c r="U3746" t="s">
        <v>17208</v>
      </c>
      <c r="V3746" t="s">
        <v>17208</v>
      </c>
      <c r="W3746" t="s">
        <v>2777</v>
      </c>
      <c r="X3746" t="s">
        <v>17210</v>
      </c>
      <c r="Y3746">
        <v>743</v>
      </c>
      <c r="Z3746">
        <v>743</v>
      </c>
    </row>
    <row r="3747" spans="1:26">
      <c r="A3747" s="1">
        <v>3745</v>
      </c>
      <c r="B3747" t="str">
        <f>HYPERLINK("https://bugs.eclipse.org/bugs/show_bug.cgi?id=235120", "235120")</f>
        <v>235120</v>
      </c>
      <c r="C3747" t="s">
        <v>17211</v>
      </c>
      <c r="D3747" t="s">
        <v>192</v>
      </c>
      <c r="E3747" t="s">
        <v>15</v>
      </c>
      <c r="F3747" t="s">
        <v>26</v>
      </c>
      <c r="Q3747" t="s">
        <v>17212</v>
      </c>
      <c r="T3747" t="s">
        <v>17213</v>
      </c>
      <c r="U3747" t="s">
        <v>17214</v>
      </c>
      <c r="V3747" t="s">
        <v>17212</v>
      </c>
      <c r="W3747" t="s">
        <v>2777</v>
      </c>
      <c r="X3747" t="s">
        <v>17215</v>
      </c>
      <c r="Y3747">
        <v>0</v>
      </c>
      <c r="Z3747">
        <v>743</v>
      </c>
    </row>
    <row r="3748" spans="1:26">
      <c r="A3748" s="1">
        <v>3746</v>
      </c>
      <c r="B3748" t="str">
        <f>HYPERLINK("https://bugs.eclipse.org/bugs/show_bug.cgi?id=236140", "236140")</f>
        <v>236140</v>
      </c>
      <c r="C3748" t="s">
        <v>25</v>
      </c>
      <c r="D3748" t="s">
        <v>25</v>
      </c>
      <c r="F3748" t="s">
        <v>26</v>
      </c>
      <c r="T3748" t="s">
        <v>17216</v>
      </c>
      <c r="U3748" t="s">
        <v>17217</v>
      </c>
      <c r="V3748" t="s">
        <v>17218</v>
      </c>
      <c r="W3748" t="s">
        <v>143</v>
      </c>
      <c r="X3748" t="s">
        <v>17219</v>
      </c>
      <c r="Y3748">
        <v>0</v>
      </c>
    </row>
    <row r="3749" spans="1:26">
      <c r="A3749" s="1">
        <v>3747</v>
      </c>
      <c r="B3749" t="str">
        <f>HYPERLINK("https://bugs.eclipse.org/bugs/show_bug.cgi?id=236589", "236589")</f>
        <v>236589</v>
      </c>
      <c r="C3749" t="s">
        <v>25</v>
      </c>
      <c r="D3749" t="s">
        <v>25</v>
      </c>
      <c r="F3749" t="s">
        <v>26</v>
      </c>
      <c r="T3749" t="s">
        <v>17220</v>
      </c>
      <c r="U3749" t="s">
        <v>17221</v>
      </c>
      <c r="V3749" t="s">
        <v>17221</v>
      </c>
      <c r="W3749" t="s">
        <v>49</v>
      </c>
      <c r="X3749" t="s">
        <v>17222</v>
      </c>
      <c r="Y3749">
        <v>0</v>
      </c>
    </row>
    <row r="3750" spans="1:26">
      <c r="A3750" s="1">
        <v>3748</v>
      </c>
      <c r="B3750" t="str">
        <f>HYPERLINK("https://bugs.eclipse.org/bugs/show_bug.cgi?id=236933", "236933")</f>
        <v>236933</v>
      </c>
      <c r="C3750" t="s">
        <v>56</v>
      </c>
      <c r="D3750" t="s">
        <v>10</v>
      </c>
      <c r="E3750" t="s">
        <v>14</v>
      </c>
      <c r="F3750" t="s">
        <v>26</v>
      </c>
      <c r="L3750" t="s">
        <v>17223</v>
      </c>
      <c r="P3750" t="s">
        <v>17223</v>
      </c>
      <c r="T3750" t="s">
        <v>17224</v>
      </c>
      <c r="U3750" t="s">
        <v>17223</v>
      </c>
      <c r="V3750" t="s">
        <v>17223</v>
      </c>
      <c r="W3750" t="s">
        <v>49</v>
      </c>
      <c r="X3750" t="s">
        <v>17225</v>
      </c>
      <c r="Y3750">
        <v>4</v>
      </c>
      <c r="Z3750">
        <v>4</v>
      </c>
    </row>
    <row r="3751" spans="1:26">
      <c r="A3751" s="1">
        <v>3749</v>
      </c>
      <c r="B3751" t="str">
        <f>HYPERLINK("https://bugs.eclipse.org/bugs/show_bug.cgi?id=237547", "237547")</f>
        <v>237547</v>
      </c>
      <c r="C3751" t="s">
        <v>35</v>
      </c>
      <c r="D3751" t="s">
        <v>11</v>
      </c>
      <c r="E3751" t="s">
        <v>12</v>
      </c>
      <c r="F3751" t="s">
        <v>26</v>
      </c>
      <c r="L3751" t="s">
        <v>17226</v>
      </c>
      <c r="M3751" t="s">
        <v>17227</v>
      </c>
      <c r="N3751" t="s">
        <v>17226</v>
      </c>
      <c r="T3751" t="s">
        <v>17228</v>
      </c>
      <c r="U3751" t="s">
        <v>17229</v>
      </c>
      <c r="V3751" t="s">
        <v>17227</v>
      </c>
      <c r="W3751" t="s">
        <v>143</v>
      </c>
      <c r="X3751" t="s">
        <v>17230</v>
      </c>
      <c r="Y3751">
        <v>1</v>
      </c>
      <c r="Z3751">
        <v>50</v>
      </c>
    </row>
    <row r="3752" spans="1:26">
      <c r="A3752" s="1">
        <v>3750</v>
      </c>
      <c r="B3752" t="str">
        <f>HYPERLINK("https://bugs.eclipse.org/bugs/show_bug.cgi?id=237955", "237955")</f>
        <v>237955</v>
      </c>
      <c r="C3752" t="s">
        <v>17231</v>
      </c>
      <c r="D3752" t="s">
        <v>10</v>
      </c>
      <c r="E3752" t="s">
        <v>15</v>
      </c>
      <c r="F3752" t="s">
        <v>26</v>
      </c>
      <c r="L3752" t="s">
        <v>17232</v>
      </c>
      <c r="Q3752" t="s">
        <v>17232</v>
      </c>
      <c r="T3752" t="s">
        <v>17233</v>
      </c>
      <c r="U3752" t="s">
        <v>17234</v>
      </c>
      <c r="V3752" t="s">
        <v>17232</v>
      </c>
      <c r="W3752" t="s">
        <v>143</v>
      </c>
      <c r="X3752" t="s">
        <v>17235</v>
      </c>
      <c r="Y3752">
        <v>3</v>
      </c>
      <c r="Z3752">
        <v>20</v>
      </c>
    </row>
    <row r="3753" spans="1:26">
      <c r="A3753" s="1">
        <v>3751</v>
      </c>
      <c r="B3753" t="str">
        <f>HYPERLINK("https://bugs.eclipse.org/bugs/show_bug.cgi?id=238119", "238119")</f>
        <v>238119</v>
      </c>
      <c r="C3753" t="s">
        <v>35</v>
      </c>
      <c r="D3753" t="s">
        <v>11</v>
      </c>
      <c r="E3753" t="s">
        <v>12</v>
      </c>
      <c r="F3753" t="s">
        <v>26</v>
      </c>
      <c r="L3753" t="s">
        <v>17236</v>
      </c>
      <c r="M3753" t="s">
        <v>17237</v>
      </c>
      <c r="N3753" t="s">
        <v>17236</v>
      </c>
      <c r="T3753" t="s">
        <v>17238</v>
      </c>
      <c r="U3753" t="s">
        <v>17239</v>
      </c>
      <c r="V3753" t="s">
        <v>17237</v>
      </c>
      <c r="W3753" t="s">
        <v>143</v>
      </c>
      <c r="X3753" t="s">
        <v>17240</v>
      </c>
      <c r="Y3753">
        <v>4</v>
      </c>
      <c r="Z3753">
        <v>44</v>
      </c>
    </row>
    <row r="3754" spans="1:26">
      <c r="A3754" s="1">
        <v>3752</v>
      </c>
      <c r="B3754" t="str">
        <f>HYPERLINK("https://bugs.eclipse.org/bugs/show_bug.cgi?id=238825", "238825")</f>
        <v>238825</v>
      </c>
      <c r="C3754" t="s">
        <v>56</v>
      </c>
      <c r="D3754" t="s">
        <v>10</v>
      </c>
      <c r="E3754" t="s">
        <v>14</v>
      </c>
      <c r="F3754" t="s">
        <v>26</v>
      </c>
      <c r="L3754" t="s">
        <v>17241</v>
      </c>
      <c r="P3754" t="s">
        <v>17241</v>
      </c>
      <c r="T3754" t="s">
        <v>17242</v>
      </c>
      <c r="U3754" t="s">
        <v>17243</v>
      </c>
      <c r="V3754" t="s">
        <v>17244</v>
      </c>
      <c r="W3754" t="s">
        <v>143</v>
      </c>
      <c r="X3754" t="s">
        <v>17245</v>
      </c>
      <c r="Y3754">
        <v>3</v>
      </c>
      <c r="Z3754">
        <v>258</v>
      </c>
    </row>
    <row r="3755" spans="1:26">
      <c r="A3755" s="1">
        <v>3753</v>
      </c>
      <c r="B3755" t="str">
        <f>HYPERLINK("https://bugs.eclipse.org/bugs/show_bug.cgi?id=238848", "238848")</f>
        <v>238848</v>
      </c>
      <c r="C3755" t="s">
        <v>191</v>
      </c>
      <c r="D3755" t="s">
        <v>192</v>
      </c>
      <c r="E3755" t="s">
        <v>14</v>
      </c>
      <c r="F3755" t="s">
        <v>26</v>
      </c>
      <c r="T3755" t="s">
        <v>17246</v>
      </c>
      <c r="U3755" t="s">
        <v>17247</v>
      </c>
      <c r="V3755" t="s">
        <v>17248</v>
      </c>
      <c r="W3755" t="s">
        <v>65</v>
      </c>
      <c r="X3755" t="s">
        <v>17249</v>
      </c>
      <c r="Y3755">
        <v>5</v>
      </c>
      <c r="Z3755">
        <v>3730</v>
      </c>
    </row>
    <row r="3756" spans="1:26">
      <c r="A3756" s="1">
        <v>3754</v>
      </c>
      <c r="B3756" t="str">
        <f>HYPERLINK("https://bugs.eclipse.org/bugs/show_bug.cgi?id=238861", "238861")</f>
        <v>238861</v>
      </c>
      <c r="C3756" t="s">
        <v>17250</v>
      </c>
      <c r="D3756" t="s">
        <v>10</v>
      </c>
      <c r="E3756" t="s">
        <v>15</v>
      </c>
      <c r="F3756" t="s">
        <v>26</v>
      </c>
      <c r="L3756" t="s">
        <v>17251</v>
      </c>
      <c r="Q3756" t="s">
        <v>17251</v>
      </c>
      <c r="T3756" t="s">
        <v>17252</v>
      </c>
      <c r="U3756" t="s">
        <v>17253</v>
      </c>
      <c r="V3756" t="s">
        <v>17251</v>
      </c>
      <c r="W3756" t="s">
        <v>143</v>
      </c>
      <c r="X3756" t="s">
        <v>17254</v>
      </c>
      <c r="Y3756">
        <v>3</v>
      </c>
      <c r="Z3756">
        <v>11</v>
      </c>
    </row>
    <row r="3757" spans="1:26">
      <c r="A3757" s="1">
        <v>3755</v>
      </c>
      <c r="B3757" t="str">
        <f>HYPERLINK("https://bugs.eclipse.org/bugs/show_bug.cgi?id=239206", "239206")</f>
        <v>239206</v>
      </c>
      <c r="C3757" t="s">
        <v>56</v>
      </c>
      <c r="D3757" t="s">
        <v>10</v>
      </c>
      <c r="E3757" t="s">
        <v>14</v>
      </c>
      <c r="F3757" t="s">
        <v>26</v>
      </c>
      <c r="L3757" t="s">
        <v>17255</v>
      </c>
      <c r="P3757" t="s">
        <v>17255</v>
      </c>
      <c r="T3757" t="s">
        <v>17256</v>
      </c>
      <c r="U3757" t="s">
        <v>17255</v>
      </c>
      <c r="V3757" t="s">
        <v>17255</v>
      </c>
      <c r="W3757" t="s">
        <v>143</v>
      </c>
      <c r="X3757" t="s">
        <v>17257</v>
      </c>
      <c r="Y3757">
        <v>6</v>
      </c>
      <c r="Z3757">
        <v>6</v>
      </c>
    </row>
    <row r="3758" spans="1:26">
      <c r="A3758" s="1">
        <v>3756</v>
      </c>
      <c r="B3758" t="str">
        <f>HYPERLINK("https://bugs.eclipse.org/bugs/show_bug.cgi?id=239279", "239279")</f>
        <v>239279</v>
      </c>
      <c r="C3758" t="s">
        <v>140</v>
      </c>
      <c r="D3758" t="s">
        <v>10</v>
      </c>
      <c r="E3758" t="s">
        <v>16</v>
      </c>
      <c r="F3758" t="s">
        <v>26</v>
      </c>
      <c r="G3758" t="s">
        <v>17258</v>
      </c>
      <c r="L3758" t="s">
        <v>17259</v>
      </c>
      <c r="R3758" t="s">
        <v>17259</v>
      </c>
      <c r="T3758" t="s">
        <v>17260</v>
      </c>
      <c r="U3758" t="s">
        <v>17261</v>
      </c>
      <c r="V3758" t="s">
        <v>17259</v>
      </c>
      <c r="W3758" t="s">
        <v>851</v>
      </c>
      <c r="X3758" t="s">
        <v>17262</v>
      </c>
      <c r="Y3758">
        <v>1</v>
      </c>
      <c r="Z3758">
        <v>1</v>
      </c>
    </row>
    <row r="3759" spans="1:26">
      <c r="A3759" s="1">
        <v>3757</v>
      </c>
      <c r="B3759" t="str">
        <f>HYPERLINK("https://bugs.eclipse.org/bugs/show_bug.cgi?id=239347", "239347")</f>
        <v>239347</v>
      </c>
      <c r="C3759" t="s">
        <v>35</v>
      </c>
      <c r="D3759" t="s">
        <v>11</v>
      </c>
      <c r="E3759" t="s">
        <v>12</v>
      </c>
      <c r="F3759" t="s">
        <v>26</v>
      </c>
      <c r="G3759" t="s">
        <v>17263</v>
      </c>
      <c r="L3759" t="s">
        <v>17264</v>
      </c>
      <c r="M3759" t="s">
        <v>17265</v>
      </c>
      <c r="N3759" t="s">
        <v>17264</v>
      </c>
      <c r="S3759" t="s">
        <v>17266</v>
      </c>
      <c r="T3759" t="s">
        <v>17267</v>
      </c>
      <c r="U3759" t="s">
        <v>17268</v>
      </c>
      <c r="V3759" t="s">
        <v>17269</v>
      </c>
      <c r="W3759" t="s">
        <v>16632</v>
      </c>
      <c r="X3759" t="s">
        <v>17270</v>
      </c>
      <c r="Y3759">
        <v>1</v>
      </c>
      <c r="Z3759">
        <v>448</v>
      </c>
    </row>
    <row r="3760" spans="1:26">
      <c r="A3760" s="1">
        <v>3758</v>
      </c>
      <c r="B3760" t="str">
        <f>HYPERLINK("https://bugs.eclipse.org/bugs/show_bug.cgi?id=239352", "239352")</f>
        <v>239352</v>
      </c>
      <c r="C3760" t="s">
        <v>17271</v>
      </c>
      <c r="D3760" t="s">
        <v>10</v>
      </c>
      <c r="E3760" t="s">
        <v>15</v>
      </c>
      <c r="F3760" t="s">
        <v>26</v>
      </c>
      <c r="L3760" t="s">
        <v>17272</v>
      </c>
      <c r="Q3760" t="s">
        <v>17272</v>
      </c>
      <c r="T3760" t="s">
        <v>17273</v>
      </c>
      <c r="U3760" t="s">
        <v>17274</v>
      </c>
      <c r="V3760" t="s">
        <v>17272</v>
      </c>
      <c r="W3760" t="s">
        <v>851</v>
      </c>
      <c r="X3760" t="s">
        <v>17275</v>
      </c>
      <c r="Y3760">
        <v>1</v>
      </c>
      <c r="Z3760">
        <v>1</v>
      </c>
    </row>
    <row r="3761" spans="1:26">
      <c r="A3761" s="1">
        <v>3759</v>
      </c>
      <c r="B3761" t="str">
        <f>HYPERLINK("https://bugs.eclipse.org/bugs/show_bug.cgi?id=239404", "239404")</f>
        <v>239404</v>
      </c>
      <c r="C3761" t="s">
        <v>56</v>
      </c>
      <c r="D3761" t="s">
        <v>10</v>
      </c>
      <c r="E3761" t="s">
        <v>14</v>
      </c>
      <c r="F3761" t="s">
        <v>26</v>
      </c>
      <c r="L3761" t="s">
        <v>17276</v>
      </c>
      <c r="P3761" t="s">
        <v>17276</v>
      </c>
      <c r="T3761" t="s">
        <v>17277</v>
      </c>
      <c r="U3761" t="s">
        <v>17278</v>
      </c>
      <c r="V3761" t="s">
        <v>17279</v>
      </c>
      <c r="W3761" t="s">
        <v>851</v>
      </c>
      <c r="X3761" t="s">
        <v>17280</v>
      </c>
      <c r="Y3761">
        <v>0</v>
      </c>
      <c r="Z3761">
        <v>767</v>
      </c>
    </row>
    <row r="3762" spans="1:26">
      <c r="A3762" s="1">
        <v>3760</v>
      </c>
      <c r="B3762" t="str">
        <f>HYPERLINK("https://bugs.eclipse.org/bugs/show_bug.cgi?id=239420", "239420")</f>
        <v>239420</v>
      </c>
      <c r="C3762" t="s">
        <v>149</v>
      </c>
      <c r="D3762" t="s">
        <v>10</v>
      </c>
      <c r="E3762" t="s">
        <v>12</v>
      </c>
      <c r="F3762" t="s">
        <v>26</v>
      </c>
      <c r="L3762" t="s">
        <v>17281</v>
      </c>
      <c r="N3762" t="s">
        <v>17281</v>
      </c>
      <c r="T3762" t="s">
        <v>17282</v>
      </c>
      <c r="U3762" t="s">
        <v>17283</v>
      </c>
      <c r="V3762" t="s">
        <v>17281</v>
      </c>
      <c r="W3762" t="s">
        <v>851</v>
      </c>
      <c r="X3762" t="s">
        <v>17284</v>
      </c>
      <c r="Y3762">
        <v>0</v>
      </c>
      <c r="Z3762">
        <v>189.04166666666671</v>
      </c>
    </row>
    <row r="3763" spans="1:26">
      <c r="A3763" s="1">
        <v>3761</v>
      </c>
      <c r="B3763" t="str">
        <f>HYPERLINK("https://bugs.eclipse.org/bugs/show_bug.cgi?id=239506", "239506")</f>
        <v>239506</v>
      </c>
      <c r="C3763" t="s">
        <v>35</v>
      </c>
      <c r="D3763" t="s">
        <v>11</v>
      </c>
      <c r="E3763" t="s">
        <v>12</v>
      </c>
      <c r="F3763" t="s">
        <v>26</v>
      </c>
      <c r="L3763" t="s">
        <v>17285</v>
      </c>
      <c r="M3763" t="s">
        <v>17286</v>
      </c>
      <c r="N3763" t="s">
        <v>17285</v>
      </c>
      <c r="T3763" t="s">
        <v>17287</v>
      </c>
      <c r="U3763" t="s">
        <v>17288</v>
      </c>
      <c r="V3763" t="s">
        <v>17286</v>
      </c>
      <c r="W3763" t="s">
        <v>143</v>
      </c>
      <c r="X3763" t="s">
        <v>17289</v>
      </c>
      <c r="Y3763">
        <v>4</v>
      </c>
      <c r="Z3763">
        <v>34</v>
      </c>
    </row>
    <row r="3764" spans="1:26">
      <c r="A3764" s="1">
        <v>3762</v>
      </c>
      <c r="B3764" t="str">
        <f>HYPERLINK("https://bugs.eclipse.org/bugs/show_bug.cgi?id=239674", "239674")</f>
        <v>239674</v>
      </c>
      <c r="C3764" t="s">
        <v>191</v>
      </c>
      <c r="D3764" t="s">
        <v>192</v>
      </c>
      <c r="E3764" t="s">
        <v>14</v>
      </c>
      <c r="F3764" t="s">
        <v>26</v>
      </c>
      <c r="T3764" t="s">
        <v>17290</v>
      </c>
      <c r="U3764" t="s">
        <v>17291</v>
      </c>
      <c r="V3764" t="s">
        <v>17292</v>
      </c>
      <c r="W3764" t="s">
        <v>65</v>
      </c>
      <c r="X3764" t="s">
        <v>17293</v>
      </c>
      <c r="Y3764">
        <v>11</v>
      </c>
      <c r="Z3764">
        <v>4190.041666666667</v>
      </c>
    </row>
    <row r="3765" spans="1:26">
      <c r="A3765" s="1">
        <v>3763</v>
      </c>
      <c r="B3765" t="str">
        <f>HYPERLINK("https://bugs.eclipse.org/bugs/show_bug.cgi?id=239834", "239834")</f>
        <v>239834</v>
      </c>
      <c r="C3765" t="s">
        <v>191</v>
      </c>
      <c r="D3765" t="s">
        <v>192</v>
      </c>
      <c r="E3765" t="s">
        <v>14</v>
      </c>
      <c r="F3765" t="s">
        <v>26</v>
      </c>
      <c r="T3765" t="s">
        <v>17294</v>
      </c>
      <c r="U3765" t="s">
        <v>17295</v>
      </c>
      <c r="V3765" t="s">
        <v>17296</v>
      </c>
      <c r="W3765" t="s">
        <v>65</v>
      </c>
      <c r="X3765" t="s">
        <v>17297</v>
      </c>
      <c r="Y3765">
        <v>1</v>
      </c>
      <c r="Z3765">
        <v>4145.041666666667</v>
      </c>
    </row>
    <row r="3766" spans="1:26">
      <c r="A3766" s="1">
        <v>3764</v>
      </c>
      <c r="B3766" t="str">
        <f>HYPERLINK("https://bugs.eclipse.org/bugs/show_bug.cgi?id=240048", "240048")</f>
        <v>240048</v>
      </c>
      <c r="C3766" t="s">
        <v>17298</v>
      </c>
      <c r="D3766" t="s">
        <v>192</v>
      </c>
      <c r="E3766" t="s">
        <v>15</v>
      </c>
      <c r="F3766" t="s">
        <v>26</v>
      </c>
      <c r="Q3766" t="s">
        <v>17299</v>
      </c>
      <c r="T3766" t="s">
        <v>17300</v>
      </c>
      <c r="U3766" t="s">
        <v>17301</v>
      </c>
      <c r="V3766" t="s">
        <v>17299</v>
      </c>
      <c r="W3766" t="s">
        <v>851</v>
      </c>
      <c r="X3766" t="s">
        <v>17302</v>
      </c>
      <c r="Y3766">
        <v>0</v>
      </c>
      <c r="Z3766">
        <v>1085</v>
      </c>
    </row>
    <row r="3767" spans="1:26">
      <c r="A3767" s="1">
        <v>3765</v>
      </c>
      <c r="B3767" t="str">
        <f>HYPERLINK("https://bugs.eclipse.org/bugs/show_bug.cgi?id=240162", "240162")</f>
        <v>240162</v>
      </c>
      <c r="C3767" t="s">
        <v>17303</v>
      </c>
      <c r="D3767" t="s">
        <v>10</v>
      </c>
      <c r="E3767" t="s">
        <v>15</v>
      </c>
      <c r="F3767" t="s">
        <v>26</v>
      </c>
      <c r="L3767" t="s">
        <v>17304</v>
      </c>
      <c r="Q3767" t="s">
        <v>17304</v>
      </c>
      <c r="T3767" t="s">
        <v>17305</v>
      </c>
      <c r="U3767" t="s">
        <v>17306</v>
      </c>
      <c r="V3767" t="s">
        <v>16433</v>
      </c>
      <c r="W3767" t="s">
        <v>851</v>
      </c>
      <c r="X3767" t="s">
        <v>17307</v>
      </c>
      <c r="Y3767">
        <v>0</v>
      </c>
      <c r="Z3767">
        <v>22</v>
      </c>
    </row>
    <row r="3768" spans="1:26">
      <c r="A3768" s="1">
        <v>3766</v>
      </c>
      <c r="B3768" t="str">
        <f>HYPERLINK("https://bugs.eclipse.org/bugs/show_bug.cgi?id=240486", "240486")</f>
        <v>240486</v>
      </c>
      <c r="C3768" t="s">
        <v>17308</v>
      </c>
      <c r="D3768" t="s">
        <v>10</v>
      </c>
      <c r="E3768" t="s">
        <v>15</v>
      </c>
      <c r="F3768" t="s">
        <v>26</v>
      </c>
      <c r="L3768" t="s">
        <v>17309</v>
      </c>
      <c r="Q3768" t="s">
        <v>17309</v>
      </c>
      <c r="T3768" t="s">
        <v>17310</v>
      </c>
      <c r="U3768" t="s">
        <v>17309</v>
      </c>
      <c r="V3768" t="s">
        <v>17309</v>
      </c>
      <c r="W3768" t="s">
        <v>143</v>
      </c>
      <c r="X3768" t="s">
        <v>17311</v>
      </c>
      <c r="Y3768">
        <v>3</v>
      </c>
      <c r="Z3768">
        <v>3</v>
      </c>
    </row>
    <row r="3769" spans="1:26">
      <c r="A3769" s="1">
        <v>3767</v>
      </c>
      <c r="B3769" t="str">
        <f>HYPERLINK("https://bugs.eclipse.org/bugs/show_bug.cgi?id=240493", "240493")</f>
        <v>240493</v>
      </c>
      <c r="C3769" t="s">
        <v>7302</v>
      </c>
      <c r="D3769" t="s">
        <v>10</v>
      </c>
      <c r="E3769" t="s">
        <v>15</v>
      </c>
      <c r="F3769" t="s">
        <v>26</v>
      </c>
      <c r="L3769" t="s">
        <v>17312</v>
      </c>
      <c r="Q3769" t="s">
        <v>17312</v>
      </c>
      <c r="T3769" t="s">
        <v>17313</v>
      </c>
      <c r="U3769" t="s">
        <v>17312</v>
      </c>
      <c r="V3769" t="s">
        <v>17312</v>
      </c>
      <c r="W3769" t="s">
        <v>143</v>
      </c>
      <c r="X3769" t="s">
        <v>17314</v>
      </c>
      <c r="Y3769">
        <v>3</v>
      </c>
      <c r="Z3769">
        <v>3</v>
      </c>
    </row>
    <row r="3770" spans="1:26">
      <c r="A3770" s="1">
        <v>3768</v>
      </c>
      <c r="B3770" t="str">
        <f>HYPERLINK("https://bugs.eclipse.org/bugs/show_bug.cgi?id=240678", "240678")</f>
        <v>240678</v>
      </c>
      <c r="C3770" t="s">
        <v>56</v>
      </c>
      <c r="D3770" t="s">
        <v>10</v>
      </c>
      <c r="E3770" t="s">
        <v>14</v>
      </c>
      <c r="F3770" t="s">
        <v>26</v>
      </c>
      <c r="L3770" t="s">
        <v>17315</v>
      </c>
      <c r="P3770" t="s">
        <v>17315</v>
      </c>
      <c r="T3770" t="s">
        <v>17316</v>
      </c>
      <c r="U3770" t="s">
        <v>17317</v>
      </c>
      <c r="V3770" t="s">
        <v>17315</v>
      </c>
      <c r="W3770" t="s">
        <v>143</v>
      </c>
      <c r="X3770" t="s">
        <v>17318</v>
      </c>
      <c r="Y3770">
        <v>0</v>
      </c>
      <c r="Z3770">
        <v>0</v>
      </c>
    </row>
    <row r="3771" spans="1:26">
      <c r="A3771" s="1">
        <v>3769</v>
      </c>
      <c r="B3771" t="str">
        <f>HYPERLINK("https://bugs.eclipse.org/bugs/show_bug.cgi?id=241031", "241031")</f>
        <v>241031</v>
      </c>
      <c r="C3771" t="s">
        <v>191</v>
      </c>
      <c r="D3771" t="s">
        <v>192</v>
      </c>
      <c r="E3771" t="s">
        <v>14</v>
      </c>
      <c r="F3771" t="s">
        <v>26</v>
      </c>
      <c r="G3771" t="s">
        <v>17319</v>
      </c>
      <c r="P3771" t="s">
        <v>17320</v>
      </c>
      <c r="T3771" t="s">
        <v>17321</v>
      </c>
      <c r="U3771" t="s">
        <v>17322</v>
      </c>
      <c r="V3771" t="s">
        <v>17320</v>
      </c>
      <c r="W3771" t="s">
        <v>65</v>
      </c>
      <c r="X3771" t="s">
        <v>17323</v>
      </c>
      <c r="Y3771">
        <v>1</v>
      </c>
      <c r="Z3771">
        <v>4225.041666666667</v>
      </c>
    </row>
    <row r="3772" spans="1:26">
      <c r="A3772" s="1">
        <v>3770</v>
      </c>
      <c r="B3772" t="str">
        <f>HYPERLINK("https://bugs.eclipse.org/bugs/show_bug.cgi?id=241034", "241034")</f>
        <v>241034</v>
      </c>
      <c r="C3772" t="s">
        <v>88</v>
      </c>
      <c r="D3772" t="s">
        <v>10</v>
      </c>
      <c r="E3772" t="s">
        <v>13</v>
      </c>
      <c r="F3772" t="s">
        <v>26</v>
      </c>
      <c r="L3772" t="s">
        <v>17324</v>
      </c>
      <c r="O3772" t="s">
        <v>17324</v>
      </c>
      <c r="T3772" t="s">
        <v>17325</v>
      </c>
      <c r="U3772" t="s">
        <v>17324</v>
      </c>
      <c r="V3772" t="s">
        <v>17324</v>
      </c>
      <c r="W3772" t="s">
        <v>143</v>
      </c>
      <c r="X3772" t="s">
        <v>17326</v>
      </c>
      <c r="Y3772">
        <v>1</v>
      </c>
      <c r="Z3772">
        <v>1</v>
      </c>
    </row>
    <row r="3773" spans="1:26">
      <c r="A3773" s="1">
        <v>3771</v>
      </c>
      <c r="B3773" t="str">
        <f>HYPERLINK("https://bugs.eclipse.org/bugs/show_bug.cgi?id=241035", "241035")</f>
        <v>241035</v>
      </c>
      <c r="C3773" t="s">
        <v>25</v>
      </c>
      <c r="D3773" t="s">
        <v>25</v>
      </c>
      <c r="F3773" t="s">
        <v>26</v>
      </c>
      <c r="T3773" t="s">
        <v>17327</v>
      </c>
      <c r="U3773" t="s">
        <v>17328</v>
      </c>
      <c r="V3773" t="s">
        <v>17329</v>
      </c>
      <c r="W3773" t="s">
        <v>143</v>
      </c>
      <c r="X3773" t="s">
        <v>17330</v>
      </c>
      <c r="Y3773">
        <v>1</v>
      </c>
    </row>
    <row r="3774" spans="1:26">
      <c r="A3774" s="1">
        <v>3772</v>
      </c>
      <c r="B3774" t="str">
        <f>HYPERLINK("https://bugs.eclipse.org/bugs/show_bug.cgi?id=241036", "241036")</f>
        <v>241036</v>
      </c>
      <c r="C3774" t="s">
        <v>25</v>
      </c>
      <c r="D3774" t="s">
        <v>25</v>
      </c>
      <c r="F3774" t="s">
        <v>26</v>
      </c>
      <c r="T3774" t="s">
        <v>17331</v>
      </c>
      <c r="U3774" t="s">
        <v>17332</v>
      </c>
      <c r="V3774" t="s">
        <v>17333</v>
      </c>
      <c r="W3774" t="s">
        <v>65</v>
      </c>
      <c r="X3774" t="s">
        <v>17334</v>
      </c>
      <c r="Y3774">
        <v>1</v>
      </c>
    </row>
    <row r="3775" spans="1:26">
      <c r="A3775" s="1">
        <v>3773</v>
      </c>
      <c r="B3775" t="str">
        <f>HYPERLINK("https://bugs.eclipse.org/bugs/show_bug.cgi?id=241251", "241251")</f>
        <v>241251</v>
      </c>
      <c r="C3775" t="s">
        <v>25</v>
      </c>
      <c r="D3775" t="s">
        <v>25</v>
      </c>
      <c r="F3775" t="s">
        <v>26</v>
      </c>
      <c r="T3775" t="s">
        <v>17335</v>
      </c>
      <c r="U3775" t="s">
        <v>17336</v>
      </c>
      <c r="V3775" t="s">
        <v>17337</v>
      </c>
      <c r="W3775" t="s">
        <v>143</v>
      </c>
      <c r="X3775" t="s">
        <v>17338</v>
      </c>
      <c r="Y3775">
        <v>0</v>
      </c>
    </row>
    <row r="3776" spans="1:26">
      <c r="A3776" s="1">
        <v>3774</v>
      </c>
      <c r="B3776" t="str">
        <f>HYPERLINK("https://bugs.eclipse.org/bugs/show_bug.cgi?id=241495", "241495")</f>
        <v>241495</v>
      </c>
      <c r="C3776" t="s">
        <v>149</v>
      </c>
      <c r="D3776" t="s">
        <v>10</v>
      </c>
      <c r="E3776" t="s">
        <v>12</v>
      </c>
      <c r="F3776" t="s">
        <v>26</v>
      </c>
      <c r="L3776" t="s">
        <v>17339</v>
      </c>
      <c r="N3776" t="s">
        <v>17339</v>
      </c>
      <c r="T3776" t="s">
        <v>17340</v>
      </c>
      <c r="U3776" t="s">
        <v>17341</v>
      </c>
      <c r="V3776" t="s">
        <v>17339</v>
      </c>
      <c r="W3776" t="s">
        <v>851</v>
      </c>
      <c r="X3776" t="s">
        <v>17342</v>
      </c>
      <c r="Y3776">
        <v>0</v>
      </c>
      <c r="Z3776">
        <v>9</v>
      </c>
    </row>
    <row r="3777" spans="1:26">
      <c r="A3777" s="1">
        <v>3775</v>
      </c>
      <c r="B3777" t="str">
        <f>HYPERLINK("https://bugs.eclipse.org/bugs/show_bug.cgi?id=241914", "241914")</f>
        <v>241914</v>
      </c>
      <c r="C3777" t="s">
        <v>17343</v>
      </c>
      <c r="D3777" t="s">
        <v>10</v>
      </c>
      <c r="E3777" t="s">
        <v>15</v>
      </c>
      <c r="F3777" t="s">
        <v>26</v>
      </c>
      <c r="L3777" t="s">
        <v>17344</v>
      </c>
      <c r="Q3777" t="s">
        <v>17344</v>
      </c>
      <c r="T3777" t="s">
        <v>17345</v>
      </c>
      <c r="U3777" t="s">
        <v>17344</v>
      </c>
      <c r="V3777" t="s">
        <v>17344</v>
      </c>
      <c r="W3777" t="s">
        <v>851</v>
      </c>
      <c r="X3777" t="s">
        <v>17346</v>
      </c>
      <c r="Y3777">
        <v>0</v>
      </c>
      <c r="Z3777">
        <v>0</v>
      </c>
    </row>
    <row r="3778" spans="1:26">
      <c r="A3778" s="1">
        <v>3776</v>
      </c>
      <c r="B3778" t="str">
        <f>HYPERLINK("https://bugs.eclipse.org/bugs/show_bug.cgi?id=242228", "242228")</f>
        <v>242228</v>
      </c>
      <c r="C3778" t="s">
        <v>17347</v>
      </c>
      <c r="D3778" t="s">
        <v>10</v>
      </c>
      <c r="E3778" t="s">
        <v>15</v>
      </c>
      <c r="F3778" t="s">
        <v>26</v>
      </c>
      <c r="L3778" t="s">
        <v>17348</v>
      </c>
      <c r="Q3778" t="s">
        <v>17348</v>
      </c>
      <c r="T3778" t="s">
        <v>17349</v>
      </c>
      <c r="U3778" t="s">
        <v>17350</v>
      </c>
      <c r="V3778" t="s">
        <v>17348</v>
      </c>
      <c r="W3778" t="s">
        <v>143</v>
      </c>
      <c r="X3778" t="s">
        <v>17351</v>
      </c>
      <c r="Y3778">
        <v>14</v>
      </c>
      <c r="Z3778">
        <v>14</v>
      </c>
    </row>
    <row r="3779" spans="1:26">
      <c r="A3779" s="1">
        <v>3777</v>
      </c>
      <c r="B3779" t="str">
        <f>HYPERLINK("https://bugs.eclipse.org/bugs/show_bug.cgi?id=242252", "242252")</f>
        <v>242252</v>
      </c>
      <c r="C3779" t="s">
        <v>17352</v>
      </c>
      <c r="D3779" t="s">
        <v>10</v>
      </c>
      <c r="E3779" t="s">
        <v>15</v>
      </c>
      <c r="F3779" t="s">
        <v>26</v>
      </c>
      <c r="L3779" t="s">
        <v>17353</v>
      </c>
      <c r="Q3779" t="s">
        <v>17353</v>
      </c>
      <c r="T3779" t="s">
        <v>17354</v>
      </c>
      <c r="U3779" t="s">
        <v>17353</v>
      </c>
      <c r="V3779" t="s">
        <v>17353</v>
      </c>
      <c r="W3779" t="s">
        <v>851</v>
      </c>
      <c r="X3779" t="s">
        <v>17355</v>
      </c>
      <c r="Y3779">
        <v>0</v>
      </c>
      <c r="Z3779">
        <v>0</v>
      </c>
    </row>
    <row r="3780" spans="1:26">
      <c r="A3780" s="1">
        <v>3778</v>
      </c>
      <c r="B3780" t="str">
        <f>HYPERLINK("https://bugs.eclipse.org/bugs/show_bug.cgi?id=242622", "242622")</f>
        <v>242622</v>
      </c>
      <c r="C3780" t="s">
        <v>13274</v>
      </c>
      <c r="D3780" t="s">
        <v>10</v>
      </c>
      <c r="E3780" t="s">
        <v>15</v>
      </c>
      <c r="F3780" t="s">
        <v>26</v>
      </c>
      <c r="L3780" t="s">
        <v>17356</v>
      </c>
      <c r="Q3780" t="s">
        <v>17356</v>
      </c>
      <c r="T3780" t="s">
        <v>17357</v>
      </c>
      <c r="U3780" t="s">
        <v>17356</v>
      </c>
      <c r="V3780" t="s">
        <v>17356</v>
      </c>
      <c r="W3780" t="s">
        <v>143</v>
      </c>
      <c r="X3780" t="s">
        <v>17358</v>
      </c>
      <c r="Y3780">
        <v>5</v>
      </c>
      <c r="Z3780">
        <v>5</v>
      </c>
    </row>
    <row r="3781" spans="1:26">
      <c r="A3781" s="1">
        <v>3779</v>
      </c>
      <c r="B3781" t="str">
        <f>HYPERLINK("https://bugs.eclipse.org/bugs/show_bug.cgi?id=243101", "243101")</f>
        <v>243101</v>
      </c>
      <c r="C3781" t="s">
        <v>35</v>
      </c>
      <c r="D3781" t="s">
        <v>11</v>
      </c>
      <c r="E3781" t="s">
        <v>12</v>
      </c>
      <c r="F3781" t="s">
        <v>26</v>
      </c>
      <c r="G3781" t="s">
        <v>17359</v>
      </c>
      <c r="L3781" t="s">
        <v>17360</v>
      </c>
      <c r="M3781" t="s">
        <v>17361</v>
      </c>
      <c r="N3781" t="s">
        <v>17360</v>
      </c>
      <c r="S3781" t="s">
        <v>17362</v>
      </c>
      <c r="T3781" t="s">
        <v>17363</v>
      </c>
      <c r="U3781" t="s">
        <v>17364</v>
      </c>
      <c r="V3781" t="s">
        <v>17361</v>
      </c>
      <c r="W3781" t="s">
        <v>143</v>
      </c>
      <c r="X3781" t="s">
        <v>17365</v>
      </c>
      <c r="Y3781">
        <v>1</v>
      </c>
      <c r="Z3781">
        <v>127.0416666666667</v>
      </c>
    </row>
    <row r="3782" spans="1:26">
      <c r="A3782" s="1">
        <v>3780</v>
      </c>
      <c r="B3782" t="str">
        <f>HYPERLINK("https://bugs.eclipse.org/bugs/show_bug.cgi?id=243162", "243162")</f>
        <v>243162</v>
      </c>
      <c r="C3782" t="s">
        <v>149</v>
      </c>
      <c r="D3782" t="s">
        <v>10</v>
      </c>
      <c r="E3782" t="s">
        <v>12</v>
      </c>
      <c r="F3782" t="s">
        <v>26</v>
      </c>
      <c r="L3782" t="s">
        <v>17366</v>
      </c>
      <c r="N3782" t="s">
        <v>17366</v>
      </c>
      <c r="T3782" t="s">
        <v>17367</v>
      </c>
      <c r="U3782" t="s">
        <v>17368</v>
      </c>
      <c r="V3782" t="s">
        <v>17366</v>
      </c>
      <c r="W3782" t="s">
        <v>851</v>
      </c>
      <c r="X3782" t="s">
        <v>17369</v>
      </c>
      <c r="Y3782">
        <v>0</v>
      </c>
      <c r="Z3782">
        <v>6</v>
      </c>
    </row>
    <row r="3783" spans="1:26">
      <c r="A3783" s="1">
        <v>3781</v>
      </c>
      <c r="B3783" t="str">
        <f>HYPERLINK("https://bugs.eclipse.org/bugs/show_bug.cgi?id=243163", "243163")</f>
        <v>243163</v>
      </c>
      <c r="C3783" t="s">
        <v>149</v>
      </c>
      <c r="D3783" t="s">
        <v>10</v>
      </c>
      <c r="E3783" t="s">
        <v>12</v>
      </c>
      <c r="F3783" t="s">
        <v>26</v>
      </c>
      <c r="L3783" t="s">
        <v>17370</v>
      </c>
      <c r="N3783" t="s">
        <v>17370</v>
      </c>
      <c r="T3783" t="s">
        <v>17371</v>
      </c>
      <c r="U3783" t="s">
        <v>17372</v>
      </c>
      <c r="V3783" t="s">
        <v>17373</v>
      </c>
      <c r="W3783" t="s">
        <v>17374</v>
      </c>
      <c r="X3783" t="s">
        <v>17375</v>
      </c>
      <c r="Y3783">
        <v>0</v>
      </c>
      <c r="Z3783">
        <v>619</v>
      </c>
    </row>
    <row r="3784" spans="1:26">
      <c r="A3784" s="1">
        <v>3782</v>
      </c>
      <c r="B3784" t="str">
        <f>HYPERLINK("https://bugs.eclipse.org/bugs/show_bug.cgi?id=243185", "243185")</f>
        <v>243185</v>
      </c>
      <c r="C3784" t="s">
        <v>191</v>
      </c>
      <c r="D3784" t="s">
        <v>192</v>
      </c>
      <c r="E3784" t="s">
        <v>14</v>
      </c>
      <c r="F3784" t="s">
        <v>26</v>
      </c>
      <c r="T3784" t="s">
        <v>17376</v>
      </c>
      <c r="U3784" t="s">
        <v>17377</v>
      </c>
      <c r="V3784" t="s">
        <v>17378</v>
      </c>
      <c r="W3784" t="s">
        <v>65</v>
      </c>
      <c r="X3784" t="s">
        <v>17379</v>
      </c>
      <c r="Y3784">
        <v>1</v>
      </c>
      <c r="Z3784">
        <v>4103</v>
      </c>
    </row>
    <row r="3785" spans="1:26">
      <c r="A3785" s="1">
        <v>3783</v>
      </c>
      <c r="B3785" t="str">
        <f>HYPERLINK("https://bugs.eclipse.org/bugs/show_bug.cgi?id=243284", "243284")</f>
        <v>243284</v>
      </c>
      <c r="C3785" t="s">
        <v>149</v>
      </c>
      <c r="D3785" t="s">
        <v>10</v>
      </c>
      <c r="E3785" t="s">
        <v>12</v>
      </c>
      <c r="F3785" t="s">
        <v>26</v>
      </c>
      <c r="L3785" t="s">
        <v>17380</v>
      </c>
      <c r="N3785" t="s">
        <v>17380</v>
      </c>
      <c r="T3785" t="s">
        <v>17381</v>
      </c>
      <c r="U3785" t="s">
        <v>17380</v>
      </c>
      <c r="V3785" t="s">
        <v>17380</v>
      </c>
      <c r="W3785" t="s">
        <v>143</v>
      </c>
      <c r="X3785" t="s">
        <v>17382</v>
      </c>
      <c r="Y3785">
        <v>0</v>
      </c>
      <c r="Z3785">
        <v>0</v>
      </c>
    </row>
    <row r="3786" spans="1:26">
      <c r="A3786" s="1">
        <v>3784</v>
      </c>
      <c r="B3786" t="str">
        <f>HYPERLINK("https://bugs.eclipse.org/bugs/show_bug.cgi?id=243584", "243584")</f>
        <v>243584</v>
      </c>
      <c r="C3786" t="s">
        <v>149</v>
      </c>
      <c r="D3786" t="s">
        <v>10</v>
      </c>
      <c r="E3786" t="s">
        <v>12</v>
      </c>
      <c r="F3786" t="s">
        <v>26</v>
      </c>
      <c r="L3786" t="s">
        <v>17383</v>
      </c>
      <c r="N3786" t="s">
        <v>17383</v>
      </c>
      <c r="T3786" t="s">
        <v>17384</v>
      </c>
      <c r="U3786" t="s">
        <v>17383</v>
      </c>
      <c r="V3786" t="s">
        <v>17383</v>
      </c>
      <c r="W3786" t="s">
        <v>851</v>
      </c>
      <c r="X3786" t="s">
        <v>17385</v>
      </c>
      <c r="Y3786">
        <v>3</v>
      </c>
      <c r="Z3786">
        <v>3</v>
      </c>
    </row>
    <row r="3787" spans="1:26">
      <c r="A3787" s="1">
        <v>3785</v>
      </c>
      <c r="B3787" t="str">
        <f>HYPERLINK("https://bugs.eclipse.org/bugs/show_bug.cgi?id=243609", "243609")</f>
        <v>243609</v>
      </c>
      <c r="C3787" t="s">
        <v>140</v>
      </c>
      <c r="D3787" t="s">
        <v>10</v>
      </c>
      <c r="E3787" t="s">
        <v>16</v>
      </c>
      <c r="F3787" t="s">
        <v>26</v>
      </c>
      <c r="L3787" t="s">
        <v>17386</v>
      </c>
      <c r="R3787" t="s">
        <v>17386</v>
      </c>
      <c r="T3787" t="s">
        <v>17387</v>
      </c>
      <c r="U3787" t="s">
        <v>17388</v>
      </c>
      <c r="V3787" t="s">
        <v>17389</v>
      </c>
      <c r="W3787" t="s">
        <v>851</v>
      </c>
      <c r="X3787" t="s">
        <v>17390</v>
      </c>
      <c r="Y3787">
        <v>7</v>
      </c>
      <c r="Z3787">
        <v>10</v>
      </c>
    </row>
    <row r="3788" spans="1:26">
      <c r="A3788" s="1">
        <v>3786</v>
      </c>
      <c r="B3788" t="str">
        <f>HYPERLINK("https://bugs.eclipse.org/bugs/show_bug.cgi?id=244458", "244458")</f>
        <v>244458</v>
      </c>
      <c r="C3788" t="s">
        <v>25</v>
      </c>
      <c r="D3788" t="s">
        <v>25</v>
      </c>
      <c r="F3788" t="s">
        <v>26</v>
      </c>
      <c r="G3788" t="s">
        <v>17391</v>
      </c>
      <c r="H3788" t="s">
        <v>17392</v>
      </c>
      <c r="T3788" t="s">
        <v>17393</v>
      </c>
      <c r="U3788" t="s">
        <v>17394</v>
      </c>
      <c r="V3788" t="s">
        <v>17395</v>
      </c>
      <c r="W3788" t="s">
        <v>143</v>
      </c>
      <c r="X3788" t="s">
        <v>17396</v>
      </c>
      <c r="Y3788">
        <v>1</v>
      </c>
    </row>
    <row r="3789" spans="1:26">
      <c r="A3789" s="1">
        <v>3787</v>
      </c>
      <c r="B3789" t="str">
        <f>HYPERLINK("https://bugs.eclipse.org/bugs/show_bug.cgi?id=244895", "244895")</f>
        <v>244895</v>
      </c>
      <c r="C3789" t="s">
        <v>191</v>
      </c>
      <c r="D3789" t="s">
        <v>192</v>
      </c>
      <c r="E3789" t="s">
        <v>14</v>
      </c>
      <c r="F3789" t="s">
        <v>51</v>
      </c>
      <c r="L3789" t="s">
        <v>17397</v>
      </c>
      <c r="O3789" t="s">
        <v>17397</v>
      </c>
      <c r="P3789" t="s">
        <v>17398</v>
      </c>
      <c r="S3789" t="s">
        <v>17399</v>
      </c>
      <c r="T3789" t="s">
        <v>17400</v>
      </c>
      <c r="U3789" t="s">
        <v>17397</v>
      </c>
      <c r="V3789" t="s">
        <v>17398</v>
      </c>
      <c r="W3789" t="s">
        <v>65</v>
      </c>
      <c r="X3789" t="s">
        <v>17401</v>
      </c>
      <c r="Y3789">
        <v>1</v>
      </c>
      <c r="Z3789">
        <v>4239</v>
      </c>
    </row>
    <row r="3790" spans="1:26">
      <c r="A3790" s="1">
        <v>3788</v>
      </c>
      <c r="B3790" t="str">
        <f>HYPERLINK("https://bugs.eclipse.org/bugs/show_bug.cgi?id=245254", "245254")</f>
        <v>245254</v>
      </c>
      <c r="C3790" t="s">
        <v>149</v>
      </c>
      <c r="D3790" t="s">
        <v>10</v>
      </c>
      <c r="E3790" t="s">
        <v>12</v>
      </c>
      <c r="F3790" t="s">
        <v>26</v>
      </c>
      <c r="L3790" t="s">
        <v>17402</v>
      </c>
      <c r="N3790" t="s">
        <v>17402</v>
      </c>
      <c r="T3790" t="s">
        <v>17403</v>
      </c>
      <c r="U3790" t="s">
        <v>17404</v>
      </c>
      <c r="V3790" t="s">
        <v>17402</v>
      </c>
      <c r="W3790" t="s">
        <v>143</v>
      </c>
      <c r="X3790" t="s">
        <v>17405</v>
      </c>
      <c r="Y3790">
        <v>1</v>
      </c>
      <c r="Z3790">
        <v>1</v>
      </c>
    </row>
    <row r="3791" spans="1:26">
      <c r="A3791" s="1">
        <v>3789</v>
      </c>
      <c r="B3791" t="str">
        <f>HYPERLINK("https://bugs.eclipse.org/bugs/show_bug.cgi?id=245777", "245777")</f>
        <v>245777</v>
      </c>
      <c r="C3791" t="s">
        <v>149</v>
      </c>
      <c r="D3791" t="s">
        <v>10</v>
      </c>
      <c r="E3791" t="s">
        <v>12</v>
      </c>
      <c r="F3791" t="s">
        <v>26</v>
      </c>
      <c r="L3791" t="s">
        <v>17406</v>
      </c>
      <c r="N3791" t="s">
        <v>17406</v>
      </c>
      <c r="R3791" t="s">
        <v>17407</v>
      </c>
      <c r="S3791" t="s">
        <v>17408</v>
      </c>
      <c r="T3791" t="s">
        <v>17409</v>
      </c>
      <c r="U3791" t="s">
        <v>17407</v>
      </c>
      <c r="V3791" t="s">
        <v>17406</v>
      </c>
      <c r="W3791" t="s">
        <v>851</v>
      </c>
      <c r="X3791" t="s">
        <v>17410</v>
      </c>
      <c r="Y3791">
        <v>2</v>
      </c>
      <c r="Z3791">
        <v>2</v>
      </c>
    </row>
    <row r="3792" spans="1:26">
      <c r="A3792" s="1">
        <v>3790</v>
      </c>
      <c r="B3792" t="str">
        <f>HYPERLINK("https://bugs.eclipse.org/bugs/show_bug.cgi?id=246080", "246080")</f>
        <v>246080</v>
      </c>
      <c r="C3792" t="s">
        <v>25</v>
      </c>
      <c r="D3792" t="s">
        <v>25</v>
      </c>
      <c r="F3792" t="s">
        <v>460</v>
      </c>
      <c r="T3792" t="s">
        <v>17411</v>
      </c>
      <c r="U3792" t="s">
        <v>17412</v>
      </c>
      <c r="V3792" t="s">
        <v>17413</v>
      </c>
      <c r="W3792" t="s">
        <v>143</v>
      </c>
      <c r="X3792" t="s">
        <v>17414</v>
      </c>
      <c r="Y3792">
        <v>1</v>
      </c>
    </row>
    <row r="3793" spans="1:26">
      <c r="A3793" s="1">
        <v>3791</v>
      </c>
      <c r="B3793" t="str">
        <f>HYPERLINK("https://bugs.eclipse.org/bugs/show_bug.cgi?id=247848", "247848")</f>
        <v>247848</v>
      </c>
      <c r="C3793" t="s">
        <v>17415</v>
      </c>
      <c r="D3793" t="s">
        <v>10</v>
      </c>
      <c r="E3793" t="s">
        <v>15</v>
      </c>
      <c r="F3793" t="s">
        <v>26</v>
      </c>
      <c r="L3793" t="s">
        <v>17416</v>
      </c>
      <c r="Q3793" t="s">
        <v>17416</v>
      </c>
      <c r="T3793" t="s">
        <v>17417</v>
      </c>
      <c r="U3793" t="s">
        <v>17418</v>
      </c>
      <c r="V3793" t="s">
        <v>17416</v>
      </c>
      <c r="W3793" t="s">
        <v>143</v>
      </c>
      <c r="X3793" t="s">
        <v>17419</v>
      </c>
      <c r="Y3793">
        <v>0</v>
      </c>
      <c r="Z3793">
        <v>1</v>
      </c>
    </row>
    <row r="3794" spans="1:26">
      <c r="A3794" s="1">
        <v>3792</v>
      </c>
      <c r="B3794" t="str">
        <f>HYPERLINK("https://bugs.eclipse.org/bugs/show_bug.cgi?id=248254", "248254")</f>
        <v>248254</v>
      </c>
      <c r="C3794" t="s">
        <v>35</v>
      </c>
      <c r="D3794" t="s">
        <v>11</v>
      </c>
      <c r="E3794" t="s">
        <v>12</v>
      </c>
      <c r="F3794" t="s">
        <v>26</v>
      </c>
      <c r="L3794" t="s">
        <v>17420</v>
      </c>
      <c r="M3794" t="s">
        <v>17421</v>
      </c>
      <c r="N3794" t="s">
        <v>17420</v>
      </c>
      <c r="S3794" t="s">
        <v>17422</v>
      </c>
      <c r="T3794" t="s">
        <v>17423</v>
      </c>
      <c r="U3794" t="s">
        <v>17424</v>
      </c>
      <c r="V3794" t="s">
        <v>17421</v>
      </c>
      <c r="W3794" t="s">
        <v>143</v>
      </c>
      <c r="X3794" t="s">
        <v>17425</v>
      </c>
      <c r="Y3794">
        <v>0</v>
      </c>
      <c r="Z3794">
        <v>77.041666666666671</v>
      </c>
    </row>
    <row r="3795" spans="1:26">
      <c r="A3795" s="1">
        <v>3793</v>
      </c>
      <c r="B3795" t="str">
        <f>HYPERLINK("https://bugs.eclipse.org/bugs/show_bug.cgi?id=249471", "249471")</f>
        <v>249471</v>
      </c>
      <c r="C3795" t="s">
        <v>17426</v>
      </c>
      <c r="D3795" t="s">
        <v>10</v>
      </c>
      <c r="E3795" t="s">
        <v>15</v>
      </c>
      <c r="F3795" t="s">
        <v>26</v>
      </c>
      <c r="L3795" t="s">
        <v>17427</v>
      </c>
      <c r="Q3795" t="s">
        <v>17427</v>
      </c>
      <c r="T3795" t="s">
        <v>17428</v>
      </c>
      <c r="U3795" t="s">
        <v>17427</v>
      </c>
      <c r="V3795" t="s">
        <v>17427</v>
      </c>
      <c r="W3795" t="s">
        <v>143</v>
      </c>
      <c r="X3795" t="s">
        <v>17429</v>
      </c>
      <c r="Y3795">
        <v>0</v>
      </c>
      <c r="Z3795">
        <v>0</v>
      </c>
    </row>
    <row r="3796" spans="1:26">
      <c r="A3796" s="1">
        <v>3794</v>
      </c>
      <c r="B3796" t="str">
        <f>HYPERLINK("https://bugs.eclipse.org/bugs/show_bug.cgi?id=249474", "249474")</f>
        <v>249474</v>
      </c>
      <c r="C3796" t="s">
        <v>25</v>
      </c>
      <c r="D3796" t="s">
        <v>25</v>
      </c>
      <c r="F3796" t="s">
        <v>26</v>
      </c>
      <c r="T3796" t="s">
        <v>17430</v>
      </c>
      <c r="U3796" t="s">
        <v>17431</v>
      </c>
      <c r="V3796" t="s">
        <v>17432</v>
      </c>
      <c r="W3796" t="s">
        <v>143</v>
      </c>
      <c r="X3796" t="s">
        <v>17433</v>
      </c>
      <c r="Y3796">
        <v>0</v>
      </c>
    </row>
    <row r="3797" spans="1:26">
      <c r="A3797" s="1">
        <v>3795</v>
      </c>
      <c r="B3797" t="str">
        <f>HYPERLINK("https://bugs.eclipse.org/bugs/show_bug.cgi?id=249511", "249511")</f>
        <v>249511</v>
      </c>
      <c r="C3797" t="s">
        <v>25</v>
      </c>
      <c r="D3797" t="s">
        <v>25</v>
      </c>
      <c r="F3797" t="s">
        <v>26</v>
      </c>
      <c r="H3797" t="s">
        <v>17434</v>
      </c>
      <c r="T3797" t="s">
        <v>17435</v>
      </c>
      <c r="U3797" t="s">
        <v>17436</v>
      </c>
      <c r="V3797" t="s">
        <v>17437</v>
      </c>
      <c r="W3797" t="s">
        <v>143</v>
      </c>
      <c r="X3797" t="s">
        <v>17438</v>
      </c>
      <c r="Y3797">
        <v>0</v>
      </c>
    </row>
    <row r="3798" spans="1:26">
      <c r="A3798" s="1">
        <v>3796</v>
      </c>
      <c r="B3798" t="str">
        <f>HYPERLINK("https://bugs.eclipse.org/bugs/show_bug.cgi?id=250660", "250660")</f>
        <v>250660</v>
      </c>
      <c r="C3798" t="s">
        <v>35</v>
      </c>
      <c r="D3798" t="s">
        <v>11</v>
      </c>
      <c r="E3798" t="s">
        <v>12</v>
      </c>
      <c r="F3798" t="s">
        <v>26</v>
      </c>
      <c r="L3798" t="s">
        <v>17439</v>
      </c>
      <c r="M3798" t="s">
        <v>17440</v>
      </c>
      <c r="N3798" t="s">
        <v>17439</v>
      </c>
      <c r="T3798" t="s">
        <v>17441</v>
      </c>
      <c r="U3798" t="s">
        <v>17442</v>
      </c>
      <c r="V3798" t="s">
        <v>17440</v>
      </c>
      <c r="W3798" t="s">
        <v>143</v>
      </c>
      <c r="X3798" t="s">
        <v>17443</v>
      </c>
      <c r="Y3798">
        <v>0</v>
      </c>
      <c r="Z3798">
        <v>15</v>
      </c>
    </row>
    <row r="3799" spans="1:26">
      <c r="A3799" s="1">
        <v>3797</v>
      </c>
      <c r="B3799" t="str">
        <f>HYPERLINK("https://bugs.eclipse.org/bugs/show_bug.cgi?id=250714", "250714")</f>
        <v>250714</v>
      </c>
      <c r="C3799" t="s">
        <v>149</v>
      </c>
      <c r="D3799" t="s">
        <v>10</v>
      </c>
      <c r="E3799" t="s">
        <v>12</v>
      </c>
      <c r="F3799" t="s">
        <v>26</v>
      </c>
      <c r="G3799" t="s">
        <v>17444</v>
      </c>
      <c r="L3799" t="s">
        <v>17445</v>
      </c>
      <c r="N3799" t="s">
        <v>17445</v>
      </c>
      <c r="T3799" t="s">
        <v>17446</v>
      </c>
      <c r="U3799" t="s">
        <v>17447</v>
      </c>
      <c r="V3799" t="s">
        <v>17448</v>
      </c>
      <c r="W3799" t="s">
        <v>16698</v>
      </c>
      <c r="X3799" t="s">
        <v>17449</v>
      </c>
      <c r="Y3799">
        <v>8</v>
      </c>
      <c r="Z3799">
        <v>59.041666666666657</v>
      </c>
    </row>
    <row r="3800" spans="1:26">
      <c r="A3800" s="1">
        <v>3798</v>
      </c>
      <c r="B3800" t="str">
        <f>HYPERLINK("https://bugs.eclipse.org/bugs/show_bug.cgi?id=250914", "250914")</f>
        <v>250914</v>
      </c>
      <c r="C3800" t="s">
        <v>35</v>
      </c>
      <c r="D3800" t="s">
        <v>11</v>
      </c>
      <c r="E3800" t="s">
        <v>12</v>
      </c>
      <c r="F3800" t="s">
        <v>26</v>
      </c>
      <c r="G3800" t="s">
        <v>17450</v>
      </c>
      <c r="L3800" t="s">
        <v>17451</v>
      </c>
      <c r="M3800" t="s">
        <v>17452</v>
      </c>
      <c r="N3800" t="s">
        <v>17451</v>
      </c>
      <c r="T3800" t="s">
        <v>17453</v>
      </c>
      <c r="U3800" t="s">
        <v>17454</v>
      </c>
      <c r="V3800" t="s">
        <v>17455</v>
      </c>
      <c r="W3800" t="s">
        <v>851</v>
      </c>
      <c r="X3800" t="s">
        <v>17456</v>
      </c>
      <c r="Y3800">
        <v>0</v>
      </c>
      <c r="Z3800">
        <v>471.04166666666669</v>
      </c>
    </row>
    <row r="3801" spans="1:26">
      <c r="A3801" s="1">
        <v>3799</v>
      </c>
      <c r="B3801" t="str">
        <f>HYPERLINK("https://bugs.eclipse.org/bugs/show_bug.cgi?id=251068", "251068")</f>
        <v>251068</v>
      </c>
      <c r="C3801" t="s">
        <v>25</v>
      </c>
      <c r="D3801" t="s">
        <v>25</v>
      </c>
      <c r="F3801" t="s">
        <v>26</v>
      </c>
      <c r="T3801" t="s">
        <v>17457</v>
      </c>
      <c r="U3801" t="s">
        <v>17458</v>
      </c>
      <c r="V3801" t="s">
        <v>17459</v>
      </c>
      <c r="W3801" t="s">
        <v>143</v>
      </c>
      <c r="X3801" t="s">
        <v>17460</v>
      </c>
      <c r="Y3801">
        <v>1</v>
      </c>
    </row>
    <row r="3802" spans="1:26">
      <c r="A3802" s="1">
        <v>3800</v>
      </c>
      <c r="B3802" t="str">
        <f>HYPERLINK("https://bugs.eclipse.org/bugs/show_bug.cgi?id=251346", "251346")</f>
        <v>251346</v>
      </c>
      <c r="C3802" t="s">
        <v>56</v>
      </c>
      <c r="D3802" t="s">
        <v>10</v>
      </c>
      <c r="E3802" t="s">
        <v>14</v>
      </c>
      <c r="F3802" t="s">
        <v>26</v>
      </c>
      <c r="L3802" t="s">
        <v>17461</v>
      </c>
      <c r="P3802" t="s">
        <v>17461</v>
      </c>
      <c r="T3802" t="s">
        <v>17462</v>
      </c>
      <c r="U3802" t="s">
        <v>17461</v>
      </c>
      <c r="V3802" t="s">
        <v>17463</v>
      </c>
      <c r="W3802" t="s">
        <v>1954</v>
      </c>
      <c r="X3802" t="s">
        <v>17464</v>
      </c>
      <c r="Y3802">
        <v>0</v>
      </c>
      <c r="Z3802">
        <v>0</v>
      </c>
    </row>
    <row r="3803" spans="1:26">
      <c r="A3803" s="1">
        <v>3801</v>
      </c>
      <c r="B3803" t="str">
        <f>HYPERLINK("https://bugs.eclipse.org/bugs/show_bug.cgi?id=251572", "251572")</f>
        <v>251572</v>
      </c>
      <c r="C3803" t="s">
        <v>149</v>
      </c>
      <c r="D3803" t="s">
        <v>10</v>
      </c>
      <c r="E3803" t="s">
        <v>12</v>
      </c>
      <c r="F3803" t="s">
        <v>26</v>
      </c>
      <c r="L3803" t="s">
        <v>17465</v>
      </c>
      <c r="N3803" t="s">
        <v>17465</v>
      </c>
      <c r="T3803" t="s">
        <v>17466</v>
      </c>
      <c r="U3803" t="s">
        <v>17467</v>
      </c>
      <c r="V3803" t="s">
        <v>17465</v>
      </c>
      <c r="W3803" t="s">
        <v>143</v>
      </c>
      <c r="X3803" t="s">
        <v>17468</v>
      </c>
      <c r="Y3803">
        <v>1</v>
      </c>
      <c r="Z3803">
        <v>1</v>
      </c>
    </row>
    <row r="3804" spans="1:26">
      <c r="A3804" s="1">
        <v>3802</v>
      </c>
      <c r="B3804" t="str">
        <f>HYPERLINK("https://bugs.eclipse.org/bugs/show_bug.cgi?id=251629", "251629")</f>
        <v>251629</v>
      </c>
      <c r="C3804" t="s">
        <v>35</v>
      </c>
      <c r="D3804" t="s">
        <v>11</v>
      </c>
      <c r="E3804" t="s">
        <v>12</v>
      </c>
      <c r="F3804" t="s">
        <v>26</v>
      </c>
      <c r="L3804" t="s">
        <v>17469</v>
      </c>
      <c r="M3804" t="s">
        <v>17470</v>
      </c>
      <c r="N3804" t="s">
        <v>17469</v>
      </c>
      <c r="T3804" t="s">
        <v>17471</v>
      </c>
      <c r="U3804" t="s">
        <v>17472</v>
      </c>
      <c r="V3804" t="s">
        <v>17470</v>
      </c>
      <c r="W3804" t="s">
        <v>143</v>
      </c>
      <c r="X3804" t="s">
        <v>17473</v>
      </c>
      <c r="Y3804">
        <v>1</v>
      </c>
      <c r="Z3804">
        <v>7</v>
      </c>
    </row>
    <row r="3805" spans="1:26">
      <c r="A3805" s="1">
        <v>3803</v>
      </c>
      <c r="B3805" t="str">
        <f>HYPERLINK("https://bugs.eclipse.org/bugs/show_bug.cgi?id=251817", "251817")</f>
        <v>251817</v>
      </c>
      <c r="C3805" t="s">
        <v>35</v>
      </c>
      <c r="D3805" t="s">
        <v>11</v>
      </c>
      <c r="E3805" t="s">
        <v>12</v>
      </c>
      <c r="F3805" t="s">
        <v>26</v>
      </c>
      <c r="L3805" t="s">
        <v>17474</v>
      </c>
      <c r="M3805" t="s">
        <v>17475</v>
      </c>
      <c r="N3805" t="s">
        <v>17474</v>
      </c>
      <c r="R3805" t="s">
        <v>17476</v>
      </c>
      <c r="S3805" t="s">
        <v>17477</v>
      </c>
      <c r="T3805" t="s">
        <v>17478</v>
      </c>
      <c r="U3805" t="s">
        <v>17479</v>
      </c>
      <c r="V3805" t="s">
        <v>17475</v>
      </c>
      <c r="W3805" t="s">
        <v>143</v>
      </c>
      <c r="X3805" t="s">
        <v>17480</v>
      </c>
      <c r="Y3805">
        <v>0</v>
      </c>
      <c r="Z3805">
        <v>6</v>
      </c>
    </row>
    <row r="3806" spans="1:26">
      <c r="A3806" s="1">
        <v>3804</v>
      </c>
      <c r="B3806" t="str">
        <f>HYPERLINK("https://bugs.eclipse.org/bugs/show_bug.cgi?id=251844", "251844")</f>
        <v>251844</v>
      </c>
      <c r="C3806" t="s">
        <v>35</v>
      </c>
      <c r="D3806" t="s">
        <v>11</v>
      </c>
      <c r="E3806" t="s">
        <v>12</v>
      </c>
      <c r="F3806" t="s">
        <v>26</v>
      </c>
      <c r="L3806" t="s">
        <v>17481</v>
      </c>
      <c r="M3806" t="s">
        <v>17482</v>
      </c>
      <c r="N3806" t="s">
        <v>17481</v>
      </c>
      <c r="T3806" t="s">
        <v>17483</v>
      </c>
      <c r="U3806" t="s">
        <v>17484</v>
      </c>
      <c r="V3806" t="s">
        <v>17482</v>
      </c>
      <c r="W3806" t="s">
        <v>143</v>
      </c>
      <c r="X3806" t="s">
        <v>17485</v>
      </c>
      <c r="Y3806">
        <v>32.041666666666657</v>
      </c>
      <c r="Z3806">
        <v>47.041666666666657</v>
      </c>
    </row>
    <row r="3807" spans="1:26">
      <c r="A3807" s="1">
        <v>3805</v>
      </c>
      <c r="B3807" t="str">
        <f>HYPERLINK("https://bugs.eclipse.org/bugs/show_bug.cgi?id=252039", "252039")</f>
        <v>252039</v>
      </c>
      <c r="C3807" t="s">
        <v>25</v>
      </c>
      <c r="D3807" t="s">
        <v>25</v>
      </c>
      <c r="F3807" t="s">
        <v>26</v>
      </c>
      <c r="T3807" t="s">
        <v>17486</v>
      </c>
      <c r="U3807" t="s">
        <v>17487</v>
      </c>
      <c r="V3807" t="s">
        <v>17488</v>
      </c>
      <c r="W3807" t="s">
        <v>143</v>
      </c>
      <c r="X3807" t="s">
        <v>17489</v>
      </c>
      <c r="Y3807">
        <v>1</v>
      </c>
    </row>
    <row r="3808" spans="1:26">
      <c r="A3808" s="1">
        <v>3806</v>
      </c>
      <c r="B3808" t="str">
        <f>HYPERLINK("https://bugs.eclipse.org/bugs/show_bug.cgi?id=252920", "252920")</f>
        <v>252920</v>
      </c>
      <c r="C3808" t="s">
        <v>17490</v>
      </c>
      <c r="D3808" t="s">
        <v>192</v>
      </c>
      <c r="E3808" t="s">
        <v>15</v>
      </c>
      <c r="F3808" t="s">
        <v>26</v>
      </c>
      <c r="Q3808" t="s">
        <v>17491</v>
      </c>
      <c r="T3808" t="s">
        <v>17492</v>
      </c>
      <c r="U3808" t="s">
        <v>17493</v>
      </c>
      <c r="V3808" t="s">
        <v>17491</v>
      </c>
      <c r="W3808" t="s">
        <v>143</v>
      </c>
      <c r="X3808" t="s">
        <v>17494</v>
      </c>
      <c r="Y3808">
        <v>5.041666666666667</v>
      </c>
      <c r="Z3808">
        <v>368.04166666666669</v>
      </c>
    </row>
    <row r="3809" spans="1:26">
      <c r="A3809" s="1">
        <v>3807</v>
      </c>
      <c r="B3809" t="str">
        <f>HYPERLINK("https://bugs.eclipse.org/bugs/show_bug.cgi?id=252951", "252951")</f>
        <v>252951</v>
      </c>
      <c r="C3809" t="s">
        <v>17495</v>
      </c>
      <c r="D3809" t="s">
        <v>10</v>
      </c>
      <c r="E3809" t="s">
        <v>15</v>
      </c>
      <c r="F3809" t="s">
        <v>26</v>
      </c>
      <c r="L3809" t="s">
        <v>17496</v>
      </c>
      <c r="Q3809" t="s">
        <v>17496</v>
      </c>
      <c r="T3809" t="s">
        <v>17497</v>
      </c>
      <c r="U3809" t="s">
        <v>17498</v>
      </c>
      <c r="V3809" t="s">
        <v>17496</v>
      </c>
      <c r="W3809" t="s">
        <v>143</v>
      </c>
      <c r="X3809" t="s">
        <v>17499</v>
      </c>
      <c r="Y3809">
        <v>0</v>
      </c>
      <c r="Z3809">
        <v>0</v>
      </c>
    </row>
    <row r="3810" spans="1:26">
      <c r="A3810" s="1">
        <v>3808</v>
      </c>
      <c r="B3810" t="str">
        <f>HYPERLINK("https://bugs.eclipse.org/bugs/show_bug.cgi?id=253207", "253207")</f>
        <v>253207</v>
      </c>
      <c r="C3810" t="s">
        <v>17500</v>
      </c>
      <c r="D3810" t="s">
        <v>10</v>
      </c>
      <c r="E3810" t="s">
        <v>15</v>
      </c>
      <c r="F3810" t="s">
        <v>26</v>
      </c>
      <c r="L3810" t="s">
        <v>17501</v>
      </c>
      <c r="Q3810" t="s">
        <v>17501</v>
      </c>
      <c r="T3810" t="s">
        <v>17502</v>
      </c>
      <c r="U3810" t="s">
        <v>17503</v>
      </c>
      <c r="V3810" t="s">
        <v>17501</v>
      </c>
      <c r="W3810" t="s">
        <v>851</v>
      </c>
      <c r="X3810" t="s">
        <v>17504</v>
      </c>
      <c r="Y3810">
        <v>1</v>
      </c>
      <c r="Z3810">
        <v>2</v>
      </c>
    </row>
    <row r="3811" spans="1:26">
      <c r="A3811" s="1">
        <v>3809</v>
      </c>
      <c r="B3811" t="str">
        <f>HYPERLINK("https://bugs.eclipse.org/bugs/show_bug.cgi?id=253667", "253667")</f>
        <v>253667</v>
      </c>
      <c r="C3811" t="s">
        <v>191</v>
      </c>
      <c r="D3811" t="s">
        <v>192</v>
      </c>
      <c r="E3811" t="s">
        <v>14</v>
      </c>
      <c r="F3811" t="s">
        <v>26</v>
      </c>
      <c r="T3811" t="s">
        <v>17505</v>
      </c>
      <c r="U3811" t="s">
        <v>17506</v>
      </c>
      <c r="V3811" t="s">
        <v>17507</v>
      </c>
      <c r="W3811" t="s">
        <v>65</v>
      </c>
      <c r="X3811" t="s">
        <v>17508</v>
      </c>
      <c r="Y3811">
        <v>9</v>
      </c>
      <c r="Z3811">
        <v>3641.958333333333</v>
      </c>
    </row>
    <row r="3812" spans="1:26">
      <c r="A3812" s="1">
        <v>3810</v>
      </c>
      <c r="B3812" t="str">
        <f>HYPERLINK("https://bugs.eclipse.org/bugs/show_bug.cgi?id=253674", "253674")</f>
        <v>253674</v>
      </c>
      <c r="C3812" t="s">
        <v>149</v>
      </c>
      <c r="D3812" t="s">
        <v>10</v>
      </c>
      <c r="E3812" t="s">
        <v>12</v>
      </c>
      <c r="F3812" t="s">
        <v>26</v>
      </c>
      <c r="G3812" t="s">
        <v>17509</v>
      </c>
      <c r="L3812" t="s">
        <v>17510</v>
      </c>
      <c r="N3812" t="s">
        <v>17510</v>
      </c>
      <c r="T3812" t="s">
        <v>17511</v>
      </c>
      <c r="U3812" t="s">
        <v>17512</v>
      </c>
      <c r="V3812" t="s">
        <v>17510</v>
      </c>
      <c r="W3812" t="s">
        <v>143</v>
      </c>
      <c r="X3812" t="s">
        <v>17513</v>
      </c>
      <c r="Y3812">
        <v>6</v>
      </c>
      <c r="Z3812">
        <v>138.95833333333329</v>
      </c>
    </row>
    <row r="3813" spans="1:26">
      <c r="A3813" s="1">
        <v>3811</v>
      </c>
      <c r="B3813" t="str">
        <f>HYPERLINK("https://bugs.eclipse.org/bugs/show_bug.cgi?id=253714", "253714")</f>
        <v>253714</v>
      </c>
      <c r="C3813" t="s">
        <v>191</v>
      </c>
      <c r="D3813" t="s">
        <v>192</v>
      </c>
      <c r="E3813" t="s">
        <v>14</v>
      </c>
      <c r="F3813" t="s">
        <v>26</v>
      </c>
      <c r="T3813" t="s">
        <v>17514</v>
      </c>
      <c r="U3813" t="s">
        <v>17515</v>
      </c>
      <c r="V3813" t="s">
        <v>17516</v>
      </c>
      <c r="W3813" t="s">
        <v>65</v>
      </c>
      <c r="X3813" t="s">
        <v>17517</v>
      </c>
      <c r="Y3813">
        <v>9</v>
      </c>
      <c r="Z3813">
        <v>3659</v>
      </c>
    </row>
    <row r="3814" spans="1:26">
      <c r="A3814" s="1">
        <v>3812</v>
      </c>
      <c r="B3814" t="str">
        <f>HYPERLINK("https://bugs.eclipse.org/bugs/show_bug.cgi?id=253727", "253727")</f>
        <v>253727</v>
      </c>
      <c r="C3814" t="s">
        <v>191</v>
      </c>
      <c r="D3814" t="s">
        <v>192</v>
      </c>
      <c r="E3814" t="s">
        <v>14</v>
      </c>
      <c r="F3814" t="s">
        <v>460</v>
      </c>
      <c r="P3814" t="s">
        <v>17518</v>
      </c>
      <c r="T3814" t="s">
        <v>17519</v>
      </c>
      <c r="U3814" t="s">
        <v>17520</v>
      </c>
      <c r="V3814" t="s">
        <v>17518</v>
      </c>
      <c r="W3814" t="s">
        <v>65</v>
      </c>
      <c r="X3814" t="s">
        <v>17521</v>
      </c>
      <c r="Y3814">
        <v>0</v>
      </c>
      <c r="Z3814">
        <v>4114</v>
      </c>
    </row>
    <row r="3815" spans="1:26">
      <c r="A3815" s="1">
        <v>3813</v>
      </c>
      <c r="B3815" t="str">
        <f>HYPERLINK("https://bugs.eclipse.org/bugs/show_bug.cgi?id=253760", "253760")</f>
        <v>253760</v>
      </c>
      <c r="C3815" t="s">
        <v>191</v>
      </c>
      <c r="D3815" t="s">
        <v>192</v>
      </c>
      <c r="E3815" t="s">
        <v>14</v>
      </c>
      <c r="F3815" t="s">
        <v>460</v>
      </c>
      <c r="T3815" t="s">
        <v>17522</v>
      </c>
      <c r="U3815" t="s">
        <v>17523</v>
      </c>
      <c r="V3815" t="s">
        <v>17524</v>
      </c>
      <c r="W3815" t="s">
        <v>65</v>
      </c>
      <c r="X3815" t="s">
        <v>17525</v>
      </c>
      <c r="Y3815">
        <v>9</v>
      </c>
      <c r="Z3815">
        <v>3966.958333333333</v>
      </c>
    </row>
    <row r="3816" spans="1:26">
      <c r="A3816" s="1">
        <v>3814</v>
      </c>
      <c r="B3816" t="str">
        <f>HYPERLINK("https://bugs.eclipse.org/bugs/show_bug.cgi?id=253761", "253761")</f>
        <v>253761</v>
      </c>
      <c r="C3816" t="s">
        <v>88</v>
      </c>
      <c r="D3816" t="s">
        <v>10</v>
      </c>
      <c r="E3816" t="s">
        <v>13</v>
      </c>
      <c r="F3816" t="s">
        <v>26</v>
      </c>
      <c r="L3816" t="s">
        <v>17526</v>
      </c>
      <c r="O3816" t="s">
        <v>17526</v>
      </c>
      <c r="T3816" t="s">
        <v>17527</v>
      </c>
      <c r="U3816" t="s">
        <v>17526</v>
      </c>
      <c r="V3816" t="s">
        <v>17526</v>
      </c>
      <c r="W3816" t="s">
        <v>17528</v>
      </c>
      <c r="X3816" t="s">
        <v>17529</v>
      </c>
      <c r="Y3816">
        <v>0</v>
      </c>
      <c r="Z3816">
        <v>0</v>
      </c>
    </row>
    <row r="3817" spans="1:26">
      <c r="A3817" s="1">
        <v>3815</v>
      </c>
      <c r="B3817" t="str">
        <f>HYPERLINK("https://bugs.eclipse.org/bugs/show_bug.cgi?id=253762", "253762")</f>
        <v>253762</v>
      </c>
      <c r="C3817" t="s">
        <v>88</v>
      </c>
      <c r="D3817" t="s">
        <v>10</v>
      </c>
      <c r="E3817" t="s">
        <v>13</v>
      </c>
      <c r="F3817" t="s">
        <v>26</v>
      </c>
      <c r="L3817" t="s">
        <v>17530</v>
      </c>
      <c r="O3817" t="s">
        <v>17530</v>
      </c>
      <c r="T3817" t="s">
        <v>17531</v>
      </c>
      <c r="U3817" t="s">
        <v>17530</v>
      </c>
      <c r="V3817" t="s">
        <v>17530</v>
      </c>
      <c r="W3817" t="s">
        <v>17528</v>
      </c>
      <c r="X3817" t="s">
        <v>17532</v>
      </c>
      <c r="Y3817">
        <v>0</v>
      </c>
      <c r="Z3817">
        <v>0</v>
      </c>
    </row>
    <row r="3818" spans="1:26">
      <c r="A3818" s="1">
        <v>3816</v>
      </c>
      <c r="B3818" t="str">
        <f>HYPERLINK("https://bugs.eclipse.org/bugs/show_bug.cgi?id=253764", "253764")</f>
        <v>253764</v>
      </c>
      <c r="C3818" t="s">
        <v>88</v>
      </c>
      <c r="D3818" t="s">
        <v>10</v>
      </c>
      <c r="E3818" t="s">
        <v>13</v>
      </c>
      <c r="F3818" t="s">
        <v>51</v>
      </c>
      <c r="L3818" t="s">
        <v>17533</v>
      </c>
      <c r="O3818" t="s">
        <v>17533</v>
      </c>
      <c r="T3818" t="s">
        <v>17534</v>
      </c>
      <c r="U3818" t="s">
        <v>17535</v>
      </c>
      <c r="V3818" t="s">
        <v>17533</v>
      </c>
      <c r="W3818" t="s">
        <v>143</v>
      </c>
      <c r="X3818" t="s">
        <v>17536</v>
      </c>
      <c r="Y3818">
        <v>1</v>
      </c>
      <c r="Z3818">
        <v>183.95833333333329</v>
      </c>
    </row>
    <row r="3819" spans="1:26">
      <c r="A3819" s="1">
        <v>3817</v>
      </c>
      <c r="B3819" t="str">
        <f>HYPERLINK("https://bugs.eclipse.org/bugs/show_bug.cgi?id=254449", "254449")</f>
        <v>254449</v>
      </c>
      <c r="C3819" t="s">
        <v>17415</v>
      </c>
      <c r="D3819" t="s">
        <v>10</v>
      </c>
      <c r="E3819" t="s">
        <v>15</v>
      </c>
      <c r="F3819" t="s">
        <v>26</v>
      </c>
      <c r="L3819" t="s">
        <v>17537</v>
      </c>
      <c r="Q3819" t="s">
        <v>17537</v>
      </c>
      <c r="T3819" t="s">
        <v>17538</v>
      </c>
      <c r="U3819" t="s">
        <v>17537</v>
      </c>
      <c r="V3819" t="s">
        <v>17537</v>
      </c>
      <c r="W3819" t="s">
        <v>851</v>
      </c>
      <c r="X3819" t="s">
        <v>17539</v>
      </c>
      <c r="Y3819">
        <v>0</v>
      </c>
      <c r="Z3819">
        <v>0</v>
      </c>
    </row>
    <row r="3820" spans="1:26">
      <c r="A3820" s="1">
        <v>3818</v>
      </c>
      <c r="B3820" t="str">
        <f>HYPERLINK("https://bugs.eclipse.org/bugs/show_bug.cgi?id=254475", "254475")</f>
        <v>254475</v>
      </c>
      <c r="C3820" t="s">
        <v>140</v>
      </c>
      <c r="D3820" t="s">
        <v>10</v>
      </c>
      <c r="E3820" t="s">
        <v>16</v>
      </c>
      <c r="F3820" t="s">
        <v>26</v>
      </c>
      <c r="L3820" t="s">
        <v>17540</v>
      </c>
      <c r="R3820" t="s">
        <v>17540</v>
      </c>
      <c r="T3820" t="s">
        <v>17541</v>
      </c>
      <c r="U3820" t="s">
        <v>17542</v>
      </c>
      <c r="V3820" t="s">
        <v>17540</v>
      </c>
      <c r="W3820" t="s">
        <v>851</v>
      </c>
      <c r="X3820" t="s">
        <v>17543</v>
      </c>
      <c r="Y3820">
        <v>1</v>
      </c>
      <c r="Z3820">
        <v>21</v>
      </c>
    </row>
    <row r="3821" spans="1:26">
      <c r="A3821" s="1">
        <v>3819</v>
      </c>
      <c r="B3821" t="str">
        <f>HYPERLINK("https://bugs.eclipse.org/bugs/show_bug.cgi?id=254664", "254664")</f>
        <v>254664</v>
      </c>
      <c r="C3821" t="s">
        <v>17544</v>
      </c>
      <c r="D3821" t="s">
        <v>10</v>
      </c>
      <c r="E3821" t="s">
        <v>15</v>
      </c>
      <c r="F3821" t="s">
        <v>26</v>
      </c>
      <c r="L3821" t="s">
        <v>17512</v>
      </c>
      <c r="Q3821" t="s">
        <v>17512</v>
      </c>
      <c r="T3821" t="s">
        <v>17545</v>
      </c>
      <c r="U3821" t="s">
        <v>17512</v>
      </c>
      <c r="V3821" t="s">
        <v>17512</v>
      </c>
      <c r="W3821" t="s">
        <v>851</v>
      </c>
      <c r="X3821" t="s">
        <v>17546</v>
      </c>
      <c r="Y3821">
        <v>3</v>
      </c>
      <c r="Z3821">
        <v>3</v>
      </c>
    </row>
    <row r="3822" spans="1:26">
      <c r="A3822" s="1">
        <v>3820</v>
      </c>
      <c r="B3822" t="str">
        <f>HYPERLINK("https://bugs.eclipse.org/bugs/show_bug.cgi?id=254682", "254682")</f>
        <v>254682</v>
      </c>
      <c r="C3822" t="s">
        <v>25</v>
      </c>
      <c r="D3822" t="s">
        <v>25</v>
      </c>
      <c r="F3822" t="s">
        <v>460</v>
      </c>
      <c r="T3822" t="s">
        <v>17547</v>
      </c>
      <c r="U3822" t="s">
        <v>17548</v>
      </c>
      <c r="V3822" t="s">
        <v>17549</v>
      </c>
      <c r="W3822" t="s">
        <v>2293</v>
      </c>
      <c r="X3822" t="s">
        <v>17550</v>
      </c>
      <c r="Y3822">
        <v>4</v>
      </c>
    </row>
    <row r="3823" spans="1:26">
      <c r="A3823" s="1">
        <v>3821</v>
      </c>
      <c r="B3823" t="str">
        <f>HYPERLINK("https://bugs.eclipse.org/bugs/show_bug.cgi?id=254694", "254694")</f>
        <v>254694</v>
      </c>
      <c r="C3823" t="s">
        <v>140</v>
      </c>
      <c r="D3823" t="s">
        <v>10</v>
      </c>
      <c r="E3823" t="s">
        <v>16</v>
      </c>
      <c r="F3823" t="s">
        <v>26</v>
      </c>
      <c r="L3823" t="s">
        <v>17551</v>
      </c>
      <c r="R3823" t="s">
        <v>17551</v>
      </c>
      <c r="T3823" t="s">
        <v>17552</v>
      </c>
      <c r="U3823" t="s">
        <v>17553</v>
      </c>
      <c r="V3823" t="s">
        <v>17551</v>
      </c>
      <c r="W3823" t="s">
        <v>851</v>
      </c>
      <c r="X3823" t="s">
        <v>17554</v>
      </c>
      <c r="Y3823">
        <v>0</v>
      </c>
      <c r="Z3823">
        <v>1</v>
      </c>
    </row>
    <row r="3824" spans="1:26">
      <c r="A3824" s="1">
        <v>3822</v>
      </c>
      <c r="B3824" t="str">
        <f>HYPERLINK("https://bugs.eclipse.org/bugs/show_bug.cgi?id=254721", "254721")</f>
        <v>254721</v>
      </c>
      <c r="C3824" t="s">
        <v>149</v>
      </c>
      <c r="D3824" t="s">
        <v>10</v>
      </c>
      <c r="E3824" t="s">
        <v>12</v>
      </c>
      <c r="F3824" t="s">
        <v>26</v>
      </c>
      <c r="L3824" t="s">
        <v>17555</v>
      </c>
      <c r="N3824" t="s">
        <v>17555</v>
      </c>
      <c r="T3824" t="s">
        <v>17556</v>
      </c>
      <c r="U3824" t="s">
        <v>17557</v>
      </c>
      <c r="V3824" t="s">
        <v>17555</v>
      </c>
      <c r="W3824" t="s">
        <v>851</v>
      </c>
      <c r="X3824" t="s">
        <v>17558</v>
      </c>
      <c r="Y3824">
        <v>0</v>
      </c>
      <c r="Z3824">
        <v>0</v>
      </c>
    </row>
    <row r="3825" spans="1:26">
      <c r="A3825" s="1">
        <v>3823</v>
      </c>
      <c r="B3825" t="str">
        <f>HYPERLINK("https://bugs.eclipse.org/bugs/show_bug.cgi?id=254801", "254801")</f>
        <v>254801</v>
      </c>
      <c r="C3825" t="s">
        <v>17559</v>
      </c>
      <c r="D3825" t="s">
        <v>10</v>
      </c>
      <c r="E3825" t="s">
        <v>15</v>
      </c>
      <c r="F3825" t="s">
        <v>460</v>
      </c>
      <c r="L3825" t="s">
        <v>17560</v>
      </c>
      <c r="Q3825" t="s">
        <v>17560</v>
      </c>
      <c r="T3825" t="s">
        <v>17561</v>
      </c>
      <c r="U3825" t="s">
        <v>17562</v>
      </c>
      <c r="V3825" t="s">
        <v>17560</v>
      </c>
      <c r="W3825" t="s">
        <v>851</v>
      </c>
      <c r="X3825" t="s">
        <v>17563</v>
      </c>
      <c r="Y3825">
        <v>0</v>
      </c>
      <c r="Z3825">
        <v>116</v>
      </c>
    </row>
    <row r="3826" spans="1:26">
      <c r="A3826" s="1">
        <v>3824</v>
      </c>
      <c r="B3826" t="str">
        <f>HYPERLINK("https://bugs.eclipse.org/bugs/show_bug.cgi?id=255060", "255060")</f>
        <v>255060</v>
      </c>
      <c r="C3826" t="s">
        <v>17564</v>
      </c>
      <c r="D3826" t="s">
        <v>10</v>
      </c>
      <c r="E3826" t="s">
        <v>15</v>
      </c>
      <c r="F3826" t="s">
        <v>26</v>
      </c>
      <c r="L3826" t="s">
        <v>17565</v>
      </c>
      <c r="Q3826" t="s">
        <v>17565</v>
      </c>
      <c r="T3826" t="s">
        <v>17566</v>
      </c>
      <c r="U3826" t="s">
        <v>17567</v>
      </c>
      <c r="V3826" t="s">
        <v>17565</v>
      </c>
      <c r="W3826" t="s">
        <v>143</v>
      </c>
      <c r="X3826" t="s">
        <v>17568</v>
      </c>
      <c r="Y3826">
        <v>0</v>
      </c>
      <c r="Z3826">
        <v>1</v>
      </c>
    </row>
    <row r="3827" spans="1:26">
      <c r="A3827" s="1">
        <v>3825</v>
      </c>
      <c r="B3827" t="str">
        <f>HYPERLINK("https://bugs.eclipse.org/bugs/show_bug.cgi?id=255123", "255123")</f>
        <v>255123</v>
      </c>
      <c r="C3827" t="s">
        <v>56</v>
      </c>
      <c r="D3827" t="s">
        <v>10</v>
      </c>
      <c r="E3827" t="s">
        <v>14</v>
      </c>
      <c r="F3827" t="s">
        <v>26</v>
      </c>
      <c r="L3827" t="s">
        <v>17569</v>
      </c>
      <c r="P3827" t="s">
        <v>17569</v>
      </c>
      <c r="T3827" t="s">
        <v>17570</v>
      </c>
      <c r="U3827" t="s">
        <v>17571</v>
      </c>
      <c r="V3827" t="s">
        <v>17569</v>
      </c>
      <c r="W3827" t="s">
        <v>851</v>
      </c>
      <c r="X3827" t="s">
        <v>17572</v>
      </c>
      <c r="Y3827">
        <v>1</v>
      </c>
      <c r="Z3827">
        <v>1247.958333333333</v>
      </c>
    </row>
    <row r="3828" spans="1:26">
      <c r="A3828" s="1">
        <v>3826</v>
      </c>
      <c r="B3828" t="str">
        <f>HYPERLINK("https://bugs.eclipse.org/bugs/show_bug.cgi?id=255484", "255484")</f>
        <v>255484</v>
      </c>
      <c r="C3828" t="s">
        <v>25</v>
      </c>
      <c r="D3828" t="s">
        <v>25</v>
      </c>
      <c r="F3828" t="s">
        <v>51</v>
      </c>
      <c r="G3828" t="s">
        <v>17573</v>
      </c>
      <c r="T3828" t="s">
        <v>17574</v>
      </c>
      <c r="U3828" t="s">
        <v>17575</v>
      </c>
      <c r="V3828" t="s">
        <v>17576</v>
      </c>
      <c r="W3828" t="s">
        <v>65</v>
      </c>
      <c r="X3828" t="s">
        <v>17577</v>
      </c>
      <c r="Y3828">
        <v>0</v>
      </c>
    </row>
    <row r="3829" spans="1:26">
      <c r="A3829" s="1">
        <v>3827</v>
      </c>
      <c r="B3829" t="str">
        <f>HYPERLINK("https://bugs.eclipse.org/bugs/show_bug.cgi?id=255897", "255897")</f>
        <v>255897</v>
      </c>
      <c r="C3829" t="s">
        <v>140</v>
      </c>
      <c r="D3829" t="s">
        <v>10</v>
      </c>
      <c r="E3829" t="s">
        <v>16</v>
      </c>
      <c r="F3829" t="s">
        <v>26</v>
      </c>
      <c r="G3829" t="s">
        <v>17578</v>
      </c>
      <c r="L3829" t="s">
        <v>17579</v>
      </c>
      <c r="R3829" t="s">
        <v>17579</v>
      </c>
      <c r="T3829" t="s">
        <v>17580</v>
      </c>
      <c r="U3829" t="s">
        <v>17581</v>
      </c>
      <c r="V3829" t="s">
        <v>17582</v>
      </c>
      <c r="W3829" t="s">
        <v>953</v>
      </c>
      <c r="X3829" t="s">
        <v>17583</v>
      </c>
      <c r="Y3829">
        <v>1</v>
      </c>
      <c r="Z3829">
        <v>1</v>
      </c>
    </row>
    <row r="3830" spans="1:26">
      <c r="A3830" s="1">
        <v>3828</v>
      </c>
      <c r="B3830" t="str">
        <f>HYPERLINK("https://bugs.eclipse.org/bugs/show_bug.cgi?id=255932", "255932")</f>
        <v>255932</v>
      </c>
      <c r="C3830" t="s">
        <v>35</v>
      </c>
      <c r="D3830" t="s">
        <v>11</v>
      </c>
      <c r="E3830" t="s">
        <v>12</v>
      </c>
      <c r="F3830" t="s">
        <v>150</v>
      </c>
      <c r="H3830" t="s">
        <v>17584</v>
      </c>
      <c r="L3830" t="s">
        <v>17585</v>
      </c>
      <c r="M3830" t="s">
        <v>17586</v>
      </c>
      <c r="N3830" t="s">
        <v>17585</v>
      </c>
      <c r="T3830" t="s">
        <v>17587</v>
      </c>
      <c r="U3830" t="s">
        <v>17588</v>
      </c>
      <c r="V3830" t="s">
        <v>17586</v>
      </c>
      <c r="W3830" t="s">
        <v>143</v>
      </c>
      <c r="X3830" t="s">
        <v>17589</v>
      </c>
      <c r="Y3830">
        <v>0</v>
      </c>
      <c r="Z3830">
        <v>109.9583333333333</v>
      </c>
    </row>
    <row r="3831" spans="1:26">
      <c r="A3831" s="1">
        <v>3829</v>
      </c>
      <c r="B3831" t="str">
        <f>HYPERLINK("https://bugs.eclipse.org/bugs/show_bug.cgi?id=256571", "256571")</f>
        <v>256571</v>
      </c>
      <c r="C3831" t="s">
        <v>149</v>
      </c>
      <c r="D3831" t="s">
        <v>10</v>
      </c>
      <c r="E3831" t="s">
        <v>12</v>
      </c>
      <c r="F3831" t="s">
        <v>26</v>
      </c>
      <c r="L3831" t="s">
        <v>17590</v>
      </c>
      <c r="N3831" t="s">
        <v>17590</v>
      </c>
      <c r="T3831" t="s">
        <v>17591</v>
      </c>
      <c r="U3831" t="s">
        <v>17592</v>
      </c>
      <c r="V3831" t="s">
        <v>17590</v>
      </c>
      <c r="W3831" t="s">
        <v>851</v>
      </c>
      <c r="X3831" t="s">
        <v>17593</v>
      </c>
      <c r="Y3831">
        <v>0</v>
      </c>
      <c r="Z3831">
        <v>1</v>
      </c>
    </row>
    <row r="3832" spans="1:26">
      <c r="A3832" s="1">
        <v>3830</v>
      </c>
      <c r="B3832" t="str">
        <f>HYPERLINK("https://bugs.eclipse.org/bugs/show_bug.cgi?id=256573", "256573")</f>
        <v>256573</v>
      </c>
      <c r="C3832" t="s">
        <v>149</v>
      </c>
      <c r="D3832" t="s">
        <v>10</v>
      </c>
      <c r="E3832" t="s">
        <v>12</v>
      </c>
      <c r="F3832" t="s">
        <v>26</v>
      </c>
      <c r="L3832" t="s">
        <v>17594</v>
      </c>
      <c r="N3832" t="s">
        <v>17594</v>
      </c>
      <c r="T3832" t="s">
        <v>17595</v>
      </c>
      <c r="U3832" t="s">
        <v>17596</v>
      </c>
      <c r="V3832" t="s">
        <v>17594</v>
      </c>
      <c r="W3832" t="s">
        <v>851</v>
      </c>
      <c r="X3832" t="s">
        <v>17597</v>
      </c>
      <c r="Y3832">
        <v>1</v>
      </c>
      <c r="Z3832">
        <v>1</v>
      </c>
    </row>
    <row r="3833" spans="1:26">
      <c r="A3833" s="1">
        <v>3831</v>
      </c>
      <c r="B3833" t="str">
        <f>HYPERLINK("https://bugs.eclipse.org/bugs/show_bug.cgi?id=256677", "256677")</f>
        <v>256677</v>
      </c>
      <c r="C3833" t="s">
        <v>35</v>
      </c>
      <c r="D3833" t="s">
        <v>11</v>
      </c>
      <c r="E3833" t="s">
        <v>12</v>
      </c>
      <c r="F3833" t="s">
        <v>26</v>
      </c>
      <c r="L3833" t="s">
        <v>17598</v>
      </c>
      <c r="M3833" t="s">
        <v>17599</v>
      </c>
      <c r="N3833" t="s">
        <v>17598</v>
      </c>
      <c r="T3833" t="s">
        <v>17600</v>
      </c>
      <c r="U3833" t="s">
        <v>17601</v>
      </c>
      <c r="V3833" t="s">
        <v>17599</v>
      </c>
      <c r="W3833" t="s">
        <v>9266</v>
      </c>
      <c r="X3833" t="s">
        <v>17602</v>
      </c>
      <c r="Y3833">
        <v>1</v>
      </c>
      <c r="Z3833">
        <v>4102</v>
      </c>
    </row>
    <row r="3834" spans="1:26">
      <c r="A3834" s="1">
        <v>3832</v>
      </c>
      <c r="B3834" t="str">
        <f>HYPERLINK("https://bugs.eclipse.org/bugs/show_bug.cgi?id=256818", "256818")</f>
        <v>256818</v>
      </c>
      <c r="C3834" t="s">
        <v>88</v>
      </c>
      <c r="D3834" t="s">
        <v>10</v>
      </c>
      <c r="E3834" t="s">
        <v>13</v>
      </c>
      <c r="F3834" t="s">
        <v>26</v>
      </c>
      <c r="L3834" t="s">
        <v>17603</v>
      </c>
      <c r="O3834" t="s">
        <v>17603</v>
      </c>
      <c r="T3834" t="s">
        <v>17604</v>
      </c>
      <c r="U3834" t="s">
        <v>17603</v>
      </c>
      <c r="V3834" t="s">
        <v>17603</v>
      </c>
      <c r="W3834" t="s">
        <v>143</v>
      </c>
      <c r="X3834" t="s">
        <v>17605</v>
      </c>
      <c r="Y3834">
        <v>1</v>
      </c>
      <c r="Z3834">
        <v>1</v>
      </c>
    </row>
    <row r="3835" spans="1:26">
      <c r="A3835" s="1">
        <v>3833</v>
      </c>
      <c r="B3835" t="str">
        <f>HYPERLINK("https://bugs.eclipse.org/bugs/show_bug.cgi?id=257510", "257510")</f>
        <v>257510</v>
      </c>
      <c r="C3835" t="s">
        <v>17606</v>
      </c>
      <c r="D3835" t="s">
        <v>192</v>
      </c>
      <c r="E3835" t="s">
        <v>15</v>
      </c>
      <c r="F3835" t="s">
        <v>26</v>
      </c>
      <c r="G3835" t="s">
        <v>17607</v>
      </c>
      <c r="Q3835" t="s">
        <v>17608</v>
      </c>
      <c r="T3835" t="s">
        <v>17609</v>
      </c>
      <c r="U3835" t="s">
        <v>17610</v>
      </c>
      <c r="V3835" t="s">
        <v>17608</v>
      </c>
      <c r="W3835" t="s">
        <v>17611</v>
      </c>
      <c r="X3835" t="s">
        <v>17612</v>
      </c>
      <c r="Y3835">
        <v>0</v>
      </c>
      <c r="Z3835">
        <v>2516.958333333333</v>
      </c>
    </row>
    <row r="3836" spans="1:26">
      <c r="A3836" s="1">
        <v>3834</v>
      </c>
      <c r="B3836" t="str">
        <f>HYPERLINK("https://bugs.eclipse.org/bugs/show_bug.cgi?id=257695", "257695")</f>
        <v>257695</v>
      </c>
      <c r="C3836" t="s">
        <v>35</v>
      </c>
      <c r="D3836" t="s">
        <v>11</v>
      </c>
      <c r="E3836" t="s">
        <v>12</v>
      </c>
      <c r="F3836" t="s">
        <v>26</v>
      </c>
      <c r="G3836" t="s">
        <v>17613</v>
      </c>
      <c r="L3836" t="s">
        <v>17614</v>
      </c>
      <c r="M3836" t="s">
        <v>17615</v>
      </c>
      <c r="N3836" t="s">
        <v>17614</v>
      </c>
      <c r="T3836" t="s">
        <v>17616</v>
      </c>
      <c r="U3836" t="s">
        <v>17617</v>
      </c>
      <c r="V3836" t="s">
        <v>17618</v>
      </c>
      <c r="W3836" t="s">
        <v>851</v>
      </c>
      <c r="X3836" t="s">
        <v>17619</v>
      </c>
      <c r="Y3836">
        <v>0</v>
      </c>
      <c r="Z3836">
        <v>90</v>
      </c>
    </row>
    <row r="3837" spans="1:26">
      <c r="A3837" s="1">
        <v>3835</v>
      </c>
      <c r="B3837" t="str">
        <f>HYPERLINK("https://bugs.eclipse.org/bugs/show_bug.cgi?id=257714", "257714")</f>
        <v>257714</v>
      </c>
      <c r="C3837" t="s">
        <v>191</v>
      </c>
      <c r="D3837" t="s">
        <v>192</v>
      </c>
      <c r="E3837" t="s">
        <v>14</v>
      </c>
      <c r="F3837" t="s">
        <v>26</v>
      </c>
      <c r="P3837" t="s">
        <v>17620</v>
      </c>
      <c r="T3837" t="s">
        <v>17621</v>
      </c>
      <c r="U3837" t="s">
        <v>17622</v>
      </c>
      <c r="V3837" t="s">
        <v>17620</v>
      </c>
      <c r="W3837" t="s">
        <v>65</v>
      </c>
      <c r="X3837" t="s">
        <v>17623</v>
      </c>
      <c r="Y3837">
        <v>0</v>
      </c>
      <c r="Z3837">
        <v>4130.958333333333</v>
      </c>
    </row>
    <row r="3838" spans="1:26">
      <c r="A3838" s="1">
        <v>3836</v>
      </c>
      <c r="B3838" t="str">
        <f>HYPERLINK("https://bugs.eclipse.org/bugs/show_bug.cgi?id=258377", "258377")</f>
        <v>258377</v>
      </c>
      <c r="C3838" t="s">
        <v>17624</v>
      </c>
      <c r="D3838" t="s">
        <v>10</v>
      </c>
      <c r="E3838" t="s">
        <v>15</v>
      </c>
      <c r="F3838" t="s">
        <v>26</v>
      </c>
      <c r="L3838" t="s">
        <v>17625</v>
      </c>
      <c r="Q3838" t="s">
        <v>17625</v>
      </c>
      <c r="T3838" t="s">
        <v>17626</v>
      </c>
      <c r="U3838" t="s">
        <v>17627</v>
      </c>
      <c r="V3838" t="s">
        <v>17625</v>
      </c>
      <c r="W3838" t="s">
        <v>143</v>
      </c>
      <c r="X3838" t="s">
        <v>17628</v>
      </c>
      <c r="Y3838">
        <v>1</v>
      </c>
      <c r="Z3838">
        <v>1</v>
      </c>
    </row>
    <row r="3839" spans="1:26">
      <c r="A3839" s="1">
        <v>3837</v>
      </c>
      <c r="B3839" t="str">
        <f>HYPERLINK("https://bugs.eclipse.org/bugs/show_bug.cgi?id=259064", "259064")</f>
        <v>259064</v>
      </c>
      <c r="C3839" t="s">
        <v>25</v>
      </c>
      <c r="D3839" t="s">
        <v>25</v>
      </c>
      <c r="F3839" t="s">
        <v>26</v>
      </c>
      <c r="T3839" t="s">
        <v>17629</v>
      </c>
      <c r="U3839" t="s">
        <v>17630</v>
      </c>
      <c r="V3839" t="s">
        <v>17630</v>
      </c>
      <c r="W3839" t="s">
        <v>143</v>
      </c>
      <c r="X3839" t="s">
        <v>17631</v>
      </c>
      <c r="Y3839">
        <v>0</v>
      </c>
    </row>
    <row r="3840" spans="1:26">
      <c r="A3840" s="1">
        <v>3838</v>
      </c>
      <c r="B3840" t="str">
        <f>HYPERLINK("https://bugs.eclipse.org/bugs/show_bug.cgi?id=259093", "259093")</f>
        <v>259093</v>
      </c>
      <c r="C3840" t="s">
        <v>149</v>
      </c>
      <c r="D3840" t="s">
        <v>10</v>
      </c>
      <c r="E3840" t="s">
        <v>12</v>
      </c>
      <c r="F3840" t="s">
        <v>26</v>
      </c>
      <c r="L3840" t="s">
        <v>17632</v>
      </c>
      <c r="N3840" t="s">
        <v>17632</v>
      </c>
      <c r="T3840" t="s">
        <v>17633</v>
      </c>
      <c r="U3840" t="s">
        <v>17634</v>
      </c>
      <c r="V3840" t="s">
        <v>17632</v>
      </c>
      <c r="W3840" t="s">
        <v>851</v>
      </c>
      <c r="X3840" t="s">
        <v>17635</v>
      </c>
      <c r="Y3840">
        <v>0</v>
      </c>
      <c r="Z3840">
        <v>0</v>
      </c>
    </row>
    <row r="3841" spans="1:26">
      <c r="A3841" s="1">
        <v>3839</v>
      </c>
      <c r="B3841" t="str">
        <f>HYPERLINK("https://bugs.eclipse.org/bugs/show_bug.cgi?id=259095", "259095")</f>
        <v>259095</v>
      </c>
      <c r="C3841" t="s">
        <v>149</v>
      </c>
      <c r="D3841" t="s">
        <v>10</v>
      </c>
      <c r="E3841" t="s">
        <v>12</v>
      </c>
      <c r="F3841" t="s">
        <v>26</v>
      </c>
      <c r="L3841" t="s">
        <v>17636</v>
      </c>
      <c r="N3841" t="s">
        <v>17636</v>
      </c>
      <c r="T3841" t="s">
        <v>17637</v>
      </c>
      <c r="U3841" t="s">
        <v>17638</v>
      </c>
      <c r="V3841" t="s">
        <v>17636</v>
      </c>
      <c r="W3841" t="s">
        <v>851</v>
      </c>
      <c r="X3841" t="s">
        <v>17639</v>
      </c>
      <c r="Y3841">
        <v>0</v>
      </c>
      <c r="Z3841">
        <v>20</v>
      </c>
    </row>
    <row r="3842" spans="1:26">
      <c r="A3842" s="1">
        <v>3840</v>
      </c>
      <c r="B3842" t="str">
        <f>HYPERLINK("https://bugs.eclipse.org/bugs/show_bug.cgi?id=259247", "259247")</f>
        <v>259247</v>
      </c>
      <c r="C3842" t="s">
        <v>35</v>
      </c>
      <c r="D3842" t="s">
        <v>11</v>
      </c>
      <c r="E3842" t="s">
        <v>12</v>
      </c>
      <c r="F3842" t="s">
        <v>26</v>
      </c>
      <c r="L3842" t="s">
        <v>17640</v>
      </c>
      <c r="M3842" t="s">
        <v>17641</v>
      </c>
      <c r="N3842" t="s">
        <v>17640</v>
      </c>
      <c r="T3842" t="s">
        <v>17642</v>
      </c>
      <c r="U3842" t="s">
        <v>17643</v>
      </c>
      <c r="V3842" t="s">
        <v>17641</v>
      </c>
      <c r="W3842" t="s">
        <v>9266</v>
      </c>
      <c r="X3842" t="s">
        <v>17644</v>
      </c>
      <c r="Y3842">
        <v>4</v>
      </c>
      <c r="Z3842">
        <v>4037</v>
      </c>
    </row>
    <row r="3843" spans="1:26">
      <c r="A3843" s="1">
        <v>3841</v>
      </c>
      <c r="B3843" t="str">
        <f>HYPERLINK("https://bugs.eclipse.org/bugs/show_bug.cgi?id=259413", "259413")</f>
        <v>259413</v>
      </c>
      <c r="C3843" t="s">
        <v>149</v>
      </c>
      <c r="D3843" t="s">
        <v>10</v>
      </c>
      <c r="E3843" t="s">
        <v>12</v>
      </c>
      <c r="F3843" t="s">
        <v>26</v>
      </c>
      <c r="G3843" t="s">
        <v>17645</v>
      </c>
      <c r="L3843" t="s">
        <v>17646</v>
      </c>
      <c r="N3843" t="s">
        <v>17646</v>
      </c>
      <c r="T3843" t="s">
        <v>17647</v>
      </c>
      <c r="U3843" t="s">
        <v>17648</v>
      </c>
      <c r="V3843" t="s">
        <v>17646</v>
      </c>
      <c r="W3843" t="s">
        <v>143</v>
      </c>
      <c r="X3843" t="s">
        <v>17649</v>
      </c>
      <c r="Y3843">
        <v>0</v>
      </c>
      <c r="Z3843">
        <v>34</v>
      </c>
    </row>
    <row r="3844" spans="1:26">
      <c r="A3844" s="1">
        <v>3842</v>
      </c>
      <c r="B3844" t="str">
        <f>HYPERLINK("https://bugs.eclipse.org/bugs/show_bug.cgi?id=259705", "259705")</f>
        <v>259705</v>
      </c>
      <c r="C3844" t="s">
        <v>25</v>
      </c>
      <c r="D3844" t="s">
        <v>25</v>
      </c>
      <c r="F3844" t="s">
        <v>26</v>
      </c>
      <c r="T3844" t="s">
        <v>17650</v>
      </c>
      <c r="U3844" t="s">
        <v>17651</v>
      </c>
      <c r="V3844" t="s">
        <v>17651</v>
      </c>
      <c r="W3844" t="s">
        <v>143</v>
      </c>
      <c r="X3844" t="s">
        <v>17652</v>
      </c>
      <c r="Y3844">
        <v>1</v>
      </c>
    </row>
    <row r="3845" spans="1:26">
      <c r="A3845" s="1">
        <v>3843</v>
      </c>
      <c r="B3845" t="str">
        <f>HYPERLINK("https://bugs.eclipse.org/bugs/show_bug.cgi?id=259892", "259892")</f>
        <v>259892</v>
      </c>
      <c r="C3845" t="s">
        <v>191</v>
      </c>
      <c r="D3845" t="s">
        <v>192</v>
      </c>
      <c r="E3845" t="s">
        <v>14</v>
      </c>
      <c r="F3845" t="s">
        <v>26</v>
      </c>
      <c r="P3845" t="s">
        <v>17653</v>
      </c>
      <c r="T3845" t="s">
        <v>17654</v>
      </c>
      <c r="U3845" t="s">
        <v>17655</v>
      </c>
      <c r="V3845" t="s">
        <v>17653</v>
      </c>
      <c r="W3845" t="s">
        <v>65</v>
      </c>
      <c r="X3845" t="s">
        <v>17656</v>
      </c>
      <c r="Y3845">
        <v>2</v>
      </c>
      <c r="Z3845">
        <v>4044</v>
      </c>
    </row>
    <row r="3846" spans="1:26">
      <c r="A3846" s="1">
        <v>3844</v>
      </c>
      <c r="B3846" t="str">
        <f>HYPERLINK("https://bugs.eclipse.org/bugs/show_bug.cgi?id=260318", "260318")</f>
        <v>260318</v>
      </c>
      <c r="C3846" t="s">
        <v>17657</v>
      </c>
      <c r="D3846" t="s">
        <v>11</v>
      </c>
      <c r="E3846" t="s">
        <v>15</v>
      </c>
      <c r="F3846" t="s">
        <v>26</v>
      </c>
      <c r="L3846" t="s">
        <v>17658</v>
      </c>
      <c r="M3846" t="s">
        <v>17659</v>
      </c>
      <c r="Q3846" t="s">
        <v>17658</v>
      </c>
      <c r="T3846" t="s">
        <v>17660</v>
      </c>
      <c r="U3846" t="s">
        <v>17661</v>
      </c>
      <c r="V3846" t="s">
        <v>17659</v>
      </c>
      <c r="W3846" t="s">
        <v>143</v>
      </c>
      <c r="X3846" t="s">
        <v>17662</v>
      </c>
      <c r="Y3846">
        <v>1</v>
      </c>
      <c r="Z3846">
        <v>20</v>
      </c>
    </row>
    <row r="3847" spans="1:26">
      <c r="A3847" s="1">
        <v>3845</v>
      </c>
      <c r="B3847" t="str">
        <f>HYPERLINK("https://bugs.eclipse.org/bugs/show_bug.cgi?id=260615", "260615")</f>
        <v>260615</v>
      </c>
      <c r="C3847" t="s">
        <v>140</v>
      </c>
      <c r="D3847" t="s">
        <v>10</v>
      </c>
      <c r="E3847" t="s">
        <v>16</v>
      </c>
      <c r="F3847" t="s">
        <v>26</v>
      </c>
      <c r="L3847" t="s">
        <v>17663</v>
      </c>
      <c r="R3847" t="s">
        <v>17663</v>
      </c>
      <c r="T3847" t="s">
        <v>17664</v>
      </c>
      <c r="U3847" t="s">
        <v>17663</v>
      </c>
      <c r="V3847" t="s">
        <v>17663</v>
      </c>
      <c r="W3847" t="s">
        <v>143</v>
      </c>
      <c r="X3847" t="s">
        <v>17665</v>
      </c>
      <c r="Y3847">
        <v>2</v>
      </c>
      <c r="Z3847">
        <v>2</v>
      </c>
    </row>
    <row r="3848" spans="1:26">
      <c r="A3848" s="1">
        <v>3846</v>
      </c>
      <c r="B3848" t="str">
        <f>HYPERLINK("https://bugs.eclipse.org/bugs/show_bug.cgi?id=260621", "260621")</f>
        <v>260621</v>
      </c>
      <c r="C3848" t="s">
        <v>149</v>
      </c>
      <c r="D3848" t="s">
        <v>10</v>
      </c>
      <c r="E3848" t="s">
        <v>12</v>
      </c>
      <c r="F3848" t="s">
        <v>26</v>
      </c>
      <c r="L3848" t="s">
        <v>17666</v>
      </c>
      <c r="N3848" t="s">
        <v>17666</v>
      </c>
      <c r="T3848" t="s">
        <v>17667</v>
      </c>
      <c r="U3848" t="s">
        <v>17668</v>
      </c>
      <c r="V3848" t="s">
        <v>17666</v>
      </c>
      <c r="W3848" t="s">
        <v>143</v>
      </c>
      <c r="X3848" t="s">
        <v>17669</v>
      </c>
      <c r="Y3848">
        <v>1</v>
      </c>
      <c r="Z3848">
        <v>2</v>
      </c>
    </row>
    <row r="3849" spans="1:26">
      <c r="A3849" s="1">
        <v>3847</v>
      </c>
      <c r="B3849" t="str">
        <f>HYPERLINK("https://bugs.eclipse.org/bugs/show_bug.cgi?id=260994", "260994")</f>
        <v>260994</v>
      </c>
      <c r="C3849" t="s">
        <v>7302</v>
      </c>
      <c r="D3849" t="s">
        <v>10</v>
      </c>
      <c r="E3849" t="s">
        <v>15</v>
      </c>
      <c r="F3849" t="s">
        <v>26</v>
      </c>
      <c r="L3849" t="s">
        <v>17670</v>
      </c>
      <c r="Q3849" t="s">
        <v>17670</v>
      </c>
      <c r="T3849" t="s">
        <v>17671</v>
      </c>
      <c r="U3849" t="s">
        <v>17670</v>
      </c>
      <c r="V3849" t="s">
        <v>17670</v>
      </c>
      <c r="W3849" t="s">
        <v>851</v>
      </c>
      <c r="X3849" t="s">
        <v>17672</v>
      </c>
      <c r="Y3849">
        <v>0</v>
      </c>
      <c r="Z3849">
        <v>0</v>
      </c>
    </row>
    <row r="3850" spans="1:26">
      <c r="A3850" s="1">
        <v>3848</v>
      </c>
      <c r="B3850" t="str">
        <f>HYPERLINK("https://bugs.eclipse.org/bugs/show_bug.cgi?id=261002", "261002")</f>
        <v>261002</v>
      </c>
      <c r="C3850" t="s">
        <v>149</v>
      </c>
      <c r="D3850" t="s">
        <v>10</v>
      </c>
      <c r="E3850" t="s">
        <v>12</v>
      </c>
      <c r="F3850" t="s">
        <v>26</v>
      </c>
      <c r="L3850" t="s">
        <v>17673</v>
      </c>
      <c r="N3850" t="s">
        <v>17673</v>
      </c>
      <c r="T3850" t="s">
        <v>17674</v>
      </c>
      <c r="U3850" t="s">
        <v>17675</v>
      </c>
      <c r="V3850" t="s">
        <v>17673</v>
      </c>
      <c r="W3850" t="s">
        <v>851</v>
      </c>
      <c r="X3850" t="s">
        <v>17676</v>
      </c>
      <c r="Y3850">
        <v>0</v>
      </c>
      <c r="Z3850">
        <v>0</v>
      </c>
    </row>
    <row r="3851" spans="1:26">
      <c r="A3851" s="1">
        <v>3849</v>
      </c>
      <c r="B3851" t="str">
        <f>HYPERLINK("https://bugs.eclipse.org/bugs/show_bug.cgi?id=261003", "261003")</f>
        <v>261003</v>
      </c>
      <c r="C3851" t="s">
        <v>149</v>
      </c>
      <c r="D3851" t="s">
        <v>10</v>
      </c>
      <c r="E3851" t="s">
        <v>12</v>
      </c>
      <c r="F3851" t="s">
        <v>26</v>
      </c>
      <c r="L3851" t="s">
        <v>17677</v>
      </c>
      <c r="N3851" t="s">
        <v>17677</v>
      </c>
      <c r="T3851" t="s">
        <v>17678</v>
      </c>
      <c r="U3851" t="s">
        <v>17679</v>
      </c>
      <c r="V3851" t="s">
        <v>17677</v>
      </c>
      <c r="W3851" t="s">
        <v>851</v>
      </c>
      <c r="X3851" t="s">
        <v>17680</v>
      </c>
      <c r="Y3851">
        <v>0</v>
      </c>
      <c r="Z3851">
        <v>0</v>
      </c>
    </row>
    <row r="3852" spans="1:26">
      <c r="A3852" s="1">
        <v>3850</v>
      </c>
      <c r="B3852" t="str">
        <f>HYPERLINK("https://bugs.eclipse.org/bugs/show_bug.cgi?id=261060", "261060")</f>
        <v>261060</v>
      </c>
      <c r="C3852" t="s">
        <v>35</v>
      </c>
      <c r="D3852" t="s">
        <v>11</v>
      </c>
      <c r="E3852" t="s">
        <v>12</v>
      </c>
      <c r="F3852" t="s">
        <v>26</v>
      </c>
      <c r="H3852" t="s">
        <v>17681</v>
      </c>
      <c r="L3852" t="s">
        <v>17682</v>
      </c>
      <c r="M3852" t="s">
        <v>17683</v>
      </c>
      <c r="N3852" t="s">
        <v>17682</v>
      </c>
      <c r="T3852" t="s">
        <v>17684</v>
      </c>
      <c r="U3852" t="s">
        <v>17685</v>
      </c>
      <c r="V3852" t="s">
        <v>17686</v>
      </c>
      <c r="W3852" t="s">
        <v>851</v>
      </c>
      <c r="X3852" t="s">
        <v>17687</v>
      </c>
      <c r="Y3852">
        <v>0</v>
      </c>
      <c r="Z3852">
        <v>152.95833333333329</v>
      </c>
    </row>
    <row r="3853" spans="1:26">
      <c r="A3853" s="1">
        <v>3851</v>
      </c>
      <c r="B3853" t="str">
        <f>HYPERLINK("https://bugs.eclipse.org/bugs/show_bug.cgi?id=262393", "262393")</f>
        <v>262393</v>
      </c>
      <c r="C3853" t="s">
        <v>35</v>
      </c>
      <c r="D3853" t="s">
        <v>11</v>
      </c>
      <c r="E3853" t="s">
        <v>12</v>
      </c>
      <c r="F3853" t="s">
        <v>26</v>
      </c>
      <c r="L3853" t="s">
        <v>17688</v>
      </c>
      <c r="M3853" t="s">
        <v>17689</v>
      </c>
      <c r="N3853" t="s">
        <v>17688</v>
      </c>
      <c r="T3853" t="s">
        <v>17690</v>
      </c>
      <c r="U3853" t="s">
        <v>17691</v>
      </c>
      <c r="V3853" t="s">
        <v>17689</v>
      </c>
      <c r="W3853" t="s">
        <v>143</v>
      </c>
      <c r="X3853" t="s">
        <v>17692</v>
      </c>
      <c r="Y3853">
        <v>0</v>
      </c>
      <c r="Z3853">
        <v>4</v>
      </c>
    </row>
    <row r="3854" spans="1:26">
      <c r="A3854" s="1">
        <v>3852</v>
      </c>
      <c r="B3854" t="str">
        <f>HYPERLINK("https://bugs.eclipse.org/bugs/show_bug.cgi?id=262522", "262522")</f>
        <v>262522</v>
      </c>
      <c r="C3854" t="s">
        <v>1023</v>
      </c>
      <c r="D3854" t="s">
        <v>10</v>
      </c>
      <c r="E3854" t="s">
        <v>15</v>
      </c>
      <c r="F3854" t="s">
        <v>26</v>
      </c>
      <c r="L3854" t="s">
        <v>850</v>
      </c>
      <c r="Q3854" t="s">
        <v>850</v>
      </c>
      <c r="T3854" t="s">
        <v>17693</v>
      </c>
      <c r="U3854" t="s">
        <v>850</v>
      </c>
      <c r="V3854" t="s">
        <v>850</v>
      </c>
      <c r="W3854" t="s">
        <v>851</v>
      </c>
      <c r="X3854" t="s">
        <v>17694</v>
      </c>
      <c r="Y3854">
        <v>0</v>
      </c>
      <c r="Z3854">
        <v>0</v>
      </c>
    </row>
    <row r="3855" spans="1:26">
      <c r="A3855" s="1">
        <v>3853</v>
      </c>
      <c r="B3855" t="str">
        <f>HYPERLINK("https://bugs.eclipse.org/bugs/show_bug.cgi?id=262768", "262768")</f>
        <v>262768</v>
      </c>
      <c r="C3855" t="s">
        <v>149</v>
      </c>
      <c r="D3855" t="s">
        <v>10</v>
      </c>
      <c r="E3855" t="s">
        <v>12</v>
      </c>
      <c r="F3855" t="s">
        <v>26</v>
      </c>
      <c r="L3855" t="s">
        <v>17695</v>
      </c>
      <c r="N3855" t="s">
        <v>17695</v>
      </c>
      <c r="T3855" t="s">
        <v>17696</v>
      </c>
      <c r="U3855" t="s">
        <v>17697</v>
      </c>
      <c r="V3855" t="s">
        <v>17698</v>
      </c>
      <c r="W3855" t="s">
        <v>851</v>
      </c>
      <c r="X3855" t="s">
        <v>17699</v>
      </c>
      <c r="Y3855">
        <v>0</v>
      </c>
      <c r="Z3855">
        <v>21</v>
      </c>
    </row>
    <row r="3856" spans="1:26">
      <c r="A3856" s="1">
        <v>3854</v>
      </c>
      <c r="B3856" t="str">
        <f>HYPERLINK("https://bugs.eclipse.org/bugs/show_bug.cgi?id=262820", "262820")</f>
        <v>262820</v>
      </c>
      <c r="C3856" t="s">
        <v>17700</v>
      </c>
      <c r="D3856" t="s">
        <v>10</v>
      </c>
      <c r="E3856" t="s">
        <v>17701</v>
      </c>
      <c r="F3856" t="s">
        <v>26</v>
      </c>
      <c r="L3856" t="s">
        <v>17702</v>
      </c>
      <c r="T3856" t="s">
        <v>17703</v>
      </c>
      <c r="U3856" t="s">
        <v>17704</v>
      </c>
      <c r="V3856" t="s">
        <v>17705</v>
      </c>
      <c r="W3856" t="s">
        <v>4846</v>
      </c>
      <c r="X3856" t="s">
        <v>17706</v>
      </c>
      <c r="Y3856">
        <v>0</v>
      </c>
      <c r="Z3856">
        <v>2671.958333333333</v>
      </c>
    </row>
    <row r="3857" spans="1:26">
      <c r="A3857" s="1">
        <v>3855</v>
      </c>
      <c r="B3857" t="str">
        <f>HYPERLINK("https://bugs.eclipse.org/bugs/show_bug.cgi?id=263602", "263602")</f>
        <v>263602</v>
      </c>
      <c r="C3857" t="s">
        <v>17707</v>
      </c>
      <c r="D3857" t="s">
        <v>10</v>
      </c>
      <c r="E3857" t="s">
        <v>15</v>
      </c>
      <c r="F3857" t="s">
        <v>26</v>
      </c>
      <c r="L3857" t="s">
        <v>17708</v>
      </c>
      <c r="Q3857" t="s">
        <v>17708</v>
      </c>
      <c r="R3857" t="s">
        <v>17709</v>
      </c>
      <c r="S3857" t="s">
        <v>17710</v>
      </c>
      <c r="T3857" t="s">
        <v>17711</v>
      </c>
      <c r="U3857" t="s">
        <v>17712</v>
      </c>
      <c r="V3857" t="s">
        <v>17708</v>
      </c>
      <c r="W3857" t="s">
        <v>143</v>
      </c>
      <c r="X3857" t="s">
        <v>17713</v>
      </c>
      <c r="Y3857">
        <v>0</v>
      </c>
      <c r="Z3857">
        <v>5</v>
      </c>
    </row>
    <row r="3858" spans="1:26">
      <c r="A3858" s="1">
        <v>3856</v>
      </c>
      <c r="B3858" t="str">
        <f>HYPERLINK("https://bugs.eclipse.org/bugs/show_bug.cgi?id=263619", "263619")</f>
        <v>263619</v>
      </c>
      <c r="C3858" t="s">
        <v>191</v>
      </c>
      <c r="D3858" t="s">
        <v>192</v>
      </c>
      <c r="E3858" t="s">
        <v>14</v>
      </c>
      <c r="F3858" t="s">
        <v>26</v>
      </c>
      <c r="T3858" t="s">
        <v>17714</v>
      </c>
      <c r="U3858" t="s">
        <v>17715</v>
      </c>
      <c r="V3858" t="s">
        <v>17716</v>
      </c>
      <c r="W3858" t="s">
        <v>65</v>
      </c>
      <c r="X3858" t="s">
        <v>17717</v>
      </c>
      <c r="Y3858">
        <v>0</v>
      </c>
      <c r="Z3858">
        <v>3867.958333333333</v>
      </c>
    </row>
    <row r="3859" spans="1:26">
      <c r="A3859" s="1">
        <v>3857</v>
      </c>
      <c r="B3859" t="str">
        <f>HYPERLINK("https://bugs.eclipse.org/bugs/show_bug.cgi?id=263784", "263784")</f>
        <v>263784</v>
      </c>
      <c r="C3859" t="s">
        <v>35</v>
      </c>
      <c r="D3859" t="s">
        <v>11</v>
      </c>
      <c r="E3859" t="s">
        <v>12</v>
      </c>
      <c r="F3859" t="s">
        <v>26</v>
      </c>
      <c r="G3859" t="s">
        <v>17718</v>
      </c>
      <c r="L3859" t="s">
        <v>17719</v>
      </c>
      <c r="M3859" t="s">
        <v>17720</v>
      </c>
      <c r="N3859" t="s">
        <v>17719</v>
      </c>
      <c r="T3859" t="s">
        <v>17721</v>
      </c>
      <c r="U3859" t="s">
        <v>17722</v>
      </c>
      <c r="V3859" t="s">
        <v>17723</v>
      </c>
      <c r="W3859" t="s">
        <v>143</v>
      </c>
      <c r="X3859" t="s">
        <v>17724</v>
      </c>
      <c r="Y3859">
        <v>0</v>
      </c>
      <c r="Z3859">
        <v>6</v>
      </c>
    </row>
    <row r="3860" spans="1:26">
      <c r="A3860" s="1">
        <v>3858</v>
      </c>
      <c r="B3860" t="str">
        <f>HYPERLINK("https://bugs.eclipse.org/bugs/show_bug.cgi?id=263889", "263889")</f>
        <v>263889</v>
      </c>
      <c r="C3860" t="s">
        <v>25</v>
      </c>
      <c r="D3860" t="s">
        <v>25</v>
      </c>
      <c r="F3860" t="s">
        <v>26</v>
      </c>
      <c r="T3860" t="s">
        <v>17725</v>
      </c>
      <c r="U3860" t="s">
        <v>17726</v>
      </c>
      <c r="V3860" t="s">
        <v>17727</v>
      </c>
      <c r="W3860" t="s">
        <v>65</v>
      </c>
      <c r="X3860" t="s">
        <v>17728</v>
      </c>
      <c r="Y3860">
        <v>1</v>
      </c>
    </row>
    <row r="3861" spans="1:26">
      <c r="A3861" s="1">
        <v>3859</v>
      </c>
      <c r="B3861" t="str">
        <f>HYPERLINK("https://bugs.eclipse.org/bugs/show_bug.cgi?id=263997", "263997")</f>
        <v>263997</v>
      </c>
      <c r="C3861" t="s">
        <v>17729</v>
      </c>
      <c r="D3861" t="s">
        <v>10</v>
      </c>
      <c r="E3861" t="s">
        <v>15</v>
      </c>
      <c r="F3861" t="s">
        <v>26</v>
      </c>
      <c r="L3861" t="s">
        <v>17730</v>
      </c>
      <c r="Q3861" t="s">
        <v>17730</v>
      </c>
      <c r="T3861" t="s">
        <v>17731</v>
      </c>
      <c r="U3861" t="s">
        <v>17732</v>
      </c>
      <c r="V3861" t="s">
        <v>17730</v>
      </c>
      <c r="W3861" t="s">
        <v>143</v>
      </c>
      <c r="X3861" t="s">
        <v>17733</v>
      </c>
      <c r="Y3861">
        <v>2</v>
      </c>
      <c r="Z3861">
        <v>3</v>
      </c>
    </row>
    <row r="3862" spans="1:26">
      <c r="A3862" s="1">
        <v>3860</v>
      </c>
      <c r="B3862" t="str">
        <f>HYPERLINK("https://bugs.eclipse.org/bugs/show_bug.cgi?id=264184", "264184")</f>
        <v>264184</v>
      </c>
      <c r="C3862" t="s">
        <v>17734</v>
      </c>
      <c r="D3862" t="s">
        <v>10</v>
      </c>
      <c r="E3862" t="s">
        <v>15</v>
      </c>
      <c r="F3862" t="s">
        <v>26</v>
      </c>
      <c r="L3862" t="s">
        <v>17735</v>
      </c>
      <c r="Q3862" t="s">
        <v>17735</v>
      </c>
      <c r="T3862" t="s">
        <v>17736</v>
      </c>
      <c r="U3862" t="s">
        <v>17735</v>
      </c>
      <c r="V3862" t="s">
        <v>17735</v>
      </c>
      <c r="W3862" t="s">
        <v>143</v>
      </c>
      <c r="X3862" t="s">
        <v>17737</v>
      </c>
      <c r="Y3862">
        <v>0</v>
      </c>
      <c r="Z3862">
        <v>0</v>
      </c>
    </row>
    <row r="3863" spans="1:26">
      <c r="A3863" s="1">
        <v>3861</v>
      </c>
      <c r="B3863" t="str">
        <f>HYPERLINK("https://bugs.eclipse.org/bugs/show_bug.cgi?id=264548", "264548")</f>
        <v>264548</v>
      </c>
      <c r="C3863" t="s">
        <v>17738</v>
      </c>
      <c r="D3863" t="s">
        <v>10</v>
      </c>
      <c r="E3863" t="s">
        <v>15</v>
      </c>
      <c r="F3863" t="s">
        <v>26</v>
      </c>
      <c r="L3863" t="s">
        <v>17723</v>
      </c>
      <c r="Q3863" t="s">
        <v>17723</v>
      </c>
      <c r="T3863" t="s">
        <v>17739</v>
      </c>
      <c r="U3863" t="s">
        <v>17723</v>
      </c>
      <c r="V3863" t="s">
        <v>17723</v>
      </c>
      <c r="W3863" t="s">
        <v>143</v>
      </c>
      <c r="X3863" t="s">
        <v>17740</v>
      </c>
      <c r="Y3863">
        <v>0</v>
      </c>
      <c r="Z3863">
        <v>0</v>
      </c>
    </row>
    <row r="3864" spans="1:26">
      <c r="A3864" s="1">
        <v>3862</v>
      </c>
      <c r="B3864" t="str">
        <f>HYPERLINK("https://bugs.eclipse.org/bugs/show_bug.cgi?id=265191", "265191")</f>
        <v>265191</v>
      </c>
      <c r="C3864" t="s">
        <v>149</v>
      </c>
      <c r="D3864" t="s">
        <v>10</v>
      </c>
      <c r="E3864" t="s">
        <v>12</v>
      </c>
      <c r="F3864" t="s">
        <v>26</v>
      </c>
      <c r="H3864" t="s">
        <v>17741</v>
      </c>
      <c r="L3864" t="s">
        <v>17742</v>
      </c>
      <c r="N3864" t="s">
        <v>17742</v>
      </c>
      <c r="T3864" t="s">
        <v>17743</v>
      </c>
      <c r="U3864" t="s">
        <v>17744</v>
      </c>
      <c r="V3864" t="s">
        <v>17742</v>
      </c>
      <c r="W3864" t="s">
        <v>851</v>
      </c>
      <c r="X3864" t="s">
        <v>17745</v>
      </c>
      <c r="Y3864">
        <v>1</v>
      </c>
      <c r="Z3864">
        <v>2</v>
      </c>
    </row>
    <row r="3865" spans="1:26">
      <c r="A3865" s="1">
        <v>3863</v>
      </c>
      <c r="B3865" t="str">
        <f>HYPERLINK("https://bugs.eclipse.org/bugs/show_bug.cgi?id=265448", "265448")</f>
        <v>265448</v>
      </c>
      <c r="C3865" t="s">
        <v>149</v>
      </c>
      <c r="D3865" t="s">
        <v>10</v>
      </c>
      <c r="E3865" t="s">
        <v>12</v>
      </c>
      <c r="F3865" t="s">
        <v>26</v>
      </c>
      <c r="L3865" t="s">
        <v>17746</v>
      </c>
      <c r="N3865" t="s">
        <v>17746</v>
      </c>
      <c r="T3865" t="s">
        <v>17747</v>
      </c>
      <c r="U3865" t="s">
        <v>17748</v>
      </c>
      <c r="V3865" t="s">
        <v>17746</v>
      </c>
      <c r="W3865" t="s">
        <v>851</v>
      </c>
      <c r="X3865" t="s">
        <v>17749</v>
      </c>
      <c r="Y3865">
        <v>0</v>
      </c>
      <c r="Z3865">
        <v>4</v>
      </c>
    </row>
    <row r="3866" spans="1:26">
      <c r="A3866" s="1">
        <v>3864</v>
      </c>
      <c r="B3866" t="str">
        <f>HYPERLINK("https://bugs.eclipse.org/bugs/show_bug.cgi?id=265576", "265576")</f>
        <v>265576</v>
      </c>
      <c r="C3866" t="s">
        <v>17750</v>
      </c>
      <c r="D3866" t="s">
        <v>10</v>
      </c>
      <c r="E3866" t="s">
        <v>15</v>
      </c>
      <c r="F3866" t="s">
        <v>26</v>
      </c>
      <c r="L3866" t="s">
        <v>17751</v>
      </c>
      <c r="Q3866" t="s">
        <v>17751</v>
      </c>
      <c r="T3866" t="s">
        <v>17752</v>
      </c>
      <c r="U3866" t="s">
        <v>17753</v>
      </c>
      <c r="V3866" t="s">
        <v>17751</v>
      </c>
      <c r="W3866" t="s">
        <v>143</v>
      </c>
      <c r="X3866" t="s">
        <v>17754</v>
      </c>
      <c r="Y3866">
        <v>0</v>
      </c>
      <c r="Z3866">
        <v>1</v>
      </c>
    </row>
    <row r="3867" spans="1:26">
      <c r="A3867" s="1">
        <v>3865</v>
      </c>
      <c r="B3867" t="str">
        <f>HYPERLINK("https://bugs.eclipse.org/bugs/show_bug.cgi?id=266092", "266092")</f>
        <v>266092</v>
      </c>
      <c r="C3867" t="s">
        <v>149</v>
      </c>
      <c r="D3867" t="s">
        <v>10</v>
      </c>
      <c r="E3867" t="s">
        <v>12</v>
      </c>
      <c r="F3867" t="s">
        <v>26</v>
      </c>
      <c r="L3867" t="s">
        <v>17755</v>
      </c>
      <c r="N3867" t="s">
        <v>17755</v>
      </c>
      <c r="T3867" t="s">
        <v>17756</v>
      </c>
      <c r="U3867" t="s">
        <v>17757</v>
      </c>
      <c r="V3867" t="s">
        <v>17755</v>
      </c>
      <c r="W3867" t="s">
        <v>143</v>
      </c>
      <c r="X3867" t="s">
        <v>17758</v>
      </c>
      <c r="Y3867">
        <v>0</v>
      </c>
      <c r="Z3867">
        <v>0</v>
      </c>
    </row>
    <row r="3868" spans="1:26">
      <c r="A3868" s="1">
        <v>3866</v>
      </c>
      <c r="B3868" t="str">
        <f>HYPERLINK("https://bugs.eclipse.org/bugs/show_bug.cgi?id=266094", "266094")</f>
        <v>266094</v>
      </c>
      <c r="C3868" t="s">
        <v>35</v>
      </c>
      <c r="D3868" t="s">
        <v>11</v>
      </c>
      <c r="E3868" t="s">
        <v>12</v>
      </c>
      <c r="F3868" t="s">
        <v>150</v>
      </c>
      <c r="L3868" t="s">
        <v>17759</v>
      </c>
      <c r="M3868" t="s">
        <v>17760</v>
      </c>
      <c r="N3868" t="s">
        <v>17759</v>
      </c>
      <c r="T3868" t="s">
        <v>17761</v>
      </c>
      <c r="U3868" t="s">
        <v>17762</v>
      </c>
      <c r="V3868" t="s">
        <v>17760</v>
      </c>
      <c r="W3868" t="s">
        <v>14114</v>
      </c>
      <c r="X3868" t="s">
        <v>17763</v>
      </c>
      <c r="Y3868">
        <v>0</v>
      </c>
      <c r="Z3868">
        <v>286</v>
      </c>
    </row>
    <row r="3869" spans="1:26">
      <c r="A3869" s="1">
        <v>3867</v>
      </c>
      <c r="B3869" t="str">
        <f>HYPERLINK("https://bugs.eclipse.org/bugs/show_bug.cgi?id=266099", "266099")</f>
        <v>266099</v>
      </c>
      <c r="C3869" t="s">
        <v>17764</v>
      </c>
      <c r="D3869" t="s">
        <v>10</v>
      </c>
      <c r="E3869" t="s">
        <v>15</v>
      </c>
      <c r="F3869" t="s">
        <v>26</v>
      </c>
      <c r="L3869" t="s">
        <v>17765</v>
      </c>
      <c r="Q3869" t="s">
        <v>17765</v>
      </c>
      <c r="T3869" t="s">
        <v>17766</v>
      </c>
      <c r="U3869" t="s">
        <v>17765</v>
      </c>
      <c r="V3869" t="s">
        <v>17765</v>
      </c>
      <c r="W3869" t="s">
        <v>143</v>
      </c>
      <c r="X3869" t="s">
        <v>17767</v>
      </c>
      <c r="Y3869">
        <v>0</v>
      </c>
      <c r="Z3869">
        <v>0</v>
      </c>
    </row>
    <row r="3870" spans="1:26">
      <c r="A3870" s="1">
        <v>3868</v>
      </c>
      <c r="B3870" t="str">
        <f>HYPERLINK("https://bugs.eclipse.org/bugs/show_bug.cgi?id=266247", "266247")</f>
        <v>266247</v>
      </c>
      <c r="C3870" t="s">
        <v>56</v>
      </c>
      <c r="D3870" t="s">
        <v>10</v>
      </c>
      <c r="E3870" t="s">
        <v>14</v>
      </c>
      <c r="F3870" t="s">
        <v>26</v>
      </c>
      <c r="L3870" t="s">
        <v>17768</v>
      </c>
      <c r="P3870" t="s">
        <v>17768</v>
      </c>
      <c r="T3870" t="s">
        <v>17769</v>
      </c>
      <c r="U3870" t="s">
        <v>17770</v>
      </c>
      <c r="V3870" t="s">
        <v>17768</v>
      </c>
      <c r="W3870" t="s">
        <v>851</v>
      </c>
      <c r="X3870" t="s">
        <v>17771</v>
      </c>
      <c r="Y3870">
        <v>0</v>
      </c>
      <c r="Z3870">
        <v>2</v>
      </c>
    </row>
    <row r="3871" spans="1:26">
      <c r="A3871" s="1">
        <v>3869</v>
      </c>
      <c r="B3871" t="str">
        <f>HYPERLINK("https://bugs.eclipse.org/bugs/show_bug.cgi?id=266487", "266487")</f>
        <v>266487</v>
      </c>
      <c r="C3871" t="s">
        <v>140</v>
      </c>
      <c r="D3871" t="s">
        <v>10</v>
      </c>
      <c r="E3871" t="s">
        <v>16</v>
      </c>
      <c r="F3871" t="s">
        <v>26</v>
      </c>
      <c r="L3871" t="s">
        <v>17772</v>
      </c>
      <c r="R3871" t="s">
        <v>17772</v>
      </c>
      <c r="S3871" t="s">
        <v>17773</v>
      </c>
      <c r="T3871" t="s">
        <v>17774</v>
      </c>
      <c r="U3871" t="s">
        <v>17775</v>
      </c>
      <c r="V3871" t="s">
        <v>17772</v>
      </c>
      <c r="W3871" t="s">
        <v>851</v>
      </c>
      <c r="X3871" t="s">
        <v>17776</v>
      </c>
      <c r="Y3871">
        <v>0</v>
      </c>
      <c r="Z3871">
        <v>81.958333333333329</v>
      </c>
    </row>
    <row r="3872" spans="1:26">
      <c r="A3872" s="1">
        <v>3870</v>
      </c>
      <c r="B3872" t="str">
        <f>HYPERLINK("https://bugs.eclipse.org/bugs/show_bug.cgi?id=266669", "266669")</f>
        <v>266669</v>
      </c>
      <c r="C3872" t="s">
        <v>17777</v>
      </c>
      <c r="D3872" t="s">
        <v>10</v>
      </c>
      <c r="E3872" t="s">
        <v>15</v>
      </c>
      <c r="F3872" t="s">
        <v>26</v>
      </c>
      <c r="L3872" t="s">
        <v>17778</v>
      </c>
      <c r="Q3872" t="s">
        <v>17778</v>
      </c>
      <c r="T3872" t="s">
        <v>17779</v>
      </c>
      <c r="U3872" t="s">
        <v>17778</v>
      </c>
      <c r="V3872" t="s">
        <v>17778</v>
      </c>
      <c r="W3872" t="s">
        <v>851</v>
      </c>
      <c r="X3872" t="s">
        <v>17780</v>
      </c>
      <c r="Y3872">
        <v>0</v>
      </c>
      <c r="Z3872">
        <v>0</v>
      </c>
    </row>
    <row r="3873" spans="1:26">
      <c r="A3873" s="1">
        <v>3871</v>
      </c>
      <c r="B3873" t="str">
        <f>HYPERLINK("https://bugs.eclipse.org/bugs/show_bug.cgi?id=266684", "266684")</f>
        <v>266684</v>
      </c>
      <c r="C3873" t="s">
        <v>140</v>
      </c>
      <c r="D3873" t="s">
        <v>10</v>
      </c>
      <c r="E3873" t="s">
        <v>16</v>
      </c>
      <c r="F3873" t="s">
        <v>26</v>
      </c>
      <c r="L3873" t="s">
        <v>17781</v>
      </c>
      <c r="R3873" t="s">
        <v>17781</v>
      </c>
      <c r="S3873" t="s">
        <v>17782</v>
      </c>
      <c r="T3873" t="s">
        <v>17783</v>
      </c>
      <c r="U3873" t="s">
        <v>17784</v>
      </c>
      <c r="V3873" t="s">
        <v>17781</v>
      </c>
      <c r="W3873" t="s">
        <v>851</v>
      </c>
      <c r="X3873" t="s">
        <v>17785</v>
      </c>
      <c r="Y3873">
        <v>0</v>
      </c>
      <c r="Z3873">
        <v>0</v>
      </c>
    </row>
    <row r="3874" spans="1:26">
      <c r="A3874" s="1">
        <v>3872</v>
      </c>
      <c r="B3874" t="str">
        <f>HYPERLINK("https://bugs.eclipse.org/bugs/show_bug.cgi?id=266870", "266870")</f>
        <v>266870</v>
      </c>
      <c r="C3874" t="s">
        <v>191</v>
      </c>
      <c r="D3874" t="s">
        <v>192</v>
      </c>
      <c r="E3874" t="s">
        <v>14</v>
      </c>
      <c r="F3874" t="s">
        <v>26</v>
      </c>
      <c r="P3874" t="s">
        <v>17786</v>
      </c>
      <c r="T3874" t="s">
        <v>17787</v>
      </c>
      <c r="U3874" t="s">
        <v>17788</v>
      </c>
      <c r="V3874" t="s">
        <v>17786</v>
      </c>
      <c r="W3874" t="s">
        <v>65</v>
      </c>
      <c r="X3874" t="s">
        <v>17789</v>
      </c>
      <c r="Y3874">
        <v>0</v>
      </c>
      <c r="Z3874">
        <v>4059.958333333333</v>
      </c>
    </row>
    <row r="3875" spans="1:26">
      <c r="A3875" s="1">
        <v>3873</v>
      </c>
      <c r="B3875" t="str">
        <f>HYPERLINK("https://bugs.eclipse.org/bugs/show_bug.cgi?id=266886", "266886")</f>
        <v>266886</v>
      </c>
      <c r="C3875" t="s">
        <v>10594</v>
      </c>
      <c r="D3875" t="s">
        <v>11</v>
      </c>
      <c r="E3875" t="s">
        <v>16</v>
      </c>
      <c r="F3875" t="s">
        <v>26</v>
      </c>
      <c r="H3875" t="s">
        <v>17790</v>
      </c>
      <c r="L3875" t="s">
        <v>17791</v>
      </c>
      <c r="M3875" t="s">
        <v>17792</v>
      </c>
      <c r="R3875" t="s">
        <v>17791</v>
      </c>
      <c r="T3875" t="s">
        <v>17793</v>
      </c>
      <c r="U3875" t="s">
        <v>17794</v>
      </c>
      <c r="V3875" t="s">
        <v>17792</v>
      </c>
      <c r="W3875" t="s">
        <v>11007</v>
      </c>
      <c r="X3875" t="s">
        <v>17795</v>
      </c>
      <c r="Y3875">
        <v>5.958333333333333</v>
      </c>
      <c r="Z3875">
        <v>63.958333333333343</v>
      </c>
    </row>
    <row r="3876" spans="1:26">
      <c r="A3876" s="1">
        <v>3874</v>
      </c>
      <c r="B3876" t="str">
        <f>HYPERLINK("https://bugs.eclipse.org/bugs/show_bug.cgi?id=267237", "267237")</f>
        <v>267237</v>
      </c>
      <c r="C3876" t="s">
        <v>149</v>
      </c>
      <c r="D3876" t="s">
        <v>10</v>
      </c>
      <c r="E3876" t="s">
        <v>12</v>
      </c>
      <c r="F3876" t="s">
        <v>26</v>
      </c>
      <c r="L3876" t="s">
        <v>17796</v>
      </c>
      <c r="N3876" t="s">
        <v>17796</v>
      </c>
      <c r="T3876" t="s">
        <v>17797</v>
      </c>
      <c r="U3876" t="s">
        <v>17798</v>
      </c>
      <c r="V3876" t="s">
        <v>17796</v>
      </c>
      <c r="W3876" t="s">
        <v>143</v>
      </c>
      <c r="X3876" t="s">
        <v>17799</v>
      </c>
      <c r="Y3876">
        <v>0</v>
      </c>
      <c r="Z3876">
        <v>17.958333333333329</v>
      </c>
    </row>
    <row r="3877" spans="1:26">
      <c r="A3877" s="1">
        <v>3875</v>
      </c>
      <c r="B3877" t="str">
        <f>HYPERLINK("https://bugs.eclipse.org/bugs/show_bug.cgi?id=267241", "267241")</f>
        <v>267241</v>
      </c>
      <c r="C3877" t="s">
        <v>149</v>
      </c>
      <c r="D3877" t="s">
        <v>10</v>
      </c>
      <c r="E3877" t="s">
        <v>12</v>
      </c>
      <c r="F3877" t="s">
        <v>26</v>
      </c>
      <c r="L3877" t="s">
        <v>17800</v>
      </c>
      <c r="N3877" t="s">
        <v>17800</v>
      </c>
      <c r="T3877" t="s">
        <v>17801</v>
      </c>
      <c r="U3877" t="s">
        <v>17802</v>
      </c>
      <c r="V3877" t="s">
        <v>17800</v>
      </c>
      <c r="W3877" t="s">
        <v>851</v>
      </c>
      <c r="X3877" t="s">
        <v>17803</v>
      </c>
      <c r="Y3877">
        <v>0</v>
      </c>
      <c r="Z3877">
        <v>0</v>
      </c>
    </row>
    <row r="3878" spans="1:26">
      <c r="A3878" s="1">
        <v>3876</v>
      </c>
      <c r="B3878" t="str">
        <f>HYPERLINK("https://bugs.eclipse.org/bugs/show_bug.cgi?id=267318", "267318")</f>
        <v>267318</v>
      </c>
      <c r="C3878" t="s">
        <v>149</v>
      </c>
      <c r="D3878" t="s">
        <v>10</v>
      </c>
      <c r="E3878" t="s">
        <v>12</v>
      </c>
      <c r="F3878" t="s">
        <v>26</v>
      </c>
      <c r="L3878" t="s">
        <v>17804</v>
      </c>
      <c r="N3878" t="s">
        <v>17804</v>
      </c>
      <c r="T3878" t="s">
        <v>17805</v>
      </c>
      <c r="U3878" t="s">
        <v>17804</v>
      </c>
      <c r="V3878" t="s">
        <v>17804</v>
      </c>
      <c r="W3878" t="s">
        <v>851</v>
      </c>
      <c r="X3878" t="s">
        <v>17806</v>
      </c>
      <c r="Y3878">
        <v>0</v>
      </c>
      <c r="Z3878">
        <v>0</v>
      </c>
    </row>
    <row r="3879" spans="1:26">
      <c r="A3879" s="1">
        <v>3877</v>
      </c>
      <c r="B3879" t="str">
        <f>HYPERLINK("https://bugs.eclipse.org/bugs/show_bug.cgi?id=267386", "267386")</f>
        <v>267386</v>
      </c>
      <c r="C3879" t="s">
        <v>35</v>
      </c>
      <c r="D3879" t="s">
        <v>11</v>
      </c>
      <c r="E3879" t="s">
        <v>12</v>
      </c>
      <c r="F3879" t="s">
        <v>26</v>
      </c>
      <c r="G3879" t="s">
        <v>17807</v>
      </c>
      <c r="L3879" t="s">
        <v>17808</v>
      </c>
      <c r="M3879" t="s">
        <v>17809</v>
      </c>
      <c r="N3879" t="s">
        <v>17808</v>
      </c>
      <c r="S3879" t="s">
        <v>17810</v>
      </c>
      <c r="T3879" t="s">
        <v>17811</v>
      </c>
      <c r="U3879" t="s">
        <v>17812</v>
      </c>
      <c r="V3879" t="s">
        <v>17809</v>
      </c>
      <c r="W3879" t="s">
        <v>143</v>
      </c>
      <c r="X3879" t="s">
        <v>17813</v>
      </c>
      <c r="Y3879">
        <v>0</v>
      </c>
      <c r="Z3879">
        <v>516.95833333333337</v>
      </c>
    </row>
    <row r="3880" spans="1:26">
      <c r="A3880" s="1">
        <v>3878</v>
      </c>
      <c r="B3880" t="str">
        <f>HYPERLINK("https://bugs.eclipse.org/bugs/show_bug.cgi?id=267616", "267616")</f>
        <v>267616</v>
      </c>
      <c r="C3880" t="s">
        <v>149</v>
      </c>
      <c r="D3880" t="s">
        <v>10</v>
      </c>
      <c r="E3880" t="s">
        <v>12</v>
      </c>
      <c r="F3880" t="s">
        <v>26</v>
      </c>
      <c r="G3880" t="s">
        <v>17814</v>
      </c>
      <c r="L3880" t="s">
        <v>17815</v>
      </c>
      <c r="N3880" t="s">
        <v>17815</v>
      </c>
      <c r="T3880" t="s">
        <v>17816</v>
      </c>
      <c r="U3880" t="s">
        <v>17817</v>
      </c>
      <c r="V3880" t="s">
        <v>17818</v>
      </c>
      <c r="W3880" t="s">
        <v>851</v>
      </c>
      <c r="X3880" t="s">
        <v>17819</v>
      </c>
      <c r="Y3880">
        <v>2</v>
      </c>
      <c r="Z3880">
        <v>98</v>
      </c>
    </row>
    <row r="3881" spans="1:26">
      <c r="A3881" s="1">
        <v>3879</v>
      </c>
      <c r="B3881" t="str">
        <f>HYPERLINK("https://bugs.eclipse.org/bugs/show_bug.cgi?id=268675", "268675")</f>
        <v>268675</v>
      </c>
      <c r="C3881" t="s">
        <v>140</v>
      </c>
      <c r="D3881" t="s">
        <v>10</v>
      </c>
      <c r="E3881" t="s">
        <v>16</v>
      </c>
      <c r="F3881" t="s">
        <v>26</v>
      </c>
      <c r="L3881" t="s">
        <v>17820</v>
      </c>
      <c r="R3881" t="s">
        <v>17820</v>
      </c>
      <c r="T3881" t="s">
        <v>17821</v>
      </c>
      <c r="U3881" t="s">
        <v>17822</v>
      </c>
      <c r="V3881" t="s">
        <v>17823</v>
      </c>
      <c r="W3881" t="s">
        <v>143</v>
      </c>
      <c r="X3881" t="s">
        <v>17824</v>
      </c>
      <c r="Y3881">
        <v>0</v>
      </c>
      <c r="Z3881">
        <v>51</v>
      </c>
    </row>
    <row r="3882" spans="1:26">
      <c r="A3882" s="1">
        <v>3880</v>
      </c>
      <c r="B3882" t="str">
        <f>HYPERLINK("https://bugs.eclipse.org/bugs/show_bug.cgi?id=269067", "269067")</f>
        <v>269067</v>
      </c>
      <c r="C3882" t="s">
        <v>191</v>
      </c>
      <c r="D3882" t="s">
        <v>192</v>
      </c>
      <c r="E3882" t="s">
        <v>14</v>
      </c>
      <c r="F3882" t="s">
        <v>26</v>
      </c>
      <c r="G3882" t="s">
        <v>17825</v>
      </c>
      <c r="H3882" t="s">
        <v>17826</v>
      </c>
      <c r="P3882" t="s">
        <v>17827</v>
      </c>
      <c r="T3882" t="s">
        <v>17828</v>
      </c>
      <c r="U3882" t="s">
        <v>17829</v>
      </c>
      <c r="V3882" t="s">
        <v>17827</v>
      </c>
      <c r="W3882" t="s">
        <v>65</v>
      </c>
      <c r="X3882" t="s">
        <v>17830</v>
      </c>
      <c r="Y3882">
        <v>0</v>
      </c>
      <c r="Z3882">
        <v>4030</v>
      </c>
    </row>
    <row r="3883" spans="1:26">
      <c r="A3883" s="1">
        <v>3881</v>
      </c>
      <c r="B3883" t="str">
        <f>HYPERLINK("https://bugs.eclipse.org/bugs/show_bug.cgi?id=269167", "269167")</f>
        <v>269167</v>
      </c>
      <c r="C3883" t="s">
        <v>35</v>
      </c>
      <c r="D3883" t="s">
        <v>11</v>
      </c>
      <c r="E3883" t="s">
        <v>12</v>
      </c>
      <c r="F3883" t="s">
        <v>26</v>
      </c>
      <c r="G3883" t="s">
        <v>17831</v>
      </c>
      <c r="L3883" t="s">
        <v>17832</v>
      </c>
      <c r="M3883" t="s">
        <v>17833</v>
      </c>
      <c r="N3883" t="s">
        <v>17832</v>
      </c>
      <c r="T3883" t="s">
        <v>17834</v>
      </c>
      <c r="U3883" t="s">
        <v>17835</v>
      </c>
      <c r="V3883" t="s">
        <v>17833</v>
      </c>
      <c r="W3883" t="s">
        <v>143</v>
      </c>
      <c r="X3883" t="s">
        <v>17836</v>
      </c>
      <c r="Y3883">
        <v>0</v>
      </c>
      <c r="Z3883">
        <v>42</v>
      </c>
    </row>
    <row r="3884" spans="1:26">
      <c r="A3884" s="1">
        <v>3882</v>
      </c>
      <c r="B3884" t="str">
        <f>HYPERLINK("https://bugs.eclipse.org/bugs/show_bug.cgi?id=269168", "269168")</f>
        <v>269168</v>
      </c>
      <c r="C3884" t="s">
        <v>191</v>
      </c>
      <c r="D3884" t="s">
        <v>192</v>
      </c>
      <c r="E3884" t="s">
        <v>14</v>
      </c>
      <c r="F3884" t="s">
        <v>26</v>
      </c>
      <c r="P3884" t="s">
        <v>17837</v>
      </c>
      <c r="T3884" t="s">
        <v>17838</v>
      </c>
      <c r="U3884" t="s">
        <v>17837</v>
      </c>
      <c r="V3884" t="s">
        <v>17837</v>
      </c>
      <c r="W3884" t="s">
        <v>65</v>
      </c>
      <c r="X3884" t="s">
        <v>17839</v>
      </c>
      <c r="Y3884">
        <v>4072</v>
      </c>
      <c r="Z3884">
        <v>4072</v>
      </c>
    </row>
    <row r="3885" spans="1:26">
      <c r="A3885" s="1">
        <v>3883</v>
      </c>
      <c r="B3885" t="str">
        <f>HYPERLINK("https://bugs.eclipse.org/bugs/show_bug.cgi?id=269594", "269594")</f>
        <v>269594</v>
      </c>
      <c r="C3885" t="s">
        <v>191</v>
      </c>
      <c r="D3885" t="s">
        <v>192</v>
      </c>
      <c r="E3885" t="s">
        <v>14</v>
      </c>
      <c r="F3885" t="s">
        <v>460</v>
      </c>
      <c r="P3885" t="s">
        <v>17840</v>
      </c>
      <c r="T3885" t="s">
        <v>17841</v>
      </c>
      <c r="U3885" t="s">
        <v>17842</v>
      </c>
      <c r="V3885" t="s">
        <v>17840</v>
      </c>
      <c r="W3885" t="s">
        <v>65</v>
      </c>
      <c r="X3885" t="s">
        <v>17843</v>
      </c>
      <c r="Y3885">
        <v>2</v>
      </c>
      <c r="Z3885">
        <v>4058</v>
      </c>
    </row>
    <row r="3886" spans="1:26">
      <c r="A3886" s="1">
        <v>3884</v>
      </c>
      <c r="B3886" t="str">
        <f>HYPERLINK("https://bugs.eclipse.org/bugs/show_bug.cgi?id=270114", "270114")</f>
        <v>270114</v>
      </c>
      <c r="C3886" t="s">
        <v>191</v>
      </c>
      <c r="D3886" t="s">
        <v>192</v>
      </c>
      <c r="E3886" t="s">
        <v>14</v>
      </c>
      <c r="F3886" t="s">
        <v>26</v>
      </c>
      <c r="P3886" t="s">
        <v>17844</v>
      </c>
      <c r="T3886" t="s">
        <v>17845</v>
      </c>
      <c r="U3886" t="s">
        <v>17846</v>
      </c>
      <c r="V3886" t="s">
        <v>17844</v>
      </c>
      <c r="W3886" t="s">
        <v>65</v>
      </c>
      <c r="X3886" t="s">
        <v>17847</v>
      </c>
      <c r="Y3886">
        <v>0</v>
      </c>
      <c r="Z3886">
        <v>3994.041666666667</v>
      </c>
    </row>
    <row r="3887" spans="1:26">
      <c r="A3887" s="1">
        <v>3885</v>
      </c>
      <c r="B3887" t="str">
        <f>HYPERLINK("https://bugs.eclipse.org/bugs/show_bug.cgi?id=270119", "270119")</f>
        <v>270119</v>
      </c>
      <c r="C3887" t="s">
        <v>140</v>
      </c>
      <c r="D3887" t="s">
        <v>10</v>
      </c>
      <c r="E3887" t="s">
        <v>16</v>
      </c>
      <c r="F3887" t="s">
        <v>26</v>
      </c>
      <c r="L3887" t="s">
        <v>17848</v>
      </c>
      <c r="R3887" t="s">
        <v>17848</v>
      </c>
      <c r="S3887" t="s">
        <v>17849</v>
      </c>
      <c r="T3887" t="s">
        <v>17850</v>
      </c>
      <c r="U3887" t="s">
        <v>17851</v>
      </c>
      <c r="V3887" t="s">
        <v>17848</v>
      </c>
      <c r="W3887" t="s">
        <v>143</v>
      </c>
      <c r="X3887" t="s">
        <v>17852</v>
      </c>
      <c r="Y3887">
        <v>0</v>
      </c>
      <c r="Z3887">
        <v>0</v>
      </c>
    </row>
    <row r="3888" spans="1:26">
      <c r="A3888" s="1">
        <v>3886</v>
      </c>
      <c r="B3888" t="str">
        <f>HYPERLINK("https://bugs.eclipse.org/bugs/show_bug.cgi?id=270371", "270371")</f>
        <v>270371</v>
      </c>
      <c r="C3888" t="s">
        <v>17853</v>
      </c>
      <c r="D3888" t="s">
        <v>10</v>
      </c>
      <c r="E3888" t="s">
        <v>15</v>
      </c>
      <c r="F3888" t="s">
        <v>26</v>
      </c>
      <c r="L3888" t="s">
        <v>15636</v>
      </c>
      <c r="Q3888" t="s">
        <v>15636</v>
      </c>
      <c r="T3888" t="s">
        <v>17854</v>
      </c>
      <c r="U3888" t="s">
        <v>17855</v>
      </c>
      <c r="V3888" t="s">
        <v>15636</v>
      </c>
      <c r="W3888" t="s">
        <v>143</v>
      </c>
      <c r="X3888" t="s">
        <v>17856</v>
      </c>
      <c r="Y3888">
        <v>0</v>
      </c>
      <c r="Z3888">
        <v>1</v>
      </c>
    </row>
    <row r="3889" spans="1:26">
      <c r="A3889" s="1">
        <v>3887</v>
      </c>
      <c r="B3889" t="str">
        <f>HYPERLINK("https://bugs.eclipse.org/bugs/show_bug.cgi?id=270908", "270908")</f>
        <v>270908</v>
      </c>
      <c r="C3889" t="s">
        <v>140</v>
      </c>
      <c r="D3889" t="s">
        <v>10</v>
      </c>
      <c r="E3889" t="s">
        <v>16</v>
      </c>
      <c r="F3889" t="s">
        <v>26</v>
      </c>
      <c r="L3889" t="s">
        <v>17857</v>
      </c>
      <c r="R3889" t="s">
        <v>17857</v>
      </c>
      <c r="T3889" t="s">
        <v>17858</v>
      </c>
      <c r="U3889" t="s">
        <v>17857</v>
      </c>
      <c r="V3889" t="s">
        <v>17859</v>
      </c>
      <c r="W3889" t="s">
        <v>143</v>
      </c>
      <c r="X3889" t="s">
        <v>17860</v>
      </c>
      <c r="Y3889">
        <v>1</v>
      </c>
      <c r="Z3889">
        <v>1</v>
      </c>
    </row>
    <row r="3890" spans="1:26">
      <c r="A3890" s="1">
        <v>3888</v>
      </c>
      <c r="B3890" t="str">
        <f>HYPERLINK("https://bugs.eclipse.org/bugs/show_bug.cgi?id=271139", "271139")</f>
        <v>271139</v>
      </c>
      <c r="C3890" t="s">
        <v>149</v>
      </c>
      <c r="D3890" t="s">
        <v>10</v>
      </c>
      <c r="E3890" t="s">
        <v>12</v>
      </c>
      <c r="F3890" t="s">
        <v>26</v>
      </c>
      <c r="L3890" t="s">
        <v>17861</v>
      </c>
      <c r="N3890" t="s">
        <v>17861</v>
      </c>
      <c r="T3890" t="s">
        <v>17862</v>
      </c>
      <c r="U3890" t="s">
        <v>17863</v>
      </c>
      <c r="V3890" t="s">
        <v>17861</v>
      </c>
      <c r="W3890" t="s">
        <v>851</v>
      </c>
      <c r="X3890" t="s">
        <v>17864</v>
      </c>
      <c r="Y3890">
        <v>18</v>
      </c>
      <c r="Z3890">
        <v>19</v>
      </c>
    </row>
    <row r="3891" spans="1:26">
      <c r="A3891" s="1">
        <v>3889</v>
      </c>
      <c r="B3891" t="str">
        <f>HYPERLINK("https://bugs.eclipse.org/bugs/show_bug.cgi?id=271228", "271228")</f>
        <v>271228</v>
      </c>
      <c r="C3891" t="s">
        <v>149</v>
      </c>
      <c r="D3891" t="s">
        <v>10</v>
      </c>
      <c r="E3891" t="s">
        <v>12</v>
      </c>
      <c r="F3891" t="s">
        <v>26</v>
      </c>
      <c r="G3891" t="s">
        <v>17865</v>
      </c>
      <c r="L3891" t="s">
        <v>17866</v>
      </c>
      <c r="N3891" t="s">
        <v>17866</v>
      </c>
      <c r="T3891" t="s">
        <v>17867</v>
      </c>
      <c r="U3891" t="s">
        <v>17868</v>
      </c>
      <c r="V3891" t="s">
        <v>17866</v>
      </c>
      <c r="W3891" t="s">
        <v>851</v>
      </c>
      <c r="X3891" t="s">
        <v>17869</v>
      </c>
      <c r="Y3891">
        <v>2</v>
      </c>
      <c r="Z3891">
        <v>374</v>
      </c>
    </row>
    <row r="3892" spans="1:26">
      <c r="A3892" s="1">
        <v>3890</v>
      </c>
      <c r="B3892" t="str">
        <f>HYPERLINK("https://bugs.eclipse.org/bugs/show_bug.cgi?id=271526", "271526")</f>
        <v>271526</v>
      </c>
      <c r="C3892" t="s">
        <v>191</v>
      </c>
      <c r="D3892" t="s">
        <v>192</v>
      </c>
      <c r="E3892" t="s">
        <v>14</v>
      </c>
      <c r="F3892" t="s">
        <v>26</v>
      </c>
      <c r="P3892" t="s">
        <v>17870</v>
      </c>
      <c r="T3892" t="s">
        <v>17871</v>
      </c>
      <c r="U3892" t="s">
        <v>17872</v>
      </c>
      <c r="V3892" t="s">
        <v>17870</v>
      </c>
      <c r="W3892" t="s">
        <v>65</v>
      </c>
      <c r="X3892" t="s">
        <v>17873</v>
      </c>
      <c r="Y3892">
        <v>1</v>
      </c>
      <c r="Z3892">
        <v>3944.041666666667</v>
      </c>
    </row>
    <row r="3893" spans="1:26">
      <c r="A3893" s="1">
        <v>3891</v>
      </c>
      <c r="B3893" t="str">
        <f>HYPERLINK("https://bugs.eclipse.org/bugs/show_bug.cgi?id=271639", "271639")</f>
        <v>271639</v>
      </c>
      <c r="C3893" t="s">
        <v>191</v>
      </c>
      <c r="D3893" t="s">
        <v>192</v>
      </c>
      <c r="E3893" t="s">
        <v>14</v>
      </c>
      <c r="F3893" t="s">
        <v>26</v>
      </c>
      <c r="G3893" t="s">
        <v>17874</v>
      </c>
      <c r="T3893" t="s">
        <v>17875</v>
      </c>
      <c r="U3893" t="s">
        <v>17876</v>
      </c>
      <c r="V3893" t="s">
        <v>17877</v>
      </c>
      <c r="W3893" t="s">
        <v>65</v>
      </c>
      <c r="X3893" t="s">
        <v>17878</v>
      </c>
      <c r="Y3893">
        <v>1</v>
      </c>
      <c r="Z3893">
        <v>3688</v>
      </c>
    </row>
    <row r="3894" spans="1:26">
      <c r="A3894" s="1">
        <v>3892</v>
      </c>
      <c r="B3894" t="str">
        <f>HYPERLINK("https://bugs.eclipse.org/bugs/show_bug.cgi?id=272334", "272334")</f>
        <v>272334</v>
      </c>
      <c r="C3894" t="s">
        <v>35</v>
      </c>
      <c r="D3894" t="s">
        <v>11</v>
      </c>
      <c r="E3894" t="s">
        <v>12</v>
      </c>
      <c r="F3894" t="s">
        <v>26</v>
      </c>
      <c r="L3894" t="s">
        <v>17879</v>
      </c>
      <c r="M3894" t="s">
        <v>17880</v>
      </c>
      <c r="N3894" t="s">
        <v>17879</v>
      </c>
      <c r="R3894" t="s">
        <v>17881</v>
      </c>
      <c r="S3894" t="s">
        <v>17882</v>
      </c>
      <c r="T3894" t="s">
        <v>17883</v>
      </c>
      <c r="U3894" t="s">
        <v>17884</v>
      </c>
      <c r="V3894" t="s">
        <v>17885</v>
      </c>
      <c r="W3894" t="s">
        <v>17886</v>
      </c>
      <c r="X3894" t="s">
        <v>17887</v>
      </c>
      <c r="Y3894">
        <v>0</v>
      </c>
      <c r="Z3894">
        <v>517</v>
      </c>
    </row>
    <row r="3895" spans="1:26">
      <c r="A3895" s="1">
        <v>3893</v>
      </c>
      <c r="B3895" t="str">
        <f>HYPERLINK("https://bugs.eclipse.org/bugs/show_bug.cgi?id=272366", "272366")</f>
        <v>272366</v>
      </c>
      <c r="C3895" t="s">
        <v>149</v>
      </c>
      <c r="D3895" t="s">
        <v>10</v>
      </c>
      <c r="E3895" t="s">
        <v>12</v>
      </c>
      <c r="F3895" t="s">
        <v>26</v>
      </c>
      <c r="L3895" t="s">
        <v>17888</v>
      </c>
      <c r="N3895" t="s">
        <v>17888</v>
      </c>
      <c r="T3895" t="s">
        <v>17889</v>
      </c>
      <c r="U3895" t="s">
        <v>17890</v>
      </c>
      <c r="V3895" t="s">
        <v>17888</v>
      </c>
      <c r="W3895" t="s">
        <v>851</v>
      </c>
      <c r="X3895" t="s">
        <v>17891</v>
      </c>
      <c r="Y3895">
        <v>1</v>
      </c>
      <c r="Z3895">
        <v>7</v>
      </c>
    </row>
    <row r="3896" spans="1:26">
      <c r="A3896" s="1">
        <v>3894</v>
      </c>
      <c r="B3896" t="str">
        <f>HYPERLINK("https://bugs.eclipse.org/bugs/show_bug.cgi?id=273190", "273190")</f>
        <v>273190</v>
      </c>
      <c r="C3896" t="s">
        <v>191</v>
      </c>
      <c r="D3896" t="s">
        <v>192</v>
      </c>
      <c r="E3896" t="s">
        <v>14</v>
      </c>
      <c r="F3896" t="s">
        <v>26</v>
      </c>
      <c r="P3896" t="s">
        <v>17892</v>
      </c>
      <c r="T3896" t="s">
        <v>17893</v>
      </c>
      <c r="U3896" t="s">
        <v>17894</v>
      </c>
      <c r="V3896" t="s">
        <v>17892</v>
      </c>
      <c r="W3896" t="s">
        <v>65</v>
      </c>
      <c r="X3896" t="s">
        <v>17895</v>
      </c>
      <c r="Y3896">
        <v>0</v>
      </c>
      <c r="Z3896">
        <v>3971.041666666667</v>
      </c>
    </row>
    <row r="3897" spans="1:26">
      <c r="A3897" s="1">
        <v>3895</v>
      </c>
      <c r="B3897" t="str">
        <f>HYPERLINK("https://bugs.eclipse.org/bugs/show_bug.cgi?id=273192", "273192")</f>
        <v>273192</v>
      </c>
      <c r="C3897" t="s">
        <v>191</v>
      </c>
      <c r="D3897" t="s">
        <v>192</v>
      </c>
      <c r="E3897" t="s">
        <v>14</v>
      </c>
      <c r="F3897" t="s">
        <v>460</v>
      </c>
      <c r="T3897" t="s">
        <v>17896</v>
      </c>
      <c r="U3897" t="s">
        <v>17897</v>
      </c>
      <c r="V3897" t="s">
        <v>17898</v>
      </c>
      <c r="W3897" t="s">
        <v>65</v>
      </c>
      <c r="X3897" t="s">
        <v>17899</v>
      </c>
      <c r="Y3897">
        <v>0</v>
      </c>
      <c r="Z3897">
        <v>3782</v>
      </c>
    </row>
    <row r="3898" spans="1:26">
      <c r="A3898" s="1">
        <v>3896</v>
      </c>
      <c r="B3898" t="str">
        <f>HYPERLINK("https://bugs.eclipse.org/bugs/show_bug.cgi?id=274019", "274019")</f>
        <v>274019</v>
      </c>
      <c r="C3898" t="s">
        <v>25</v>
      </c>
      <c r="D3898" t="s">
        <v>25</v>
      </c>
      <c r="F3898" t="s">
        <v>26</v>
      </c>
      <c r="T3898" t="s">
        <v>17900</v>
      </c>
      <c r="U3898" t="s">
        <v>17901</v>
      </c>
      <c r="V3898" t="s">
        <v>17902</v>
      </c>
      <c r="W3898" t="s">
        <v>851</v>
      </c>
      <c r="X3898" t="s">
        <v>17903</v>
      </c>
      <c r="Y3898">
        <v>0</v>
      </c>
    </row>
    <row r="3899" spans="1:26">
      <c r="A3899" s="1">
        <v>3897</v>
      </c>
      <c r="B3899" t="str">
        <f>HYPERLINK("https://bugs.eclipse.org/bugs/show_bug.cgi?id=274400", "274400")</f>
        <v>274400</v>
      </c>
      <c r="C3899" t="s">
        <v>149</v>
      </c>
      <c r="D3899" t="s">
        <v>10</v>
      </c>
      <c r="E3899" t="s">
        <v>12</v>
      </c>
      <c r="F3899" t="s">
        <v>26</v>
      </c>
      <c r="H3899" t="s">
        <v>17904</v>
      </c>
      <c r="L3899" t="s">
        <v>17905</v>
      </c>
      <c r="N3899" t="s">
        <v>17905</v>
      </c>
      <c r="T3899" t="s">
        <v>17906</v>
      </c>
      <c r="U3899" t="s">
        <v>17905</v>
      </c>
      <c r="V3899" t="s">
        <v>17905</v>
      </c>
      <c r="W3899" t="s">
        <v>851</v>
      </c>
      <c r="X3899" t="s">
        <v>17907</v>
      </c>
      <c r="Y3899">
        <v>0</v>
      </c>
      <c r="Z3899">
        <v>0</v>
      </c>
    </row>
    <row r="3900" spans="1:26">
      <c r="A3900" s="1">
        <v>3898</v>
      </c>
      <c r="B3900" t="str">
        <f>HYPERLINK("https://bugs.eclipse.org/bugs/show_bug.cgi?id=274698", "274698")</f>
        <v>274698</v>
      </c>
      <c r="C3900" t="s">
        <v>16492</v>
      </c>
      <c r="D3900" t="s">
        <v>10</v>
      </c>
      <c r="E3900" t="s">
        <v>15</v>
      </c>
      <c r="F3900" t="s">
        <v>26</v>
      </c>
      <c r="L3900" t="s">
        <v>17908</v>
      </c>
      <c r="Q3900" t="s">
        <v>17908</v>
      </c>
      <c r="T3900" t="s">
        <v>17909</v>
      </c>
      <c r="U3900" t="s">
        <v>17910</v>
      </c>
      <c r="V3900" t="s">
        <v>17908</v>
      </c>
      <c r="W3900" t="s">
        <v>851</v>
      </c>
      <c r="X3900" t="s">
        <v>17911</v>
      </c>
      <c r="Y3900">
        <v>3</v>
      </c>
      <c r="Z3900">
        <v>3</v>
      </c>
    </row>
    <row r="3901" spans="1:26">
      <c r="A3901" s="1">
        <v>3899</v>
      </c>
      <c r="B3901" t="str">
        <f>HYPERLINK("https://bugs.eclipse.org/bugs/show_bug.cgi?id=274796", "274796")</f>
        <v>274796</v>
      </c>
      <c r="C3901" t="s">
        <v>17912</v>
      </c>
      <c r="D3901" t="s">
        <v>10</v>
      </c>
      <c r="E3901" t="s">
        <v>15</v>
      </c>
      <c r="F3901" t="s">
        <v>26</v>
      </c>
      <c r="L3901" t="s">
        <v>17913</v>
      </c>
      <c r="Q3901" t="s">
        <v>17913</v>
      </c>
      <c r="T3901" t="s">
        <v>17914</v>
      </c>
      <c r="U3901" t="s">
        <v>17915</v>
      </c>
      <c r="V3901" t="s">
        <v>17913</v>
      </c>
      <c r="W3901" t="s">
        <v>143</v>
      </c>
      <c r="X3901" t="s">
        <v>17916</v>
      </c>
      <c r="Y3901">
        <v>0</v>
      </c>
      <c r="Z3901">
        <v>0</v>
      </c>
    </row>
    <row r="3902" spans="1:26">
      <c r="A3902" s="1">
        <v>3900</v>
      </c>
      <c r="B3902" t="str">
        <f>HYPERLINK("https://bugs.eclipse.org/bugs/show_bug.cgi?id=276097", "276097")</f>
        <v>276097</v>
      </c>
      <c r="C3902" t="s">
        <v>191</v>
      </c>
      <c r="D3902" t="s">
        <v>192</v>
      </c>
      <c r="E3902" t="s">
        <v>14</v>
      </c>
      <c r="F3902" t="s">
        <v>26</v>
      </c>
      <c r="P3902" t="s">
        <v>17917</v>
      </c>
      <c r="T3902" t="s">
        <v>17918</v>
      </c>
      <c r="U3902" t="s">
        <v>17919</v>
      </c>
      <c r="V3902" t="s">
        <v>17917</v>
      </c>
      <c r="W3902" t="s">
        <v>65</v>
      </c>
      <c r="X3902" t="s">
        <v>17920</v>
      </c>
      <c r="Y3902">
        <v>0</v>
      </c>
      <c r="Z3902">
        <v>4010</v>
      </c>
    </row>
    <row r="3903" spans="1:26">
      <c r="A3903" s="1">
        <v>3901</v>
      </c>
      <c r="B3903" t="str">
        <f>HYPERLINK("https://bugs.eclipse.org/bugs/show_bug.cgi?id=276467", "276467")</f>
        <v>276467</v>
      </c>
      <c r="C3903" t="s">
        <v>149</v>
      </c>
      <c r="D3903" t="s">
        <v>10</v>
      </c>
      <c r="E3903" t="s">
        <v>12</v>
      </c>
      <c r="F3903" t="s">
        <v>26</v>
      </c>
      <c r="L3903" t="s">
        <v>17921</v>
      </c>
      <c r="N3903" t="s">
        <v>17921</v>
      </c>
      <c r="T3903" t="s">
        <v>17922</v>
      </c>
      <c r="U3903" t="s">
        <v>17923</v>
      </c>
      <c r="V3903" t="s">
        <v>17921</v>
      </c>
      <c r="W3903" t="s">
        <v>2777</v>
      </c>
      <c r="X3903" t="s">
        <v>17924</v>
      </c>
      <c r="Y3903">
        <v>0</v>
      </c>
      <c r="Z3903">
        <v>914.04166666666663</v>
      </c>
    </row>
    <row r="3904" spans="1:26">
      <c r="A3904" s="1">
        <v>3902</v>
      </c>
      <c r="B3904" t="str">
        <f>HYPERLINK("https://bugs.eclipse.org/bugs/show_bug.cgi?id=276744", "276744")</f>
        <v>276744</v>
      </c>
      <c r="C3904" t="s">
        <v>35</v>
      </c>
      <c r="D3904" t="s">
        <v>11</v>
      </c>
      <c r="E3904" t="s">
        <v>12</v>
      </c>
      <c r="F3904" t="s">
        <v>26</v>
      </c>
      <c r="L3904" t="s">
        <v>17925</v>
      </c>
      <c r="M3904" t="s">
        <v>17926</v>
      </c>
      <c r="N3904" t="s">
        <v>17925</v>
      </c>
      <c r="T3904" t="s">
        <v>17927</v>
      </c>
      <c r="U3904" t="s">
        <v>17928</v>
      </c>
      <c r="V3904" t="s">
        <v>17926</v>
      </c>
      <c r="W3904" t="s">
        <v>143</v>
      </c>
      <c r="X3904" t="s">
        <v>17929</v>
      </c>
      <c r="Y3904">
        <v>0</v>
      </c>
      <c r="Z3904">
        <v>2</v>
      </c>
    </row>
    <row r="3905" spans="1:26">
      <c r="A3905" s="1">
        <v>3903</v>
      </c>
      <c r="B3905" t="str">
        <f>HYPERLINK("https://bugs.eclipse.org/bugs/show_bug.cgi?id=276941", "276941")</f>
        <v>276941</v>
      </c>
      <c r="C3905" t="s">
        <v>140</v>
      </c>
      <c r="D3905" t="s">
        <v>10</v>
      </c>
      <c r="E3905" t="s">
        <v>16</v>
      </c>
      <c r="F3905" t="s">
        <v>26</v>
      </c>
      <c r="L3905" t="s">
        <v>17930</v>
      </c>
      <c r="R3905" t="s">
        <v>17930</v>
      </c>
      <c r="T3905" t="s">
        <v>17931</v>
      </c>
      <c r="U3905" t="s">
        <v>17930</v>
      </c>
      <c r="V3905" t="s">
        <v>17930</v>
      </c>
      <c r="W3905" t="s">
        <v>143</v>
      </c>
      <c r="X3905" t="s">
        <v>17932</v>
      </c>
      <c r="Y3905">
        <v>1</v>
      </c>
      <c r="Z3905">
        <v>1</v>
      </c>
    </row>
    <row r="3906" spans="1:26">
      <c r="A3906" s="1">
        <v>3904</v>
      </c>
      <c r="B3906" t="str">
        <f>HYPERLINK("https://bugs.eclipse.org/bugs/show_bug.cgi?id=277031", "277031")</f>
        <v>277031</v>
      </c>
      <c r="C3906" t="s">
        <v>149</v>
      </c>
      <c r="D3906" t="s">
        <v>10</v>
      </c>
      <c r="E3906" t="s">
        <v>12</v>
      </c>
      <c r="F3906" t="s">
        <v>26</v>
      </c>
      <c r="L3906" t="s">
        <v>17933</v>
      </c>
      <c r="N3906" t="s">
        <v>17933</v>
      </c>
      <c r="T3906" t="s">
        <v>17934</v>
      </c>
      <c r="U3906" t="s">
        <v>17935</v>
      </c>
      <c r="V3906" t="s">
        <v>17936</v>
      </c>
      <c r="W3906" t="s">
        <v>851</v>
      </c>
      <c r="X3906" t="s">
        <v>17937</v>
      </c>
      <c r="Y3906">
        <v>1</v>
      </c>
      <c r="Z3906">
        <v>24</v>
      </c>
    </row>
    <row r="3907" spans="1:26">
      <c r="A3907" s="1">
        <v>3905</v>
      </c>
      <c r="B3907" t="str">
        <f>HYPERLINK("https://bugs.eclipse.org/bugs/show_bug.cgi?id=278167", "278167")</f>
        <v>278167</v>
      </c>
      <c r="C3907" t="s">
        <v>25</v>
      </c>
      <c r="D3907" t="s">
        <v>25</v>
      </c>
      <c r="F3907" t="s">
        <v>26</v>
      </c>
      <c r="T3907" t="s">
        <v>17938</v>
      </c>
      <c r="U3907" t="s">
        <v>17939</v>
      </c>
      <c r="V3907" t="s">
        <v>17939</v>
      </c>
      <c r="W3907" t="s">
        <v>851</v>
      </c>
      <c r="X3907" t="s">
        <v>17940</v>
      </c>
      <c r="Y3907">
        <v>0</v>
      </c>
    </row>
    <row r="3908" spans="1:26">
      <c r="A3908" s="1">
        <v>3906</v>
      </c>
      <c r="B3908" t="str">
        <f>HYPERLINK("https://bugs.eclipse.org/bugs/show_bug.cgi?id=278170", "278170")</f>
        <v>278170</v>
      </c>
      <c r="C3908" t="s">
        <v>25</v>
      </c>
      <c r="D3908" t="s">
        <v>25</v>
      </c>
      <c r="F3908" t="s">
        <v>26</v>
      </c>
      <c r="T3908" t="s">
        <v>17941</v>
      </c>
      <c r="U3908" t="s">
        <v>17942</v>
      </c>
      <c r="V3908" t="s">
        <v>17943</v>
      </c>
      <c r="W3908" t="s">
        <v>17944</v>
      </c>
      <c r="X3908" t="s">
        <v>17945</v>
      </c>
      <c r="Y3908">
        <v>0</v>
      </c>
    </row>
    <row r="3909" spans="1:26">
      <c r="A3909" s="1">
        <v>3907</v>
      </c>
      <c r="B3909" t="str">
        <f>HYPERLINK("https://bugs.eclipse.org/bugs/show_bug.cgi?id=278844", "278844")</f>
        <v>278844</v>
      </c>
      <c r="C3909" t="s">
        <v>35</v>
      </c>
      <c r="D3909" t="s">
        <v>11</v>
      </c>
      <c r="E3909" t="s">
        <v>12</v>
      </c>
      <c r="F3909" t="s">
        <v>150</v>
      </c>
      <c r="H3909" t="s">
        <v>17946</v>
      </c>
      <c r="L3909" t="s">
        <v>17947</v>
      </c>
      <c r="M3909" t="s">
        <v>17948</v>
      </c>
      <c r="N3909" t="s">
        <v>17947</v>
      </c>
      <c r="P3909" t="s">
        <v>17949</v>
      </c>
      <c r="S3909" t="s">
        <v>17950</v>
      </c>
      <c r="T3909" t="s">
        <v>17951</v>
      </c>
      <c r="U3909" t="s">
        <v>17952</v>
      </c>
      <c r="V3909" t="s">
        <v>17953</v>
      </c>
      <c r="W3909" t="s">
        <v>17954</v>
      </c>
      <c r="X3909" t="s">
        <v>17955</v>
      </c>
      <c r="Y3909">
        <v>0</v>
      </c>
      <c r="Z3909">
        <v>111</v>
      </c>
    </row>
    <row r="3910" spans="1:26">
      <c r="A3910" s="1">
        <v>3908</v>
      </c>
      <c r="B3910" t="str">
        <f>HYPERLINK("https://bugs.eclipse.org/bugs/show_bug.cgi?id=279250", "279250")</f>
        <v>279250</v>
      </c>
      <c r="C3910" t="s">
        <v>17956</v>
      </c>
      <c r="D3910" t="s">
        <v>10</v>
      </c>
      <c r="E3910" t="s">
        <v>15</v>
      </c>
      <c r="F3910" t="s">
        <v>26</v>
      </c>
      <c r="L3910" t="s">
        <v>17957</v>
      </c>
      <c r="Q3910" t="s">
        <v>17957</v>
      </c>
      <c r="T3910" t="s">
        <v>17958</v>
      </c>
      <c r="U3910" t="s">
        <v>17959</v>
      </c>
      <c r="V3910" t="s">
        <v>17960</v>
      </c>
      <c r="W3910" t="s">
        <v>6576</v>
      </c>
      <c r="X3910" t="s">
        <v>17961</v>
      </c>
      <c r="Y3910">
        <v>0</v>
      </c>
      <c r="Z3910">
        <v>1047</v>
      </c>
    </row>
    <row r="3911" spans="1:26">
      <c r="A3911" s="1">
        <v>3909</v>
      </c>
      <c r="B3911" t="str">
        <f>HYPERLINK("https://bugs.eclipse.org/bugs/show_bug.cgi?id=279541", "279541")</f>
        <v>279541</v>
      </c>
      <c r="C3911" t="s">
        <v>140</v>
      </c>
      <c r="D3911" t="s">
        <v>10</v>
      </c>
      <c r="E3911" t="s">
        <v>16</v>
      </c>
      <c r="F3911" t="s">
        <v>26</v>
      </c>
      <c r="L3911" t="s">
        <v>17962</v>
      </c>
      <c r="R3911" t="s">
        <v>17962</v>
      </c>
      <c r="T3911" t="s">
        <v>17963</v>
      </c>
      <c r="U3911" t="s">
        <v>17964</v>
      </c>
      <c r="V3911" t="s">
        <v>17962</v>
      </c>
      <c r="W3911" t="s">
        <v>143</v>
      </c>
      <c r="X3911" t="s">
        <v>17965</v>
      </c>
      <c r="Y3911">
        <v>0</v>
      </c>
      <c r="Z3911">
        <v>2</v>
      </c>
    </row>
    <row r="3912" spans="1:26">
      <c r="A3912" s="1">
        <v>3910</v>
      </c>
      <c r="B3912" t="str">
        <f>HYPERLINK("https://bugs.eclipse.org/bugs/show_bug.cgi?id=280064", "280064")</f>
        <v>280064</v>
      </c>
      <c r="C3912" t="s">
        <v>25</v>
      </c>
      <c r="D3912" t="s">
        <v>25</v>
      </c>
      <c r="F3912" t="s">
        <v>26</v>
      </c>
      <c r="G3912" t="s">
        <v>17966</v>
      </c>
      <c r="T3912" t="s">
        <v>17967</v>
      </c>
      <c r="U3912" t="s">
        <v>17968</v>
      </c>
      <c r="V3912" t="s">
        <v>17969</v>
      </c>
      <c r="W3912" t="s">
        <v>851</v>
      </c>
      <c r="X3912" t="s">
        <v>17970</v>
      </c>
      <c r="Y3912">
        <v>0</v>
      </c>
    </row>
    <row r="3913" spans="1:26">
      <c r="A3913" s="1">
        <v>3911</v>
      </c>
      <c r="B3913" t="str">
        <f>HYPERLINK("https://bugs.eclipse.org/bugs/show_bug.cgi?id=280068", "280068")</f>
        <v>280068</v>
      </c>
      <c r="C3913" t="s">
        <v>35</v>
      </c>
      <c r="D3913" t="s">
        <v>11</v>
      </c>
      <c r="E3913" t="s">
        <v>12</v>
      </c>
      <c r="F3913" t="s">
        <v>26</v>
      </c>
      <c r="L3913" t="s">
        <v>17971</v>
      </c>
      <c r="M3913" t="s">
        <v>17972</v>
      </c>
      <c r="N3913" t="s">
        <v>17971</v>
      </c>
      <c r="T3913" t="s">
        <v>17973</v>
      </c>
      <c r="U3913" t="s">
        <v>17974</v>
      </c>
      <c r="V3913" t="s">
        <v>17972</v>
      </c>
      <c r="W3913" t="s">
        <v>851</v>
      </c>
      <c r="X3913" t="s">
        <v>17975</v>
      </c>
      <c r="Y3913">
        <v>0</v>
      </c>
      <c r="Z3913">
        <v>53</v>
      </c>
    </row>
    <row r="3914" spans="1:26">
      <c r="A3914" s="1">
        <v>3912</v>
      </c>
      <c r="B3914" t="str">
        <f>HYPERLINK("https://bugs.eclipse.org/bugs/show_bug.cgi?id=280220", "280220")</f>
        <v>280220</v>
      </c>
      <c r="C3914" t="s">
        <v>17912</v>
      </c>
      <c r="D3914" t="s">
        <v>10</v>
      </c>
      <c r="E3914" t="s">
        <v>15</v>
      </c>
      <c r="F3914" t="s">
        <v>26</v>
      </c>
      <c r="L3914" t="s">
        <v>17818</v>
      </c>
      <c r="Q3914" t="s">
        <v>17818</v>
      </c>
      <c r="T3914" t="s">
        <v>17976</v>
      </c>
      <c r="U3914" t="s">
        <v>17977</v>
      </c>
      <c r="V3914" t="s">
        <v>17818</v>
      </c>
      <c r="W3914" t="s">
        <v>851</v>
      </c>
      <c r="X3914" t="s">
        <v>17978</v>
      </c>
      <c r="Y3914">
        <v>0</v>
      </c>
      <c r="Z3914">
        <v>0</v>
      </c>
    </row>
    <row r="3915" spans="1:26">
      <c r="A3915" s="1">
        <v>3913</v>
      </c>
      <c r="B3915" t="str">
        <f>HYPERLINK("https://bugs.eclipse.org/bugs/show_bug.cgi?id=280333", "280333")</f>
        <v>280333</v>
      </c>
      <c r="C3915" t="s">
        <v>995</v>
      </c>
      <c r="D3915" t="s">
        <v>192</v>
      </c>
      <c r="E3915" t="s">
        <v>12</v>
      </c>
      <c r="F3915" t="s">
        <v>26</v>
      </c>
      <c r="L3915" t="s">
        <v>17979</v>
      </c>
      <c r="M3915" t="s">
        <v>17980</v>
      </c>
      <c r="N3915" t="s">
        <v>17979</v>
      </c>
      <c r="P3915" t="s">
        <v>17981</v>
      </c>
      <c r="S3915" t="s">
        <v>17982</v>
      </c>
      <c r="T3915" t="s">
        <v>17983</v>
      </c>
      <c r="U3915" t="s">
        <v>17984</v>
      </c>
      <c r="V3915" t="s">
        <v>17985</v>
      </c>
      <c r="W3915" t="s">
        <v>17986</v>
      </c>
      <c r="X3915" t="s">
        <v>17987</v>
      </c>
      <c r="Y3915">
        <v>1</v>
      </c>
      <c r="Z3915">
        <v>56</v>
      </c>
    </row>
    <row r="3916" spans="1:26">
      <c r="A3916" s="1">
        <v>3914</v>
      </c>
      <c r="B3916" t="str">
        <f>HYPERLINK("https://bugs.eclipse.org/bugs/show_bug.cgi?id=280550", "280550")</f>
        <v>280550</v>
      </c>
      <c r="C3916" t="s">
        <v>17988</v>
      </c>
      <c r="D3916" t="s">
        <v>10</v>
      </c>
      <c r="E3916" t="s">
        <v>15</v>
      </c>
      <c r="F3916" t="s">
        <v>26</v>
      </c>
      <c r="L3916" t="s">
        <v>17989</v>
      </c>
      <c r="Q3916" t="s">
        <v>17989</v>
      </c>
      <c r="T3916" t="s">
        <v>17990</v>
      </c>
      <c r="U3916" t="s">
        <v>17991</v>
      </c>
      <c r="V3916" t="s">
        <v>17989</v>
      </c>
      <c r="W3916" t="s">
        <v>17992</v>
      </c>
      <c r="X3916" t="s">
        <v>17993</v>
      </c>
      <c r="Y3916">
        <v>1</v>
      </c>
      <c r="Z3916">
        <v>1</v>
      </c>
    </row>
    <row r="3917" spans="1:26">
      <c r="A3917" s="1">
        <v>3915</v>
      </c>
      <c r="B3917" t="str">
        <f>HYPERLINK("https://bugs.eclipse.org/bugs/show_bug.cgi?id=280563", "280563")</f>
        <v>280563</v>
      </c>
      <c r="C3917" t="s">
        <v>17988</v>
      </c>
      <c r="D3917" t="s">
        <v>10</v>
      </c>
      <c r="E3917" t="s">
        <v>15</v>
      </c>
      <c r="F3917" t="s">
        <v>26</v>
      </c>
      <c r="L3917" t="s">
        <v>17994</v>
      </c>
      <c r="Q3917" t="s">
        <v>17994</v>
      </c>
      <c r="T3917" t="s">
        <v>17995</v>
      </c>
      <c r="U3917" t="s">
        <v>17996</v>
      </c>
      <c r="V3917" t="s">
        <v>17994</v>
      </c>
      <c r="W3917" t="s">
        <v>17992</v>
      </c>
      <c r="X3917" t="s">
        <v>17997</v>
      </c>
      <c r="Y3917">
        <v>1</v>
      </c>
      <c r="Z3917">
        <v>1</v>
      </c>
    </row>
    <row r="3918" spans="1:26">
      <c r="A3918" s="1">
        <v>3916</v>
      </c>
      <c r="B3918" t="str">
        <f>HYPERLINK("https://bugs.eclipse.org/bugs/show_bug.cgi?id=280814", "280814")</f>
        <v>280814</v>
      </c>
      <c r="C3918" t="s">
        <v>140</v>
      </c>
      <c r="D3918" t="s">
        <v>10</v>
      </c>
      <c r="E3918" t="s">
        <v>16</v>
      </c>
      <c r="F3918" t="s">
        <v>26</v>
      </c>
      <c r="L3918" t="s">
        <v>17998</v>
      </c>
      <c r="R3918" t="s">
        <v>17998</v>
      </c>
      <c r="T3918" t="s">
        <v>17999</v>
      </c>
      <c r="U3918" t="s">
        <v>18000</v>
      </c>
      <c r="V3918" t="s">
        <v>17998</v>
      </c>
      <c r="W3918" t="s">
        <v>851</v>
      </c>
      <c r="X3918" t="s">
        <v>18001</v>
      </c>
      <c r="Y3918">
        <v>0</v>
      </c>
      <c r="Z3918">
        <v>1</v>
      </c>
    </row>
    <row r="3919" spans="1:26">
      <c r="A3919" s="1">
        <v>3917</v>
      </c>
      <c r="B3919" t="str">
        <f>HYPERLINK("https://bugs.eclipse.org/bugs/show_bug.cgi?id=281051", "281051")</f>
        <v>281051</v>
      </c>
      <c r="C3919" t="s">
        <v>56</v>
      </c>
      <c r="D3919" t="s">
        <v>10</v>
      </c>
      <c r="E3919" t="s">
        <v>14</v>
      </c>
      <c r="F3919" t="s">
        <v>26</v>
      </c>
      <c r="L3919" t="s">
        <v>18002</v>
      </c>
      <c r="O3919" t="s">
        <v>18002</v>
      </c>
      <c r="P3919" t="s">
        <v>18003</v>
      </c>
      <c r="T3919" t="s">
        <v>18004</v>
      </c>
      <c r="U3919" t="s">
        <v>18005</v>
      </c>
      <c r="V3919" t="s">
        <v>18003</v>
      </c>
      <c r="W3919" t="s">
        <v>851</v>
      </c>
      <c r="X3919" t="s">
        <v>18006</v>
      </c>
      <c r="Y3919">
        <v>1</v>
      </c>
      <c r="Z3919">
        <v>35</v>
      </c>
    </row>
    <row r="3920" spans="1:26">
      <c r="A3920" s="1">
        <v>3918</v>
      </c>
      <c r="B3920" t="str">
        <f>HYPERLINK("https://bugs.eclipse.org/bugs/show_bug.cgi?id=281223", "281223")</f>
        <v>281223</v>
      </c>
      <c r="C3920" t="s">
        <v>25</v>
      </c>
      <c r="D3920" t="s">
        <v>25</v>
      </c>
      <c r="F3920" t="s">
        <v>460</v>
      </c>
      <c r="T3920" t="s">
        <v>18007</v>
      </c>
      <c r="U3920" t="s">
        <v>18008</v>
      </c>
      <c r="V3920" t="s">
        <v>18009</v>
      </c>
      <c r="W3920" t="s">
        <v>13368</v>
      </c>
      <c r="X3920" t="s">
        <v>18010</v>
      </c>
      <c r="Y3920">
        <v>0</v>
      </c>
    </row>
    <row r="3921" spans="1:26">
      <c r="A3921" s="1">
        <v>3919</v>
      </c>
      <c r="B3921" t="str">
        <f>HYPERLINK("https://bugs.eclipse.org/bugs/show_bug.cgi?id=281557", "281557")</f>
        <v>281557</v>
      </c>
      <c r="C3921" t="s">
        <v>17700</v>
      </c>
      <c r="D3921" t="s">
        <v>10</v>
      </c>
      <c r="E3921" t="s">
        <v>17701</v>
      </c>
      <c r="F3921" t="s">
        <v>26</v>
      </c>
      <c r="L3921" t="s">
        <v>18011</v>
      </c>
      <c r="S3921" t="s">
        <v>18012</v>
      </c>
      <c r="T3921" t="s">
        <v>18013</v>
      </c>
      <c r="U3921" t="s">
        <v>18014</v>
      </c>
      <c r="V3921" t="s">
        <v>18015</v>
      </c>
      <c r="W3921" t="s">
        <v>851</v>
      </c>
      <c r="X3921" t="s">
        <v>18016</v>
      </c>
      <c r="Y3921">
        <v>0</v>
      </c>
      <c r="Z3921">
        <v>81</v>
      </c>
    </row>
    <row r="3922" spans="1:26">
      <c r="A3922" s="1">
        <v>3920</v>
      </c>
      <c r="B3922" t="str">
        <f>HYPERLINK("https://bugs.eclipse.org/bugs/show_bug.cgi?id=281794", "281794")</f>
        <v>281794</v>
      </c>
      <c r="C3922" t="s">
        <v>35</v>
      </c>
      <c r="D3922" t="s">
        <v>11</v>
      </c>
      <c r="E3922" t="s">
        <v>12</v>
      </c>
      <c r="F3922" t="s">
        <v>26</v>
      </c>
      <c r="G3922" t="s">
        <v>18017</v>
      </c>
      <c r="L3922" t="s">
        <v>18018</v>
      </c>
      <c r="M3922" t="s">
        <v>18019</v>
      </c>
      <c r="N3922" t="s">
        <v>18018</v>
      </c>
      <c r="T3922" t="s">
        <v>18020</v>
      </c>
      <c r="U3922" t="s">
        <v>18021</v>
      </c>
      <c r="V3922" t="s">
        <v>18019</v>
      </c>
      <c r="W3922" t="s">
        <v>143</v>
      </c>
      <c r="X3922" t="s">
        <v>18022</v>
      </c>
      <c r="Y3922">
        <v>0</v>
      </c>
      <c r="Z3922">
        <v>849</v>
      </c>
    </row>
    <row r="3923" spans="1:26">
      <c r="A3923" s="1">
        <v>3921</v>
      </c>
      <c r="B3923" t="str">
        <f>HYPERLINK("https://bugs.eclipse.org/bugs/show_bug.cgi?id=281951", "281951")</f>
        <v>281951</v>
      </c>
      <c r="C3923" t="s">
        <v>191</v>
      </c>
      <c r="D3923" t="s">
        <v>192</v>
      </c>
      <c r="E3923" t="s">
        <v>14</v>
      </c>
      <c r="F3923" t="s">
        <v>26</v>
      </c>
      <c r="P3923" t="s">
        <v>18023</v>
      </c>
      <c r="T3923" t="s">
        <v>18024</v>
      </c>
      <c r="U3923" t="s">
        <v>18025</v>
      </c>
      <c r="V3923" t="s">
        <v>18023</v>
      </c>
      <c r="W3923" t="s">
        <v>65</v>
      </c>
      <c r="X3923" t="s">
        <v>18026</v>
      </c>
      <c r="Y3923">
        <v>0</v>
      </c>
      <c r="Z3923">
        <v>3883.041666666667</v>
      </c>
    </row>
    <row r="3924" spans="1:26">
      <c r="A3924" s="1">
        <v>3922</v>
      </c>
      <c r="B3924" t="str">
        <f>HYPERLINK("https://bugs.eclipse.org/bugs/show_bug.cgi?id=281953", "281953")</f>
        <v>281953</v>
      </c>
      <c r="C3924" t="s">
        <v>191</v>
      </c>
      <c r="D3924" t="s">
        <v>192</v>
      </c>
      <c r="E3924" t="s">
        <v>14</v>
      </c>
      <c r="F3924" t="s">
        <v>26</v>
      </c>
      <c r="P3924" t="s">
        <v>18027</v>
      </c>
      <c r="T3924" t="s">
        <v>18028</v>
      </c>
      <c r="U3924" t="s">
        <v>18029</v>
      </c>
      <c r="V3924" t="s">
        <v>18027</v>
      </c>
      <c r="W3924" t="s">
        <v>65</v>
      </c>
      <c r="X3924" t="s">
        <v>18030</v>
      </c>
      <c r="Y3924">
        <v>0</v>
      </c>
      <c r="Z3924">
        <v>3877.041666666667</v>
      </c>
    </row>
    <row r="3925" spans="1:26">
      <c r="A3925" s="1">
        <v>3923</v>
      </c>
      <c r="B3925" t="str">
        <f>HYPERLINK("https://bugs.eclipse.org/bugs/show_bug.cgi?id=281980", "281980")</f>
        <v>281980</v>
      </c>
      <c r="C3925" t="s">
        <v>191</v>
      </c>
      <c r="D3925" t="s">
        <v>192</v>
      </c>
      <c r="E3925" t="s">
        <v>14</v>
      </c>
      <c r="F3925" t="s">
        <v>26</v>
      </c>
      <c r="T3925" t="s">
        <v>18031</v>
      </c>
      <c r="U3925" t="s">
        <v>18032</v>
      </c>
      <c r="V3925" t="s">
        <v>18033</v>
      </c>
      <c r="W3925" t="s">
        <v>65</v>
      </c>
      <c r="X3925" t="s">
        <v>18034</v>
      </c>
      <c r="Y3925">
        <v>0</v>
      </c>
      <c r="Z3925">
        <v>3849.041666666667</v>
      </c>
    </row>
    <row r="3926" spans="1:26">
      <c r="A3926" s="1">
        <v>3924</v>
      </c>
      <c r="B3926" t="str">
        <f>HYPERLINK("https://bugs.eclipse.org/bugs/show_bug.cgi?id=282755", "282755")</f>
        <v>282755</v>
      </c>
      <c r="C3926" t="s">
        <v>149</v>
      </c>
      <c r="D3926" t="s">
        <v>10</v>
      </c>
      <c r="E3926" t="s">
        <v>12</v>
      </c>
      <c r="F3926" t="s">
        <v>26</v>
      </c>
      <c r="L3926" t="s">
        <v>18035</v>
      </c>
      <c r="N3926" t="s">
        <v>18035</v>
      </c>
      <c r="T3926" t="s">
        <v>18036</v>
      </c>
      <c r="U3926" t="s">
        <v>18037</v>
      </c>
      <c r="V3926" t="s">
        <v>18038</v>
      </c>
      <c r="W3926" t="s">
        <v>851</v>
      </c>
      <c r="X3926" t="s">
        <v>18039</v>
      </c>
      <c r="Y3926">
        <v>1</v>
      </c>
      <c r="Z3926">
        <v>97</v>
      </c>
    </row>
    <row r="3927" spans="1:26">
      <c r="A3927" s="1">
        <v>3925</v>
      </c>
      <c r="B3927" t="str">
        <f>HYPERLINK("https://bugs.eclipse.org/bugs/show_bug.cgi?id=283330", "283330")</f>
        <v>283330</v>
      </c>
      <c r="C3927" t="s">
        <v>18040</v>
      </c>
      <c r="D3927" t="s">
        <v>192</v>
      </c>
      <c r="E3927" t="s">
        <v>15</v>
      </c>
      <c r="F3927" t="s">
        <v>26</v>
      </c>
      <c r="Q3927" t="s">
        <v>18041</v>
      </c>
      <c r="T3927" t="s">
        <v>18042</v>
      </c>
      <c r="U3927" t="s">
        <v>18043</v>
      </c>
      <c r="V3927" t="s">
        <v>18041</v>
      </c>
      <c r="W3927" t="s">
        <v>16518</v>
      </c>
      <c r="X3927" t="s">
        <v>18044</v>
      </c>
      <c r="Y3927">
        <v>21</v>
      </c>
      <c r="Z3927">
        <v>70</v>
      </c>
    </row>
    <row r="3928" spans="1:26">
      <c r="A3928" s="1">
        <v>3926</v>
      </c>
      <c r="B3928" t="str">
        <f>HYPERLINK("https://bugs.eclipse.org/bugs/show_bug.cgi?id=283414", "283414")</f>
        <v>283414</v>
      </c>
      <c r="C3928" t="s">
        <v>140</v>
      </c>
      <c r="D3928" t="s">
        <v>10</v>
      </c>
      <c r="E3928" t="s">
        <v>16</v>
      </c>
      <c r="F3928" t="s">
        <v>26</v>
      </c>
      <c r="L3928" t="s">
        <v>18045</v>
      </c>
      <c r="R3928" t="s">
        <v>18045</v>
      </c>
      <c r="T3928" t="s">
        <v>18046</v>
      </c>
      <c r="U3928" t="s">
        <v>18047</v>
      </c>
      <c r="V3928" t="s">
        <v>18045</v>
      </c>
      <c r="W3928" t="s">
        <v>851</v>
      </c>
      <c r="X3928" t="s">
        <v>18048</v>
      </c>
      <c r="Y3928">
        <v>0</v>
      </c>
      <c r="Z3928">
        <v>0</v>
      </c>
    </row>
    <row r="3929" spans="1:26">
      <c r="A3929" s="1">
        <v>3927</v>
      </c>
      <c r="B3929" t="str">
        <f>HYPERLINK("https://bugs.eclipse.org/bugs/show_bug.cgi?id=283427", "283427")</f>
        <v>283427</v>
      </c>
      <c r="C3929" t="s">
        <v>149</v>
      </c>
      <c r="D3929" t="s">
        <v>10</v>
      </c>
      <c r="E3929" t="s">
        <v>12</v>
      </c>
      <c r="F3929" t="s">
        <v>150</v>
      </c>
      <c r="L3929" t="s">
        <v>18049</v>
      </c>
      <c r="N3929" t="s">
        <v>18049</v>
      </c>
      <c r="T3929" t="s">
        <v>18050</v>
      </c>
      <c r="U3929" t="s">
        <v>18051</v>
      </c>
      <c r="V3929" t="s">
        <v>18049</v>
      </c>
      <c r="W3929" t="s">
        <v>851</v>
      </c>
      <c r="X3929" t="s">
        <v>18052</v>
      </c>
      <c r="Y3929">
        <v>0</v>
      </c>
      <c r="Z3929">
        <v>237.04166666666671</v>
      </c>
    </row>
    <row r="3930" spans="1:26">
      <c r="A3930" s="1">
        <v>3928</v>
      </c>
      <c r="B3930" t="str">
        <f>HYPERLINK("https://bugs.eclipse.org/bugs/show_bug.cgi?id=283962", "283962")</f>
        <v>283962</v>
      </c>
      <c r="C3930" t="s">
        <v>18053</v>
      </c>
      <c r="D3930" t="s">
        <v>192</v>
      </c>
      <c r="E3930" t="s">
        <v>15</v>
      </c>
      <c r="F3930" t="s">
        <v>26</v>
      </c>
      <c r="L3930" t="s">
        <v>18054</v>
      </c>
      <c r="Q3930" t="s">
        <v>18055</v>
      </c>
      <c r="R3930" t="s">
        <v>18054</v>
      </c>
      <c r="T3930" t="s">
        <v>18056</v>
      </c>
      <c r="U3930" t="s">
        <v>18057</v>
      </c>
      <c r="V3930" t="s">
        <v>18055</v>
      </c>
      <c r="W3930" t="s">
        <v>143</v>
      </c>
      <c r="X3930" t="s">
        <v>18058</v>
      </c>
      <c r="Y3930">
        <v>24</v>
      </c>
      <c r="Z3930">
        <v>1241.041666666667</v>
      </c>
    </row>
    <row r="3931" spans="1:26">
      <c r="A3931" s="1">
        <v>3929</v>
      </c>
      <c r="B3931" t="str">
        <f>HYPERLINK("https://bugs.eclipse.org/bugs/show_bug.cgi?id=284769", "284769")</f>
        <v>284769</v>
      </c>
      <c r="C3931" t="s">
        <v>35</v>
      </c>
      <c r="D3931" t="s">
        <v>11</v>
      </c>
      <c r="E3931" t="s">
        <v>12</v>
      </c>
      <c r="F3931" t="s">
        <v>26</v>
      </c>
      <c r="L3931" t="s">
        <v>18059</v>
      </c>
      <c r="M3931" t="s">
        <v>18060</v>
      </c>
      <c r="N3931" t="s">
        <v>18059</v>
      </c>
      <c r="T3931" t="s">
        <v>18061</v>
      </c>
      <c r="U3931" t="s">
        <v>18062</v>
      </c>
      <c r="V3931" t="s">
        <v>18060</v>
      </c>
      <c r="W3931" t="s">
        <v>143</v>
      </c>
      <c r="X3931" t="s">
        <v>18063</v>
      </c>
      <c r="Y3931">
        <v>0</v>
      </c>
      <c r="Z3931">
        <v>8</v>
      </c>
    </row>
    <row r="3932" spans="1:26">
      <c r="A3932" s="1">
        <v>3930</v>
      </c>
      <c r="B3932" t="str">
        <f>HYPERLINK("https://bugs.eclipse.org/bugs/show_bug.cgi?id=284793", "284793")</f>
        <v>284793</v>
      </c>
      <c r="C3932" t="s">
        <v>149</v>
      </c>
      <c r="D3932" t="s">
        <v>10</v>
      </c>
      <c r="E3932" t="s">
        <v>12</v>
      </c>
      <c r="F3932" t="s">
        <v>26</v>
      </c>
      <c r="L3932" t="s">
        <v>18064</v>
      </c>
      <c r="N3932" t="s">
        <v>18064</v>
      </c>
      <c r="T3932" t="s">
        <v>18065</v>
      </c>
      <c r="U3932" t="s">
        <v>18066</v>
      </c>
      <c r="V3932" t="s">
        <v>18064</v>
      </c>
      <c r="W3932" t="s">
        <v>851</v>
      </c>
      <c r="X3932" t="s">
        <v>18067</v>
      </c>
      <c r="Y3932">
        <v>1</v>
      </c>
      <c r="Z3932">
        <v>1</v>
      </c>
    </row>
    <row r="3933" spans="1:26">
      <c r="A3933" s="1">
        <v>3931</v>
      </c>
      <c r="B3933" t="str">
        <f>HYPERLINK("https://bugs.eclipse.org/bugs/show_bug.cgi?id=284895", "284895")</f>
        <v>284895</v>
      </c>
      <c r="C3933" t="s">
        <v>56</v>
      </c>
      <c r="D3933" t="s">
        <v>10</v>
      </c>
      <c r="E3933" t="s">
        <v>14</v>
      </c>
      <c r="F3933" t="s">
        <v>26</v>
      </c>
      <c r="L3933" t="s">
        <v>18068</v>
      </c>
      <c r="P3933" t="s">
        <v>18068</v>
      </c>
      <c r="T3933" t="s">
        <v>18069</v>
      </c>
      <c r="U3933" t="s">
        <v>18068</v>
      </c>
      <c r="V3933" t="s">
        <v>18068</v>
      </c>
      <c r="W3933" t="s">
        <v>851</v>
      </c>
      <c r="X3933" t="s">
        <v>18070</v>
      </c>
      <c r="Y3933">
        <v>0</v>
      </c>
      <c r="Z3933">
        <v>0</v>
      </c>
    </row>
    <row r="3934" spans="1:26">
      <c r="A3934" s="1">
        <v>3932</v>
      </c>
      <c r="B3934" t="str">
        <f>HYPERLINK("https://bugs.eclipse.org/bugs/show_bug.cgi?id=285437", "285437")</f>
        <v>285437</v>
      </c>
      <c r="C3934" t="s">
        <v>35</v>
      </c>
      <c r="D3934" t="s">
        <v>11</v>
      </c>
      <c r="E3934" t="s">
        <v>12</v>
      </c>
      <c r="F3934" t="s">
        <v>26</v>
      </c>
      <c r="L3934" t="s">
        <v>18071</v>
      </c>
      <c r="M3934" t="s">
        <v>18072</v>
      </c>
      <c r="N3934" t="s">
        <v>18071</v>
      </c>
      <c r="T3934" t="s">
        <v>18073</v>
      </c>
      <c r="U3934" t="s">
        <v>18074</v>
      </c>
      <c r="V3934" t="s">
        <v>18072</v>
      </c>
      <c r="W3934" t="s">
        <v>143</v>
      </c>
      <c r="X3934" t="s">
        <v>18075</v>
      </c>
      <c r="Y3934">
        <v>0</v>
      </c>
      <c r="Z3934">
        <v>24</v>
      </c>
    </row>
    <row r="3935" spans="1:26">
      <c r="A3935" s="1">
        <v>3933</v>
      </c>
      <c r="B3935" t="str">
        <f>HYPERLINK("https://bugs.eclipse.org/bugs/show_bug.cgi?id=285554", "285554")</f>
        <v>285554</v>
      </c>
      <c r="C3935" t="s">
        <v>18076</v>
      </c>
      <c r="D3935" t="s">
        <v>192</v>
      </c>
      <c r="E3935" t="s">
        <v>15</v>
      </c>
      <c r="F3935" t="s">
        <v>26</v>
      </c>
      <c r="Q3935" t="s">
        <v>18077</v>
      </c>
      <c r="T3935" t="s">
        <v>18078</v>
      </c>
      <c r="U3935" t="s">
        <v>18079</v>
      </c>
      <c r="V3935" t="s">
        <v>18077</v>
      </c>
      <c r="W3935" t="s">
        <v>18080</v>
      </c>
      <c r="X3935" t="s">
        <v>18081</v>
      </c>
      <c r="Y3935">
        <v>0</v>
      </c>
      <c r="Z3935">
        <v>3535</v>
      </c>
    </row>
    <row r="3936" spans="1:26">
      <c r="A3936" s="1">
        <v>3934</v>
      </c>
      <c r="B3936" t="str">
        <f>HYPERLINK("https://bugs.eclipse.org/bugs/show_bug.cgi?id=285569", "285569")</f>
        <v>285569</v>
      </c>
      <c r="C3936" t="s">
        <v>191</v>
      </c>
      <c r="D3936" t="s">
        <v>192</v>
      </c>
      <c r="E3936" t="s">
        <v>14</v>
      </c>
      <c r="F3936" t="s">
        <v>26</v>
      </c>
      <c r="T3936" t="s">
        <v>18082</v>
      </c>
      <c r="U3936" t="s">
        <v>18083</v>
      </c>
      <c r="V3936" t="s">
        <v>18084</v>
      </c>
      <c r="W3936" t="s">
        <v>65</v>
      </c>
      <c r="X3936" t="s">
        <v>18085</v>
      </c>
      <c r="Y3936">
        <v>0</v>
      </c>
      <c r="Z3936">
        <v>3362</v>
      </c>
    </row>
    <row r="3937" spans="1:26">
      <c r="A3937" s="1">
        <v>3935</v>
      </c>
      <c r="B3937" t="str">
        <f>HYPERLINK("https://bugs.eclipse.org/bugs/show_bug.cgi?id=285916", "285916")</f>
        <v>285916</v>
      </c>
      <c r="C3937" t="s">
        <v>56</v>
      </c>
      <c r="D3937" t="s">
        <v>10</v>
      </c>
      <c r="E3937" t="s">
        <v>14</v>
      </c>
      <c r="F3937" t="s">
        <v>26</v>
      </c>
      <c r="L3937" t="s">
        <v>18086</v>
      </c>
      <c r="P3937" t="s">
        <v>18086</v>
      </c>
      <c r="T3937" t="s">
        <v>18087</v>
      </c>
      <c r="U3937" t="s">
        <v>18088</v>
      </c>
      <c r="V3937" t="s">
        <v>18086</v>
      </c>
      <c r="W3937" t="s">
        <v>851</v>
      </c>
      <c r="X3937" t="s">
        <v>18089</v>
      </c>
      <c r="Y3937">
        <v>2</v>
      </c>
      <c r="Z3937">
        <v>4</v>
      </c>
    </row>
    <row r="3938" spans="1:26">
      <c r="A3938" s="1">
        <v>3936</v>
      </c>
      <c r="B3938" t="str">
        <f>HYPERLINK("https://bugs.eclipse.org/bugs/show_bug.cgi?id=286180", "286180")</f>
        <v>286180</v>
      </c>
      <c r="C3938" t="s">
        <v>140</v>
      </c>
      <c r="D3938" t="s">
        <v>10</v>
      </c>
      <c r="E3938" t="s">
        <v>16</v>
      </c>
      <c r="F3938" t="s">
        <v>26</v>
      </c>
      <c r="L3938" t="s">
        <v>18090</v>
      </c>
      <c r="R3938" t="s">
        <v>18090</v>
      </c>
      <c r="T3938" t="s">
        <v>18091</v>
      </c>
      <c r="U3938" t="s">
        <v>18092</v>
      </c>
      <c r="V3938" t="s">
        <v>18090</v>
      </c>
      <c r="W3938" t="s">
        <v>851</v>
      </c>
      <c r="X3938" t="s">
        <v>18093</v>
      </c>
      <c r="Y3938">
        <v>0</v>
      </c>
      <c r="Z3938">
        <v>1</v>
      </c>
    </row>
    <row r="3939" spans="1:26">
      <c r="A3939" s="1">
        <v>3937</v>
      </c>
      <c r="B3939" t="str">
        <f>HYPERLINK("https://bugs.eclipse.org/bugs/show_bug.cgi?id=286221", "286221")</f>
        <v>286221</v>
      </c>
      <c r="C3939" t="s">
        <v>149</v>
      </c>
      <c r="D3939" t="s">
        <v>10</v>
      </c>
      <c r="E3939" t="s">
        <v>12</v>
      </c>
      <c r="F3939" t="s">
        <v>26</v>
      </c>
      <c r="L3939" t="s">
        <v>18094</v>
      </c>
      <c r="N3939" t="s">
        <v>18094</v>
      </c>
      <c r="T3939" t="s">
        <v>18095</v>
      </c>
      <c r="U3939" t="s">
        <v>18096</v>
      </c>
      <c r="V3939" t="s">
        <v>18094</v>
      </c>
      <c r="W3939" t="s">
        <v>851</v>
      </c>
      <c r="X3939" t="s">
        <v>18097</v>
      </c>
      <c r="Y3939">
        <v>6</v>
      </c>
      <c r="Z3939">
        <v>6</v>
      </c>
    </row>
    <row r="3940" spans="1:26">
      <c r="A3940" s="1">
        <v>3938</v>
      </c>
      <c r="B3940" t="str">
        <f>HYPERLINK("https://bugs.eclipse.org/bugs/show_bug.cgi?id=286224", "286224")</f>
        <v>286224</v>
      </c>
      <c r="C3940" t="s">
        <v>191</v>
      </c>
      <c r="D3940" t="s">
        <v>192</v>
      </c>
      <c r="E3940" t="s">
        <v>14</v>
      </c>
      <c r="F3940" t="s">
        <v>26</v>
      </c>
      <c r="H3940" t="s">
        <v>18098</v>
      </c>
      <c r="P3940" t="s">
        <v>18099</v>
      </c>
      <c r="T3940" t="s">
        <v>18100</v>
      </c>
      <c r="U3940" t="s">
        <v>18101</v>
      </c>
      <c r="V3940" t="s">
        <v>18099</v>
      </c>
      <c r="W3940" t="s">
        <v>65</v>
      </c>
      <c r="X3940" t="s">
        <v>18102</v>
      </c>
      <c r="Y3940">
        <v>6</v>
      </c>
      <c r="Z3940">
        <v>3811.041666666667</v>
      </c>
    </row>
    <row r="3941" spans="1:26">
      <c r="A3941" s="1">
        <v>3939</v>
      </c>
      <c r="B3941" t="str">
        <f>HYPERLINK("https://bugs.eclipse.org/bugs/show_bug.cgi?id=286227", "286227")</f>
        <v>286227</v>
      </c>
      <c r="C3941" t="s">
        <v>7691</v>
      </c>
      <c r="D3941" t="s">
        <v>10</v>
      </c>
      <c r="E3941" t="s">
        <v>15</v>
      </c>
      <c r="F3941" t="s">
        <v>26</v>
      </c>
      <c r="L3941" t="s">
        <v>18103</v>
      </c>
      <c r="Q3941" t="s">
        <v>18103</v>
      </c>
      <c r="T3941" t="s">
        <v>18104</v>
      </c>
      <c r="U3941" t="s">
        <v>18105</v>
      </c>
      <c r="V3941" t="s">
        <v>18103</v>
      </c>
      <c r="W3941" t="s">
        <v>851</v>
      </c>
      <c r="X3941" t="s">
        <v>18106</v>
      </c>
      <c r="Y3941">
        <v>0</v>
      </c>
      <c r="Z3941">
        <v>6</v>
      </c>
    </row>
    <row r="3942" spans="1:26">
      <c r="A3942" s="1">
        <v>3940</v>
      </c>
      <c r="B3942" t="str">
        <f>HYPERLINK("https://bugs.eclipse.org/bugs/show_bug.cgi?id=287136", "287136")</f>
        <v>287136</v>
      </c>
      <c r="C3942" t="s">
        <v>149</v>
      </c>
      <c r="D3942" t="s">
        <v>10</v>
      </c>
      <c r="E3942" t="s">
        <v>12</v>
      </c>
      <c r="F3942" t="s">
        <v>150</v>
      </c>
      <c r="L3942" t="s">
        <v>18107</v>
      </c>
      <c r="N3942" t="s">
        <v>18107</v>
      </c>
      <c r="T3942" t="s">
        <v>18108</v>
      </c>
      <c r="U3942" t="s">
        <v>18109</v>
      </c>
      <c r="V3942" t="s">
        <v>18107</v>
      </c>
      <c r="W3942" t="s">
        <v>851</v>
      </c>
      <c r="X3942" t="s">
        <v>18110</v>
      </c>
      <c r="Y3942">
        <v>0</v>
      </c>
      <c r="Z3942">
        <v>935</v>
      </c>
    </row>
    <row r="3943" spans="1:26">
      <c r="A3943" s="1">
        <v>3941</v>
      </c>
      <c r="B3943" t="str">
        <f>HYPERLINK("https://bugs.eclipse.org/bugs/show_bug.cgi?id=287179", "287179")</f>
        <v>287179</v>
      </c>
      <c r="C3943" t="s">
        <v>191</v>
      </c>
      <c r="D3943" t="s">
        <v>192</v>
      </c>
      <c r="E3943" t="s">
        <v>14</v>
      </c>
      <c r="F3943" t="s">
        <v>26</v>
      </c>
      <c r="P3943" t="s">
        <v>18111</v>
      </c>
      <c r="T3943" t="s">
        <v>18112</v>
      </c>
      <c r="U3943" t="s">
        <v>18113</v>
      </c>
      <c r="V3943" t="s">
        <v>18111</v>
      </c>
      <c r="W3943" t="s">
        <v>65</v>
      </c>
      <c r="X3943" t="s">
        <v>18114</v>
      </c>
      <c r="Y3943">
        <v>0</v>
      </c>
      <c r="Z3943">
        <v>3843.041666666667</v>
      </c>
    </row>
    <row r="3944" spans="1:26">
      <c r="A3944" s="1">
        <v>3942</v>
      </c>
      <c r="B3944" t="str">
        <f>HYPERLINK("https://bugs.eclipse.org/bugs/show_bug.cgi?id=287374", "287374")</f>
        <v>287374</v>
      </c>
      <c r="C3944" t="s">
        <v>149</v>
      </c>
      <c r="D3944" t="s">
        <v>10</v>
      </c>
      <c r="E3944" t="s">
        <v>12</v>
      </c>
      <c r="F3944" t="s">
        <v>26</v>
      </c>
      <c r="L3944" t="s">
        <v>18115</v>
      </c>
      <c r="N3944" t="s">
        <v>18115</v>
      </c>
      <c r="T3944" t="s">
        <v>18116</v>
      </c>
      <c r="U3944" t="s">
        <v>18117</v>
      </c>
      <c r="V3944" t="s">
        <v>18115</v>
      </c>
      <c r="W3944" t="s">
        <v>2777</v>
      </c>
      <c r="X3944" t="s">
        <v>18118</v>
      </c>
      <c r="Y3944">
        <v>3</v>
      </c>
      <c r="Z3944">
        <v>374</v>
      </c>
    </row>
    <row r="3945" spans="1:26">
      <c r="A3945" s="1">
        <v>3943</v>
      </c>
      <c r="B3945" t="str">
        <f>HYPERLINK("https://bugs.eclipse.org/bugs/show_bug.cgi?id=287378", "287378")</f>
        <v>287378</v>
      </c>
      <c r="C3945" t="s">
        <v>149</v>
      </c>
      <c r="D3945" t="s">
        <v>10</v>
      </c>
      <c r="E3945" t="s">
        <v>12</v>
      </c>
      <c r="F3945" t="s">
        <v>26</v>
      </c>
      <c r="L3945" t="s">
        <v>18119</v>
      </c>
      <c r="N3945" t="s">
        <v>18119</v>
      </c>
      <c r="T3945" t="s">
        <v>18120</v>
      </c>
      <c r="U3945" t="s">
        <v>18121</v>
      </c>
      <c r="V3945" t="s">
        <v>18119</v>
      </c>
      <c r="W3945" t="s">
        <v>851</v>
      </c>
      <c r="X3945" t="s">
        <v>18122</v>
      </c>
      <c r="Y3945">
        <v>3</v>
      </c>
      <c r="Z3945">
        <v>3</v>
      </c>
    </row>
    <row r="3946" spans="1:26">
      <c r="A3946" s="1">
        <v>3944</v>
      </c>
      <c r="B3946" t="str">
        <f>HYPERLINK("https://bugs.eclipse.org/bugs/show_bug.cgi?id=287539", "287539")</f>
        <v>287539</v>
      </c>
      <c r="C3946" t="s">
        <v>17700</v>
      </c>
      <c r="D3946" t="s">
        <v>10</v>
      </c>
      <c r="E3946" t="s">
        <v>17701</v>
      </c>
      <c r="F3946" t="s">
        <v>26</v>
      </c>
      <c r="G3946" t="s">
        <v>18123</v>
      </c>
      <c r="L3946" t="s">
        <v>18124</v>
      </c>
      <c r="Q3946" t="s">
        <v>18124</v>
      </c>
      <c r="T3946" t="s">
        <v>18125</v>
      </c>
      <c r="U3946" t="s">
        <v>18126</v>
      </c>
      <c r="V3946" t="s">
        <v>18127</v>
      </c>
      <c r="W3946" t="s">
        <v>143</v>
      </c>
      <c r="X3946" t="s">
        <v>18128</v>
      </c>
      <c r="Y3946">
        <v>0</v>
      </c>
      <c r="Z3946">
        <v>883.04166666666663</v>
      </c>
    </row>
    <row r="3947" spans="1:26">
      <c r="A3947" s="1">
        <v>3945</v>
      </c>
      <c r="B3947" t="str">
        <f>HYPERLINK("https://bugs.eclipse.org/bugs/show_bug.cgi?id=287803", "287803")</f>
        <v>287803</v>
      </c>
      <c r="C3947" t="s">
        <v>191</v>
      </c>
      <c r="D3947" t="s">
        <v>192</v>
      </c>
      <c r="E3947" t="s">
        <v>14</v>
      </c>
      <c r="F3947" t="s">
        <v>26</v>
      </c>
      <c r="P3947" t="s">
        <v>18129</v>
      </c>
      <c r="T3947" t="s">
        <v>18130</v>
      </c>
      <c r="U3947" t="s">
        <v>18131</v>
      </c>
      <c r="V3947" t="s">
        <v>18129</v>
      </c>
      <c r="W3947" t="s">
        <v>65</v>
      </c>
      <c r="X3947" t="s">
        <v>18132</v>
      </c>
      <c r="Y3947">
        <v>0</v>
      </c>
      <c r="Z3947">
        <v>3860</v>
      </c>
    </row>
    <row r="3948" spans="1:26">
      <c r="A3948" s="1">
        <v>3946</v>
      </c>
      <c r="B3948" t="str">
        <f>HYPERLINK("https://bugs.eclipse.org/bugs/show_bug.cgi?id=288385", "288385")</f>
        <v>288385</v>
      </c>
      <c r="C3948" t="s">
        <v>149</v>
      </c>
      <c r="D3948" t="s">
        <v>10</v>
      </c>
      <c r="E3948" t="s">
        <v>12</v>
      </c>
      <c r="F3948" t="s">
        <v>26</v>
      </c>
      <c r="G3948" t="s">
        <v>18133</v>
      </c>
      <c r="L3948" t="s">
        <v>18134</v>
      </c>
      <c r="N3948" t="s">
        <v>18134</v>
      </c>
      <c r="T3948" t="s">
        <v>18135</v>
      </c>
      <c r="U3948" t="s">
        <v>18136</v>
      </c>
      <c r="V3948" t="s">
        <v>18134</v>
      </c>
      <c r="W3948" t="s">
        <v>143</v>
      </c>
      <c r="X3948" t="s">
        <v>18137</v>
      </c>
      <c r="Y3948">
        <v>7</v>
      </c>
      <c r="Z3948">
        <v>181.04166666666671</v>
      </c>
    </row>
    <row r="3949" spans="1:26">
      <c r="A3949" s="1">
        <v>3947</v>
      </c>
      <c r="B3949" t="str">
        <f>HYPERLINK("https://bugs.eclipse.org/bugs/show_bug.cgi?id=288435", "288435")</f>
        <v>288435</v>
      </c>
      <c r="C3949" t="s">
        <v>140</v>
      </c>
      <c r="D3949" t="s">
        <v>10</v>
      </c>
      <c r="E3949" t="s">
        <v>16</v>
      </c>
      <c r="F3949" t="s">
        <v>26</v>
      </c>
      <c r="L3949" t="s">
        <v>18138</v>
      </c>
      <c r="R3949" t="s">
        <v>18138</v>
      </c>
      <c r="T3949" t="s">
        <v>18139</v>
      </c>
      <c r="U3949" t="s">
        <v>18140</v>
      </c>
      <c r="V3949" t="s">
        <v>18138</v>
      </c>
      <c r="W3949" t="s">
        <v>851</v>
      </c>
      <c r="X3949" t="s">
        <v>18141</v>
      </c>
      <c r="Y3949">
        <v>0</v>
      </c>
      <c r="Z3949">
        <v>0</v>
      </c>
    </row>
    <row r="3950" spans="1:26">
      <c r="A3950" s="1">
        <v>3948</v>
      </c>
      <c r="B3950" t="str">
        <f>HYPERLINK("https://bugs.eclipse.org/bugs/show_bug.cgi?id=288702", "288702")</f>
        <v>288702</v>
      </c>
      <c r="C3950" t="s">
        <v>16580</v>
      </c>
      <c r="D3950" t="s">
        <v>10</v>
      </c>
      <c r="E3950" t="s">
        <v>15</v>
      </c>
      <c r="F3950" t="s">
        <v>26</v>
      </c>
      <c r="L3950" t="s">
        <v>18142</v>
      </c>
      <c r="Q3950" t="s">
        <v>18143</v>
      </c>
      <c r="R3950" t="s">
        <v>18142</v>
      </c>
      <c r="T3950" t="s">
        <v>18144</v>
      </c>
      <c r="U3950" t="s">
        <v>18145</v>
      </c>
      <c r="V3950" t="s">
        <v>18143</v>
      </c>
      <c r="W3950" t="s">
        <v>851</v>
      </c>
      <c r="X3950" t="s">
        <v>18146</v>
      </c>
      <c r="Y3950">
        <v>0</v>
      </c>
      <c r="Z3950">
        <v>158.04166666666671</v>
      </c>
    </row>
    <row r="3951" spans="1:26">
      <c r="A3951" s="1">
        <v>3949</v>
      </c>
      <c r="B3951" t="str">
        <f>HYPERLINK("https://bugs.eclipse.org/bugs/show_bug.cgi?id=288847", "288847")</f>
        <v>288847</v>
      </c>
      <c r="C3951" t="s">
        <v>149</v>
      </c>
      <c r="D3951" t="s">
        <v>10</v>
      </c>
      <c r="E3951" t="s">
        <v>12</v>
      </c>
      <c r="F3951" t="s">
        <v>26</v>
      </c>
      <c r="L3951" t="s">
        <v>18147</v>
      </c>
      <c r="N3951" t="s">
        <v>18147</v>
      </c>
      <c r="T3951" t="s">
        <v>18148</v>
      </c>
      <c r="U3951" t="s">
        <v>18149</v>
      </c>
      <c r="V3951" t="s">
        <v>18147</v>
      </c>
      <c r="W3951" t="s">
        <v>851</v>
      </c>
      <c r="X3951" t="s">
        <v>18150</v>
      </c>
      <c r="Y3951">
        <v>0</v>
      </c>
      <c r="Z3951">
        <v>0</v>
      </c>
    </row>
    <row r="3952" spans="1:26">
      <c r="A3952" s="1">
        <v>3950</v>
      </c>
      <c r="B3952" t="str">
        <f>HYPERLINK("https://bugs.eclipse.org/bugs/show_bug.cgi?id=288925", "288925")</f>
        <v>288925</v>
      </c>
      <c r="C3952" t="s">
        <v>18151</v>
      </c>
      <c r="D3952" t="s">
        <v>192</v>
      </c>
      <c r="E3952" t="s">
        <v>15</v>
      </c>
      <c r="F3952" t="s">
        <v>26</v>
      </c>
      <c r="Q3952" t="s">
        <v>18152</v>
      </c>
      <c r="T3952" t="s">
        <v>18153</v>
      </c>
      <c r="U3952" t="s">
        <v>18154</v>
      </c>
      <c r="V3952" t="s">
        <v>18152</v>
      </c>
      <c r="W3952" t="s">
        <v>2777</v>
      </c>
      <c r="X3952" t="s">
        <v>18155</v>
      </c>
      <c r="Y3952">
        <v>0</v>
      </c>
      <c r="Z3952">
        <v>1169.041666666667</v>
      </c>
    </row>
    <row r="3953" spans="1:26">
      <c r="A3953" s="1">
        <v>3951</v>
      </c>
      <c r="B3953" t="str">
        <f>HYPERLINK("https://bugs.eclipse.org/bugs/show_bug.cgi?id=289306", "289306")</f>
        <v>289306</v>
      </c>
      <c r="C3953" t="s">
        <v>191</v>
      </c>
      <c r="D3953" t="s">
        <v>192</v>
      </c>
      <c r="E3953" t="s">
        <v>14</v>
      </c>
      <c r="F3953" t="s">
        <v>26</v>
      </c>
      <c r="T3953" t="s">
        <v>18156</v>
      </c>
      <c r="U3953" t="s">
        <v>18157</v>
      </c>
      <c r="V3953" t="s">
        <v>18158</v>
      </c>
      <c r="W3953" t="s">
        <v>65</v>
      </c>
      <c r="X3953" t="s">
        <v>18159</v>
      </c>
      <c r="Y3953">
        <v>1</v>
      </c>
      <c r="Z3953">
        <v>3685</v>
      </c>
    </row>
    <row r="3954" spans="1:26">
      <c r="A3954" s="1">
        <v>3952</v>
      </c>
      <c r="B3954" t="str">
        <f>HYPERLINK("https://bugs.eclipse.org/bugs/show_bug.cgi?id=289307", "289307")</f>
        <v>289307</v>
      </c>
      <c r="C3954" t="s">
        <v>191</v>
      </c>
      <c r="D3954" t="s">
        <v>192</v>
      </c>
      <c r="E3954" t="s">
        <v>14</v>
      </c>
      <c r="F3954" t="s">
        <v>26</v>
      </c>
      <c r="P3954" t="s">
        <v>18160</v>
      </c>
      <c r="T3954" t="s">
        <v>18161</v>
      </c>
      <c r="U3954" t="s">
        <v>18162</v>
      </c>
      <c r="V3954" t="s">
        <v>18160</v>
      </c>
      <c r="W3954" t="s">
        <v>65</v>
      </c>
      <c r="X3954" t="s">
        <v>18163</v>
      </c>
      <c r="Y3954">
        <v>1</v>
      </c>
      <c r="Z3954">
        <v>3829.041666666667</v>
      </c>
    </row>
    <row r="3955" spans="1:26">
      <c r="A3955" s="1">
        <v>3953</v>
      </c>
      <c r="B3955" t="str">
        <f>HYPERLINK("https://bugs.eclipse.org/bugs/show_bug.cgi?id=289361", "289361")</f>
        <v>289361</v>
      </c>
      <c r="C3955" t="s">
        <v>18164</v>
      </c>
      <c r="D3955" t="s">
        <v>10</v>
      </c>
      <c r="E3955" t="s">
        <v>15</v>
      </c>
      <c r="F3955" t="s">
        <v>26</v>
      </c>
      <c r="L3955" t="s">
        <v>18165</v>
      </c>
      <c r="Q3955" t="s">
        <v>18166</v>
      </c>
      <c r="T3955" t="s">
        <v>18167</v>
      </c>
      <c r="U3955" t="s">
        <v>18168</v>
      </c>
      <c r="V3955" t="s">
        <v>18166</v>
      </c>
      <c r="W3955" t="s">
        <v>851</v>
      </c>
      <c r="X3955" t="s">
        <v>18169</v>
      </c>
      <c r="Y3955">
        <v>0</v>
      </c>
      <c r="Z3955">
        <v>0</v>
      </c>
    </row>
    <row r="3956" spans="1:26">
      <c r="A3956" s="1">
        <v>3954</v>
      </c>
      <c r="B3956" t="str">
        <f>HYPERLINK("https://bugs.eclipse.org/bugs/show_bug.cgi?id=289655", "289655")</f>
        <v>289655</v>
      </c>
      <c r="C3956" t="s">
        <v>149</v>
      </c>
      <c r="D3956" t="s">
        <v>10</v>
      </c>
      <c r="E3956" t="s">
        <v>12</v>
      </c>
      <c r="F3956" t="s">
        <v>26</v>
      </c>
      <c r="G3956" t="s">
        <v>18170</v>
      </c>
      <c r="L3956" t="s">
        <v>18171</v>
      </c>
      <c r="N3956" t="s">
        <v>18171</v>
      </c>
      <c r="T3956" t="s">
        <v>18172</v>
      </c>
      <c r="U3956" t="s">
        <v>18173</v>
      </c>
      <c r="V3956" t="s">
        <v>18174</v>
      </c>
      <c r="W3956" t="s">
        <v>851</v>
      </c>
      <c r="X3956" t="s">
        <v>18175</v>
      </c>
      <c r="Y3956">
        <v>1</v>
      </c>
      <c r="Z3956">
        <v>287</v>
      </c>
    </row>
    <row r="3957" spans="1:26">
      <c r="A3957" s="1">
        <v>3955</v>
      </c>
      <c r="B3957" t="str">
        <f>HYPERLINK("https://bugs.eclipse.org/bugs/show_bug.cgi?id=290214", "290214")</f>
        <v>290214</v>
      </c>
      <c r="C3957" t="s">
        <v>191</v>
      </c>
      <c r="D3957" t="s">
        <v>192</v>
      </c>
      <c r="E3957" t="s">
        <v>14</v>
      </c>
      <c r="F3957" t="s">
        <v>26</v>
      </c>
      <c r="P3957" t="s">
        <v>18176</v>
      </c>
      <c r="T3957" t="s">
        <v>18177</v>
      </c>
      <c r="U3957" t="s">
        <v>18178</v>
      </c>
      <c r="V3957" t="s">
        <v>18176</v>
      </c>
      <c r="W3957" t="s">
        <v>65</v>
      </c>
      <c r="X3957" t="s">
        <v>18179</v>
      </c>
      <c r="Y3957">
        <v>12</v>
      </c>
      <c r="Z3957">
        <v>3801.041666666667</v>
      </c>
    </row>
    <row r="3958" spans="1:26">
      <c r="A3958" s="1">
        <v>3956</v>
      </c>
      <c r="B3958" t="str">
        <f>HYPERLINK("https://bugs.eclipse.org/bugs/show_bug.cgi?id=290430", "290430")</f>
        <v>290430</v>
      </c>
      <c r="C3958" t="s">
        <v>191</v>
      </c>
      <c r="D3958" t="s">
        <v>192</v>
      </c>
      <c r="E3958" t="s">
        <v>14</v>
      </c>
      <c r="F3958" t="s">
        <v>26</v>
      </c>
      <c r="G3958" t="s">
        <v>18180</v>
      </c>
      <c r="P3958" t="s">
        <v>18181</v>
      </c>
      <c r="T3958" t="s">
        <v>18182</v>
      </c>
      <c r="U3958" t="s">
        <v>18183</v>
      </c>
      <c r="V3958" t="s">
        <v>18181</v>
      </c>
      <c r="W3958" t="s">
        <v>65</v>
      </c>
      <c r="X3958" t="s">
        <v>18184</v>
      </c>
      <c r="Y3958">
        <v>12</v>
      </c>
      <c r="Z3958">
        <v>3820</v>
      </c>
    </row>
    <row r="3959" spans="1:26">
      <c r="A3959" s="1">
        <v>3957</v>
      </c>
      <c r="B3959" t="str">
        <f>HYPERLINK("https://bugs.eclipse.org/bugs/show_bug.cgi?id=290615", "290615")</f>
        <v>290615</v>
      </c>
      <c r="C3959" t="s">
        <v>191</v>
      </c>
      <c r="D3959" t="s">
        <v>192</v>
      </c>
      <c r="E3959" t="s">
        <v>14</v>
      </c>
      <c r="F3959" t="s">
        <v>26</v>
      </c>
      <c r="T3959" t="s">
        <v>18185</v>
      </c>
      <c r="U3959" t="s">
        <v>18186</v>
      </c>
      <c r="V3959" t="s">
        <v>18187</v>
      </c>
      <c r="W3959" t="s">
        <v>65</v>
      </c>
      <c r="X3959" t="s">
        <v>18188</v>
      </c>
      <c r="Y3959">
        <v>11</v>
      </c>
      <c r="Z3959">
        <v>3684</v>
      </c>
    </row>
    <row r="3960" spans="1:26">
      <c r="A3960" s="1">
        <v>3958</v>
      </c>
      <c r="B3960" t="str">
        <f>HYPERLINK("https://bugs.eclipse.org/bugs/show_bug.cgi?id=290618", "290618")</f>
        <v>290618</v>
      </c>
      <c r="C3960" t="s">
        <v>18189</v>
      </c>
      <c r="D3960" t="s">
        <v>192</v>
      </c>
      <c r="E3960" t="s">
        <v>15</v>
      </c>
      <c r="F3960" t="s">
        <v>26</v>
      </c>
      <c r="Q3960" t="s">
        <v>18190</v>
      </c>
      <c r="T3960" t="s">
        <v>18191</v>
      </c>
      <c r="U3960" t="s">
        <v>18192</v>
      </c>
      <c r="V3960" t="s">
        <v>18190</v>
      </c>
      <c r="W3960" t="s">
        <v>2777</v>
      </c>
      <c r="X3960" t="s">
        <v>18193</v>
      </c>
      <c r="Y3960">
        <v>10</v>
      </c>
      <c r="Z3960">
        <v>263</v>
      </c>
    </row>
    <row r="3961" spans="1:26">
      <c r="A3961" s="1">
        <v>3959</v>
      </c>
      <c r="B3961" t="str">
        <f>HYPERLINK("https://bugs.eclipse.org/bugs/show_bug.cgi?id=290698", "290698")</f>
        <v>290698</v>
      </c>
      <c r="C3961" t="s">
        <v>25</v>
      </c>
      <c r="D3961" t="s">
        <v>25</v>
      </c>
      <c r="F3961" t="s">
        <v>26</v>
      </c>
      <c r="G3961" t="s">
        <v>18194</v>
      </c>
      <c r="T3961" t="s">
        <v>18195</v>
      </c>
      <c r="U3961" t="s">
        <v>18196</v>
      </c>
      <c r="V3961" t="s">
        <v>18197</v>
      </c>
      <c r="W3961" t="s">
        <v>3016</v>
      </c>
      <c r="X3961" t="s">
        <v>18198</v>
      </c>
      <c r="Y3961">
        <v>0</v>
      </c>
    </row>
    <row r="3962" spans="1:26">
      <c r="A3962" s="1">
        <v>3960</v>
      </c>
      <c r="B3962" t="str">
        <f>HYPERLINK("https://bugs.eclipse.org/bugs/show_bug.cgi?id=290810", "290810")</f>
        <v>290810</v>
      </c>
      <c r="C3962" t="s">
        <v>88</v>
      </c>
      <c r="D3962" t="s">
        <v>10</v>
      </c>
      <c r="E3962" t="s">
        <v>13</v>
      </c>
      <c r="F3962" t="s">
        <v>26</v>
      </c>
      <c r="L3962" t="s">
        <v>18199</v>
      </c>
      <c r="O3962" t="s">
        <v>18199</v>
      </c>
      <c r="T3962" t="s">
        <v>18200</v>
      </c>
      <c r="U3962" t="s">
        <v>18199</v>
      </c>
      <c r="V3962" t="s">
        <v>18199</v>
      </c>
      <c r="W3962" t="s">
        <v>851</v>
      </c>
      <c r="X3962" t="s">
        <v>18201</v>
      </c>
      <c r="Y3962">
        <v>2</v>
      </c>
      <c r="Z3962">
        <v>2</v>
      </c>
    </row>
    <row r="3963" spans="1:26">
      <c r="A3963" s="1">
        <v>3961</v>
      </c>
      <c r="B3963" t="str">
        <f>HYPERLINK("https://bugs.eclipse.org/bugs/show_bug.cgi?id=291275", "291275")</f>
        <v>291275</v>
      </c>
      <c r="C3963" t="s">
        <v>18202</v>
      </c>
      <c r="D3963" t="s">
        <v>192</v>
      </c>
      <c r="E3963" t="s">
        <v>15</v>
      </c>
      <c r="F3963" t="s">
        <v>26</v>
      </c>
      <c r="Q3963" t="s">
        <v>18203</v>
      </c>
      <c r="T3963" t="s">
        <v>18204</v>
      </c>
      <c r="U3963" t="s">
        <v>18203</v>
      </c>
      <c r="V3963" t="s">
        <v>18203</v>
      </c>
      <c r="W3963" t="s">
        <v>143</v>
      </c>
      <c r="X3963" t="s">
        <v>18205</v>
      </c>
      <c r="Y3963">
        <v>2</v>
      </c>
      <c r="Z3963">
        <v>2</v>
      </c>
    </row>
    <row r="3964" spans="1:26">
      <c r="A3964" s="1">
        <v>3962</v>
      </c>
      <c r="B3964" t="str">
        <f>HYPERLINK("https://bugs.eclipse.org/bugs/show_bug.cgi?id=291282", "291282")</f>
        <v>291282</v>
      </c>
      <c r="C3964" t="s">
        <v>18206</v>
      </c>
      <c r="D3964" t="s">
        <v>192</v>
      </c>
      <c r="E3964" t="s">
        <v>15</v>
      </c>
      <c r="F3964" t="s">
        <v>26</v>
      </c>
      <c r="Q3964" t="s">
        <v>18207</v>
      </c>
      <c r="T3964" t="s">
        <v>18208</v>
      </c>
      <c r="U3964" t="s">
        <v>18207</v>
      </c>
      <c r="V3964" t="s">
        <v>18207</v>
      </c>
      <c r="W3964" t="s">
        <v>851</v>
      </c>
      <c r="X3964" t="s">
        <v>18209</v>
      </c>
      <c r="Y3964">
        <v>2</v>
      </c>
      <c r="Z3964">
        <v>2</v>
      </c>
    </row>
    <row r="3965" spans="1:26">
      <c r="A3965" s="1">
        <v>3963</v>
      </c>
      <c r="B3965" t="str">
        <f>HYPERLINK("https://bugs.eclipse.org/bugs/show_bug.cgi?id=291459", "291459")</f>
        <v>291459</v>
      </c>
      <c r="C3965" t="s">
        <v>191</v>
      </c>
      <c r="D3965" t="s">
        <v>192</v>
      </c>
      <c r="E3965" t="s">
        <v>14</v>
      </c>
      <c r="F3965" t="s">
        <v>26</v>
      </c>
      <c r="P3965" t="s">
        <v>18210</v>
      </c>
      <c r="T3965" t="s">
        <v>18211</v>
      </c>
      <c r="U3965" t="s">
        <v>18212</v>
      </c>
      <c r="V3965" t="s">
        <v>18210</v>
      </c>
      <c r="W3965" t="s">
        <v>65</v>
      </c>
      <c r="X3965" t="s">
        <v>18213</v>
      </c>
      <c r="Y3965">
        <v>0</v>
      </c>
      <c r="Z3965">
        <v>3764.041666666667</v>
      </c>
    </row>
    <row r="3966" spans="1:26">
      <c r="A3966" s="1">
        <v>3964</v>
      </c>
      <c r="B3966" t="str">
        <f>HYPERLINK("https://bugs.eclipse.org/bugs/show_bug.cgi?id=291787", "291787")</f>
        <v>291787</v>
      </c>
      <c r="C3966" t="s">
        <v>191</v>
      </c>
      <c r="D3966" t="s">
        <v>192</v>
      </c>
      <c r="E3966" t="s">
        <v>14</v>
      </c>
      <c r="F3966" t="s">
        <v>26</v>
      </c>
      <c r="G3966" t="s">
        <v>18214</v>
      </c>
      <c r="L3966" t="s">
        <v>18215</v>
      </c>
      <c r="N3966" t="s">
        <v>18215</v>
      </c>
      <c r="P3966" t="s">
        <v>18216</v>
      </c>
      <c r="S3966" t="s">
        <v>18217</v>
      </c>
      <c r="T3966" t="s">
        <v>18218</v>
      </c>
      <c r="U3966" t="s">
        <v>18219</v>
      </c>
      <c r="V3966" t="s">
        <v>18216</v>
      </c>
      <c r="W3966" t="s">
        <v>65</v>
      </c>
      <c r="X3966" t="s">
        <v>18220</v>
      </c>
      <c r="Y3966">
        <v>8</v>
      </c>
      <c r="Z3966">
        <v>3792.041666666667</v>
      </c>
    </row>
    <row r="3967" spans="1:26">
      <c r="A3967" s="1">
        <v>3965</v>
      </c>
      <c r="B3967" t="str">
        <f>HYPERLINK("https://bugs.eclipse.org/bugs/show_bug.cgi?id=291996", "291996")</f>
        <v>291996</v>
      </c>
      <c r="C3967" t="s">
        <v>149</v>
      </c>
      <c r="D3967" t="s">
        <v>10</v>
      </c>
      <c r="E3967" t="s">
        <v>12</v>
      </c>
      <c r="F3967" t="s">
        <v>26</v>
      </c>
      <c r="L3967" t="s">
        <v>18221</v>
      </c>
      <c r="N3967" t="s">
        <v>18221</v>
      </c>
      <c r="T3967" t="s">
        <v>18222</v>
      </c>
      <c r="U3967" t="s">
        <v>18223</v>
      </c>
      <c r="V3967" t="s">
        <v>18221</v>
      </c>
      <c r="W3967" t="s">
        <v>143</v>
      </c>
      <c r="X3967" t="s">
        <v>18224</v>
      </c>
      <c r="Y3967">
        <v>1</v>
      </c>
      <c r="Z3967">
        <v>3</v>
      </c>
    </row>
    <row r="3968" spans="1:26">
      <c r="A3968" s="1">
        <v>3966</v>
      </c>
      <c r="B3968" t="str">
        <f>HYPERLINK("https://bugs.eclipse.org/bugs/show_bug.cgi?id=292615", "292615")</f>
        <v>292615</v>
      </c>
      <c r="C3968" t="s">
        <v>25</v>
      </c>
      <c r="D3968" t="s">
        <v>25</v>
      </c>
      <c r="F3968" t="s">
        <v>26</v>
      </c>
      <c r="L3968" t="s">
        <v>18225</v>
      </c>
      <c r="R3968" t="s">
        <v>18225</v>
      </c>
      <c r="S3968" t="s">
        <v>18226</v>
      </c>
      <c r="T3968" t="s">
        <v>18227</v>
      </c>
      <c r="U3968" t="s">
        <v>18225</v>
      </c>
      <c r="V3968" t="s">
        <v>18228</v>
      </c>
      <c r="W3968" t="s">
        <v>143</v>
      </c>
      <c r="X3968" t="s">
        <v>18229</v>
      </c>
      <c r="Y3968">
        <v>2</v>
      </c>
    </row>
    <row r="3969" spans="1:26">
      <c r="A3969" s="1">
        <v>3967</v>
      </c>
      <c r="B3969" t="str">
        <f>HYPERLINK("https://bugs.eclipse.org/bugs/show_bug.cgi?id=292860", "292860")</f>
        <v>292860</v>
      </c>
      <c r="C3969" t="s">
        <v>35</v>
      </c>
      <c r="D3969" t="s">
        <v>11</v>
      </c>
      <c r="E3969" t="s">
        <v>12</v>
      </c>
      <c r="F3969" t="s">
        <v>150</v>
      </c>
      <c r="G3969" t="s">
        <v>18230</v>
      </c>
      <c r="L3969" t="s">
        <v>18231</v>
      </c>
      <c r="M3969" t="s">
        <v>18232</v>
      </c>
      <c r="N3969" t="s">
        <v>18231</v>
      </c>
      <c r="T3969" t="s">
        <v>18233</v>
      </c>
      <c r="U3969" t="s">
        <v>18234</v>
      </c>
      <c r="V3969" t="s">
        <v>18232</v>
      </c>
      <c r="W3969" t="s">
        <v>851</v>
      </c>
      <c r="X3969" t="s">
        <v>18235</v>
      </c>
      <c r="Y3969">
        <v>0</v>
      </c>
      <c r="Z3969">
        <v>49.041666666666657</v>
      </c>
    </row>
    <row r="3970" spans="1:26">
      <c r="A3970" s="1">
        <v>3968</v>
      </c>
      <c r="B3970" t="str">
        <f>HYPERLINK("https://bugs.eclipse.org/bugs/show_bug.cgi?id=292981", "292981")</f>
        <v>292981</v>
      </c>
      <c r="C3970" t="s">
        <v>18236</v>
      </c>
      <c r="D3970" t="s">
        <v>192</v>
      </c>
      <c r="E3970" t="s">
        <v>15</v>
      </c>
      <c r="F3970" t="s">
        <v>26</v>
      </c>
      <c r="G3970" t="s">
        <v>18237</v>
      </c>
      <c r="Q3970" t="s">
        <v>18238</v>
      </c>
      <c r="T3970" t="s">
        <v>18239</v>
      </c>
      <c r="U3970" t="s">
        <v>18238</v>
      </c>
      <c r="V3970" t="s">
        <v>18238</v>
      </c>
      <c r="W3970" t="s">
        <v>143</v>
      </c>
      <c r="X3970" t="s">
        <v>18240</v>
      </c>
      <c r="Y3970">
        <v>1</v>
      </c>
      <c r="Z3970">
        <v>1</v>
      </c>
    </row>
    <row r="3971" spans="1:26">
      <c r="A3971" s="1">
        <v>3969</v>
      </c>
      <c r="B3971" t="str">
        <f>HYPERLINK("https://bugs.eclipse.org/bugs/show_bug.cgi?id=292982", "292982")</f>
        <v>292982</v>
      </c>
      <c r="C3971" t="s">
        <v>18241</v>
      </c>
      <c r="D3971" t="s">
        <v>192</v>
      </c>
      <c r="E3971" t="s">
        <v>15</v>
      </c>
      <c r="F3971" t="s">
        <v>26</v>
      </c>
      <c r="Q3971" t="s">
        <v>18242</v>
      </c>
      <c r="T3971" t="s">
        <v>18243</v>
      </c>
      <c r="U3971" t="s">
        <v>18242</v>
      </c>
      <c r="V3971" t="s">
        <v>18242</v>
      </c>
      <c r="W3971" t="s">
        <v>143</v>
      </c>
      <c r="X3971" t="s">
        <v>18244</v>
      </c>
      <c r="Y3971">
        <v>1</v>
      </c>
      <c r="Z3971">
        <v>1</v>
      </c>
    </row>
    <row r="3972" spans="1:26">
      <c r="A3972" s="1">
        <v>3970</v>
      </c>
      <c r="B3972" t="str">
        <f>HYPERLINK("https://bugs.eclipse.org/bugs/show_bug.cgi?id=292983", "292983")</f>
        <v>292983</v>
      </c>
      <c r="C3972" t="s">
        <v>88</v>
      </c>
      <c r="D3972" t="s">
        <v>10</v>
      </c>
      <c r="E3972" t="s">
        <v>13</v>
      </c>
      <c r="F3972" t="s">
        <v>26</v>
      </c>
      <c r="L3972" t="s">
        <v>18245</v>
      </c>
      <c r="O3972" t="s">
        <v>18245</v>
      </c>
      <c r="T3972" t="s">
        <v>18246</v>
      </c>
      <c r="U3972" t="s">
        <v>18245</v>
      </c>
      <c r="V3972" t="s">
        <v>18247</v>
      </c>
      <c r="W3972" t="s">
        <v>143</v>
      </c>
      <c r="X3972" t="s">
        <v>18248</v>
      </c>
      <c r="Y3972">
        <v>1</v>
      </c>
      <c r="Z3972">
        <v>2</v>
      </c>
    </row>
    <row r="3973" spans="1:26">
      <c r="A3973" s="1">
        <v>3971</v>
      </c>
      <c r="B3973" t="str">
        <f>HYPERLINK("https://bugs.eclipse.org/bugs/show_bug.cgi?id=294204", "294204")</f>
        <v>294204</v>
      </c>
      <c r="C3973" t="s">
        <v>191</v>
      </c>
      <c r="D3973" t="s">
        <v>192</v>
      </c>
      <c r="E3973" t="s">
        <v>14</v>
      </c>
      <c r="F3973" t="s">
        <v>460</v>
      </c>
      <c r="T3973" t="s">
        <v>18249</v>
      </c>
      <c r="U3973" t="s">
        <v>18250</v>
      </c>
      <c r="V3973" t="s">
        <v>18251</v>
      </c>
      <c r="W3973" t="s">
        <v>65</v>
      </c>
      <c r="X3973" t="s">
        <v>18252</v>
      </c>
      <c r="Y3973">
        <v>1</v>
      </c>
      <c r="Z3973">
        <v>3596.958333333333</v>
      </c>
    </row>
    <row r="3974" spans="1:26">
      <c r="A3974" s="1">
        <v>3972</v>
      </c>
      <c r="B3974" t="str">
        <f>HYPERLINK("https://bugs.eclipse.org/bugs/show_bug.cgi?id=294552", "294552")</f>
        <v>294552</v>
      </c>
      <c r="C3974" t="s">
        <v>35</v>
      </c>
      <c r="D3974" t="s">
        <v>11</v>
      </c>
      <c r="E3974" t="s">
        <v>12</v>
      </c>
      <c r="F3974" t="s">
        <v>26</v>
      </c>
      <c r="L3974" t="s">
        <v>18253</v>
      </c>
      <c r="M3974" t="s">
        <v>18254</v>
      </c>
      <c r="N3974" t="s">
        <v>18253</v>
      </c>
      <c r="T3974" t="s">
        <v>18255</v>
      </c>
      <c r="U3974" t="s">
        <v>18256</v>
      </c>
      <c r="V3974" t="s">
        <v>18254</v>
      </c>
      <c r="W3974" t="s">
        <v>14114</v>
      </c>
      <c r="X3974" t="s">
        <v>18257</v>
      </c>
      <c r="Y3974">
        <v>1</v>
      </c>
      <c r="Z3974">
        <v>30</v>
      </c>
    </row>
    <row r="3975" spans="1:26">
      <c r="A3975" s="1">
        <v>3973</v>
      </c>
      <c r="B3975" t="str">
        <f>HYPERLINK("https://bugs.eclipse.org/bugs/show_bug.cgi?id=294856", "294856")</f>
        <v>294856</v>
      </c>
      <c r="C3975" t="s">
        <v>35</v>
      </c>
      <c r="D3975" t="s">
        <v>11</v>
      </c>
      <c r="E3975" t="s">
        <v>12</v>
      </c>
      <c r="F3975" t="s">
        <v>26</v>
      </c>
      <c r="G3975" t="s">
        <v>18258</v>
      </c>
      <c r="L3975" t="s">
        <v>18259</v>
      </c>
      <c r="M3975" t="s">
        <v>18260</v>
      </c>
      <c r="N3975" t="s">
        <v>18259</v>
      </c>
      <c r="T3975" t="s">
        <v>18261</v>
      </c>
      <c r="U3975" t="s">
        <v>18262</v>
      </c>
      <c r="V3975" t="s">
        <v>18263</v>
      </c>
      <c r="W3975" t="s">
        <v>851</v>
      </c>
      <c r="X3975" t="s">
        <v>18264</v>
      </c>
      <c r="Y3975">
        <v>0</v>
      </c>
      <c r="Z3975">
        <v>330.95833333333331</v>
      </c>
    </row>
    <row r="3976" spans="1:26">
      <c r="A3976" s="1">
        <v>3974</v>
      </c>
      <c r="B3976" t="str">
        <f>HYPERLINK("https://bugs.eclipse.org/bugs/show_bug.cgi?id=294970", "294970")</f>
        <v>294970</v>
      </c>
      <c r="C3976" t="s">
        <v>149</v>
      </c>
      <c r="D3976" t="s">
        <v>10</v>
      </c>
      <c r="E3976" t="s">
        <v>12</v>
      </c>
      <c r="F3976" t="s">
        <v>150</v>
      </c>
      <c r="L3976" t="s">
        <v>18265</v>
      </c>
      <c r="N3976" t="s">
        <v>18265</v>
      </c>
      <c r="T3976" t="s">
        <v>18266</v>
      </c>
      <c r="U3976" t="s">
        <v>18267</v>
      </c>
      <c r="V3976" t="s">
        <v>18268</v>
      </c>
      <c r="W3976" t="s">
        <v>143</v>
      </c>
      <c r="X3976" t="s">
        <v>18269</v>
      </c>
      <c r="Y3976">
        <v>4</v>
      </c>
      <c r="Z3976">
        <v>91</v>
      </c>
    </row>
    <row r="3977" spans="1:26">
      <c r="A3977" s="1">
        <v>3975</v>
      </c>
      <c r="B3977" t="str">
        <f>HYPERLINK("https://bugs.eclipse.org/bugs/show_bug.cgi?id=295049", "295049")</f>
        <v>295049</v>
      </c>
      <c r="C3977" t="s">
        <v>140</v>
      </c>
      <c r="D3977" t="s">
        <v>10</v>
      </c>
      <c r="E3977" t="s">
        <v>16</v>
      </c>
      <c r="F3977" t="s">
        <v>26</v>
      </c>
      <c r="L3977" t="s">
        <v>18270</v>
      </c>
      <c r="R3977" t="s">
        <v>18270</v>
      </c>
      <c r="T3977" t="s">
        <v>18271</v>
      </c>
      <c r="U3977" t="s">
        <v>18272</v>
      </c>
      <c r="V3977" t="s">
        <v>18270</v>
      </c>
      <c r="W3977" t="s">
        <v>143</v>
      </c>
      <c r="X3977" t="s">
        <v>18273</v>
      </c>
      <c r="Y3977">
        <v>0</v>
      </c>
      <c r="Z3977">
        <v>3495.958333333333</v>
      </c>
    </row>
    <row r="3978" spans="1:26">
      <c r="A3978" s="1">
        <v>3976</v>
      </c>
      <c r="B3978" t="str">
        <f>HYPERLINK("https://bugs.eclipse.org/bugs/show_bug.cgi?id=295122", "295122")</f>
        <v>295122</v>
      </c>
      <c r="C3978" t="s">
        <v>35</v>
      </c>
      <c r="D3978" t="s">
        <v>11</v>
      </c>
      <c r="E3978" t="s">
        <v>12</v>
      </c>
      <c r="F3978" t="s">
        <v>26</v>
      </c>
      <c r="G3978" t="s">
        <v>18274</v>
      </c>
      <c r="L3978" t="s">
        <v>18275</v>
      </c>
      <c r="M3978" t="s">
        <v>18276</v>
      </c>
      <c r="N3978" t="s">
        <v>18275</v>
      </c>
      <c r="S3978" t="s">
        <v>18277</v>
      </c>
      <c r="T3978" t="s">
        <v>18278</v>
      </c>
      <c r="U3978" t="s">
        <v>18279</v>
      </c>
      <c r="V3978" t="s">
        <v>18276</v>
      </c>
      <c r="W3978" t="s">
        <v>851</v>
      </c>
      <c r="X3978" t="s">
        <v>18280</v>
      </c>
      <c r="Y3978">
        <v>3</v>
      </c>
      <c r="Z3978">
        <v>89</v>
      </c>
    </row>
    <row r="3979" spans="1:26">
      <c r="A3979" s="1">
        <v>3977</v>
      </c>
      <c r="B3979" t="str">
        <f>HYPERLINK("https://bugs.eclipse.org/bugs/show_bug.cgi?id=295200", "295200")</f>
        <v>295200</v>
      </c>
      <c r="C3979" t="s">
        <v>35</v>
      </c>
      <c r="D3979" t="s">
        <v>11</v>
      </c>
      <c r="E3979" t="s">
        <v>12</v>
      </c>
      <c r="F3979" t="s">
        <v>26</v>
      </c>
      <c r="G3979" t="s">
        <v>18281</v>
      </c>
      <c r="L3979" t="s">
        <v>18282</v>
      </c>
      <c r="M3979" t="s">
        <v>18283</v>
      </c>
      <c r="N3979" t="s">
        <v>18282</v>
      </c>
      <c r="T3979" t="s">
        <v>18284</v>
      </c>
      <c r="U3979" t="s">
        <v>18285</v>
      </c>
      <c r="V3979" t="s">
        <v>18283</v>
      </c>
      <c r="W3979" t="s">
        <v>143</v>
      </c>
      <c r="X3979" t="s">
        <v>18286</v>
      </c>
      <c r="Y3979">
        <v>10</v>
      </c>
      <c r="Z3979">
        <v>525.95833333333337</v>
      </c>
    </row>
    <row r="3980" spans="1:26">
      <c r="A3980" s="1">
        <v>3978</v>
      </c>
      <c r="B3980" t="str">
        <f>HYPERLINK("https://bugs.eclipse.org/bugs/show_bug.cgi?id=295208", "295208")</f>
        <v>295208</v>
      </c>
      <c r="C3980" t="s">
        <v>35</v>
      </c>
      <c r="D3980" t="s">
        <v>11</v>
      </c>
      <c r="E3980" t="s">
        <v>12</v>
      </c>
      <c r="F3980" t="s">
        <v>26</v>
      </c>
      <c r="L3980" t="s">
        <v>18287</v>
      </c>
      <c r="M3980" t="s">
        <v>18288</v>
      </c>
      <c r="N3980" t="s">
        <v>18287</v>
      </c>
      <c r="T3980" t="s">
        <v>18289</v>
      </c>
      <c r="U3980" t="s">
        <v>18290</v>
      </c>
      <c r="V3980" t="s">
        <v>18288</v>
      </c>
      <c r="W3980" t="s">
        <v>851</v>
      </c>
      <c r="X3980" t="s">
        <v>18291</v>
      </c>
      <c r="Y3980">
        <v>0</v>
      </c>
      <c r="Z3980">
        <v>22</v>
      </c>
    </row>
    <row r="3981" spans="1:26">
      <c r="A3981" s="1">
        <v>3979</v>
      </c>
      <c r="B3981" t="str">
        <f>HYPERLINK("https://bugs.eclipse.org/bugs/show_bug.cgi?id=295320", "295320")</f>
        <v>295320</v>
      </c>
      <c r="C3981" t="s">
        <v>149</v>
      </c>
      <c r="D3981" t="s">
        <v>10</v>
      </c>
      <c r="E3981" t="s">
        <v>12</v>
      </c>
      <c r="F3981" t="s">
        <v>26</v>
      </c>
      <c r="L3981" t="s">
        <v>18292</v>
      </c>
      <c r="N3981" t="s">
        <v>18292</v>
      </c>
      <c r="T3981" t="s">
        <v>18293</v>
      </c>
      <c r="U3981" t="s">
        <v>18294</v>
      </c>
      <c r="V3981" t="s">
        <v>18292</v>
      </c>
      <c r="W3981" t="s">
        <v>851</v>
      </c>
      <c r="X3981" t="s">
        <v>18295</v>
      </c>
      <c r="Y3981">
        <v>1</v>
      </c>
      <c r="Z3981">
        <v>20</v>
      </c>
    </row>
    <row r="3982" spans="1:26">
      <c r="A3982" s="1">
        <v>3980</v>
      </c>
      <c r="B3982" t="str">
        <f>HYPERLINK("https://bugs.eclipse.org/bugs/show_bug.cgi?id=295638", "295638")</f>
        <v>295638</v>
      </c>
      <c r="C3982" t="s">
        <v>149</v>
      </c>
      <c r="D3982" t="s">
        <v>10</v>
      </c>
      <c r="E3982" t="s">
        <v>12</v>
      </c>
      <c r="F3982" t="s">
        <v>26</v>
      </c>
      <c r="G3982" t="s">
        <v>18296</v>
      </c>
      <c r="H3982" t="s">
        <v>18297</v>
      </c>
      <c r="L3982" t="s">
        <v>18298</v>
      </c>
      <c r="N3982" t="s">
        <v>18298</v>
      </c>
      <c r="T3982" t="s">
        <v>18299</v>
      </c>
      <c r="U3982" t="s">
        <v>18300</v>
      </c>
      <c r="V3982" t="s">
        <v>18298</v>
      </c>
      <c r="W3982" t="s">
        <v>851</v>
      </c>
      <c r="X3982" t="s">
        <v>18301</v>
      </c>
      <c r="Y3982">
        <v>0</v>
      </c>
      <c r="Z3982">
        <v>106</v>
      </c>
    </row>
    <row r="3983" spans="1:26">
      <c r="A3983" s="1">
        <v>3981</v>
      </c>
      <c r="B3983" t="str">
        <f>HYPERLINK("https://bugs.eclipse.org/bugs/show_bug.cgi?id=296585", "296585")</f>
        <v>296585</v>
      </c>
      <c r="C3983" t="s">
        <v>88</v>
      </c>
      <c r="D3983" t="s">
        <v>10</v>
      </c>
      <c r="E3983" t="s">
        <v>13</v>
      </c>
      <c r="F3983" t="s">
        <v>26</v>
      </c>
      <c r="L3983" t="s">
        <v>18302</v>
      </c>
      <c r="O3983" t="s">
        <v>18302</v>
      </c>
      <c r="T3983" t="s">
        <v>18303</v>
      </c>
      <c r="U3983" t="s">
        <v>18302</v>
      </c>
      <c r="V3983" t="s">
        <v>18302</v>
      </c>
      <c r="W3983" t="s">
        <v>851</v>
      </c>
      <c r="X3983" t="s">
        <v>18304</v>
      </c>
      <c r="Y3983">
        <v>0</v>
      </c>
      <c r="Z3983">
        <v>0</v>
      </c>
    </row>
    <row r="3984" spans="1:26">
      <c r="A3984" s="1">
        <v>3982</v>
      </c>
      <c r="B3984" t="str">
        <f>HYPERLINK("https://bugs.eclipse.org/bugs/show_bug.cgi?id=296784", "296784")</f>
        <v>296784</v>
      </c>
      <c r="C3984" t="s">
        <v>149</v>
      </c>
      <c r="D3984" t="s">
        <v>10</v>
      </c>
      <c r="E3984" t="s">
        <v>12</v>
      </c>
      <c r="F3984" t="s">
        <v>26</v>
      </c>
      <c r="L3984" t="s">
        <v>18305</v>
      </c>
      <c r="N3984" t="s">
        <v>18305</v>
      </c>
      <c r="T3984" t="s">
        <v>18306</v>
      </c>
      <c r="U3984" t="s">
        <v>18307</v>
      </c>
      <c r="V3984" t="s">
        <v>18305</v>
      </c>
      <c r="W3984" t="s">
        <v>851</v>
      </c>
      <c r="X3984" t="s">
        <v>18308</v>
      </c>
      <c r="Y3984">
        <v>0</v>
      </c>
      <c r="Z3984">
        <v>53</v>
      </c>
    </row>
    <row r="3985" spans="1:26">
      <c r="A3985" s="1">
        <v>3983</v>
      </c>
      <c r="B3985" t="str">
        <f>HYPERLINK("https://bugs.eclipse.org/bugs/show_bug.cgi?id=296794", "296794")</f>
        <v>296794</v>
      </c>
      <c r="C3985" t="s">
        <v>149</v>
      </c>
      <c r="D3985" t="s">
        <v>10</v>
      </c>
      <c r="E3985" t="s">
        <v>12</v>
      </c>
      <c r="F3985" t="s">
        <v>150</v>
      </c>
      <c r="L3985" t="s">
        <v>18309</v>
      </c>
      <c r="N3985" t="s">
        <v>18309</v>
      </c>
      <c r="S3985" t="s">
        <v>18310</v>
      </c>
      <c r="T3985" t="s">
        <v>18311</v>
      </c>
      <c r="U3985" t="s">
        <v>18312</v>
      </c>
      <c r="V3985" t="s">
        <v>18313</v>
      </c>
      <c r="W3985" t="s">
        <v>851</v>
      </c>
      <c r="X3985" t="s">
        <v>18314</v>
      </c>
      <c r="Y3985">
        <v>0</v>
      </c>
      <c r="Z3985">
        <v>411</v>
      </c>
    </row>
    <row r="3986" spans="1:26">
      <c r="A3986" s="1">
        <v>3984</v>
      </c>
      <c r="B3986" t="str">
        <f>HYPERLINK("https://bugs.eclipse.org/bugs/show_bug.cgi?id=297046", "297046")</f>
        <v>297046</v>
      </c>
      <c r="C3986" t="s">
        <v>191</v>
      </c>
      <c r="D3986" t="s">
        <v>192</v>
      </c>
      <c r="E3986" t="s">
        <v>14</v>
      </c>
      <c r="F3986" t="s">
        <v>26</v>
      </c>
      <c r="P3986" t="s">
        <v>18315</v>
      </c>
      <c r="T3986" t="s">
        <v>18316</v>
      </c>
      <c r="U3986" t="s">
        <v>18317</v>
      </c>
      <c r="V3986" t="s">
        <v>18315</v>
      </c>
      <c r="W3986" t="s">
        <v>65</v>
      </c>
      <c r="X3986" t="s">
        <v>18318</v>
      </c>
      <c r="Y3986">
        <v>0</v>
      </c>
      <c r="Z3986">
        <v>3808.958333333333</v>
      </c>
    </row>
    <row r="3987" spans="1:26">
      <c r="A3987" s="1">
        <v>3985</v>
      </c>
      <c r="B3987" t="str">
        <f>HYPERLINK("https://bugs.eclipse.org/bugs/show_bug.cgi?id=297092", "297092")</f>
        <v>297092</v>
      </c>
      <c r="C3987" t="s">
        <v>18319</v>
      </c>
      <c r="D3987" t="s">
        <v>192</v>
      </c>
      <c r="E3987" t="s">
        <v>15</v>
      </c>
      <c r="F3987" t="s">
        <v>26</v>
      </c>
      <c r="Q3987" t="s">
        <v>18320</v>
      </c>
      <c r="T3987" t="s">
        <v>18321</v>
      </c>
      <c r="U3987" t="s">
        <v>18322</v>
      </c>
      <c r="V3987" t="s">
        <v>18320</v>
      </c>
      <c r="W3987" t="s">
        <v>851</v>
      </c>
      <c r="X3987" t="s">
        <v>18323</v>
      </c>
      <c r="Y3987">
        <v>0</v>
      </c>
      <c r="Z3987">
        <v>52</v>
      </c>
    </row>
    <row r="3988" spans="1:26">
      <c r="A3988" s="1">
        <v>3986</v>
      </c>
      <c r="B3988" t="str">
        <f>HYPERLINK("https://bugs.eclipse.org/bugs/show_bug.cgi?id=297218", "297218")</f>
        <v>297218</v>
      </c>
      <c r="C3988" t="s">
        <v>140</v>
      </c>
      <c r="D3988" t="s">
        <v>10</v>
      </c>
      <c r="E3988" t="s">
        <v>16</v>
      </c>
      <c r="F3988" t="s">
        <v>26</v>
      </c>
      <c r="L3988" t="s">
        <v>18324</v>
      </c>
      <c r="R3988" t="s">
        <v>18324</v>
      </c>
      <c r="T3988" t="s">
        <v>18325</v>
      </c>
      <c r="U3988" t="s">
        <v>18324</v>
      </c>
      <c r="V3988" t="s">
        <v>18324</v>
      </c>
      <c r="W3988" t="s">
        <v>851</v>
      </c>
      <c r="X3988" t="s">
        <v>18326</v>
      </c>
      <c r="Y3988">
        <v>1</v>
      </c>
      <c r="Z3988">
        <v>1</v>
      </c>
    </row>
    <row r="3989" spans="1:26">
      <c r="A3989" s="1">
        <v>3987</v>
      </c>
      <c r="B3989" t="str">
        <f>HYPERLINK("https://bugs.eclipse.org/bugs/show_bug.cgi?id=297392", "297392")</f>
        <v>297392</v>
      </c>
      <c r="C3989" t="s">
        <v>149</v>
      </c>
      <c r="D3989" t="s">
        <v>10</v>
      </c>
      <c r="E3989" t="s">
        <v>12</v>
      </c>
      <c r="F3989" t="s">
        <v>26</v>
      </c>
      <c r="L3989" t="s">
        <v>18327</v>
      </c>
      <c r="N3989" t="s">
        <v>18327</v>
      </c>
      <c r="T3989" t="s">
        <v>18328</v>
      </c>
      <c r="U3989" t="s">
        <v>18329</v>
      </c>
      <c r="V3989" t="s">
        <v>18327</v>
      </c>
      <c r="W3989" t="s">
        <v>143</v>
      </c>
      <c r="X3989" t="s">
        <v>18330</v>
      </c>
      <c r="Y3989">
        <v>0</v>
      </c>
      <c r="Z3989">
        <v>34</v>
      </c>
    </row>
    <row r="3990" spans="1:26">
      <c r="A3990" s="1">
        <v>3988</v>
      </c>
      <c r="B3990" t="str">
        <f>HYPERLINK("https://bugs.eclipse.org/bugs/show_bug.cgi?id=297449", "297449")</f>
        <v>297449</v>
      </c>
      <c r="C3990" t="s">
        <v>35</v>
      </c>
      <c r="D3990" t="s">
        <v>11</v>
      </c>
      <c r="E3990" t="s">
        <v>12</v>
      </c>
      <c r="F3990" t="s">
        <v>26</v>
      </c>
      <c r="L3990" t="s">
        <v>18331</v>
      </c>
      <c r="M3990" t="s">
        <v>18332</v>
      </c>
      <c r="N3990" t="s">
        <v>18331</v>
      </c>
      <c r="T3990" t="s">
        <v>18333</v>
      </c>
      <c r="U3990" t="s">
        <v>18334</v>
      </c>
      <c r="V3990" t="s">
        <v>18332</v>
      </c>
      <c r="W3990" t="s">
        <v>143</v>
      </c>
      <c r="X3990" t="s">
        <v>18335</v>
      </c>
      <c r="Y3990">
        <v>0</v>
      </c>
      <c r="Z3990">
        <v>48</v>
      </c>
    </row>
    <row r="3991" spans="1:26">
      <c r="A3991" s="1">
        <v>3989</v>
      </c>
      <c r="B3991" t="str">
        <f>HYPERLINK("https://bugs.eclipse.org/bugs/show_bug.cgi?id=297529", "297529")</f>
        <v>297529</v>
      </c>
      <c r="C3991" t="s">
        <v>149</v>
      </c>
      <c r="D3991" t="s">
        <v>10</v>
      </c>
      <c r="E3991" t="s">
        <v>12</v>
      </c>
      <c r="F3991" t="s">
        <v>26</v>
      </c>
      <c r="H3991" t="s">
        <v>18336</v>
      </c>
      <c r="L3991" t="s">
        <v>18337</v>
      </c>
      <c r="N3991" t="s">
        <v>18337</v>
      </c>
      <c r="S3991" t="s">
        <v>18338</v>
      </c>
      <c r="T3991" t="s">
        <v>18339</v>
      </c>
      <c r="U3991" t="s">
        <v>18340</v>
      </c>
      <c r="V3991" t="s">
        <v>18337</v>
      </c>
      <c r="W3991" t="s">
        <v>143</v>
      </c>
      <c r="X3991" t="s">
        <v>18341</v>
      </c>
      <c r="Y3991">
        <v>0</v>
      </c>
      <c r="Z3991">
        <v>40</v>
      </c>
    </row>
    <row r="3992" spans="1:26">
      <c r="A3992" s="1">
        <v>3990</v>
      </c>
      <c r="B3992" t="str">
        <f>HYPERLINK("https://bugs.eclipse.org/bugs/show_bug.cgi?id=297566", "297566")</f>
        <v>297566</v>
      </c>
      <c r="C3992" t="s">
        <v>149</v>
      </c>
      <c r="D3992" t="s">
        <v>10</v>
      </c>
      <c r="E3992" t="s">
        <v>12</v>
      </c>
      <c r="F3992" t="s">
        <v>150</v>
      </c>
      <c r="L3992" t="s">
        <v>18342</v>
      </c>
      <c r="N3992" t="s">
        <v>18342</v>
      </c>
      <c r="T3992" t="s">
        <v>18343</v>
      </c>
      <c r="U3992" t="s">
        <v>18344</v>
      </c>
      <c r="V3992" t="s">
        <v>18342</v>
      </c>
      <c r="W3992" t="s">
        <v>851</v>
      </c>
      <c r="X3992" t="s">
        <v>18345</v>
      </c>
      <c r="Y3992">
        <v>0</v>
      </c>
      <c r="Z3992">
        <v>107.9583333333333</v>
      </c>
    </row>
    <row r="3993" spans="1:26">
      <c r="A3993" s="1">
        <v>3991</v>
      </c>
      <c r="B3993" t="str">
        <f>HYPERLINK("https://bugs.eclipse.org/bugs/show_bug.cgi?id=297760", "297760")</f>
        <v>297760</v>
      </c>
      <c r="C3993" t="s">
        <v>35</v>
      </c>
      <c r="D3993" t="s">
        <v>11</v>
      </c>
      <c r="E3993" t="s">
        <v>12</v>
      </c>
      <c r="F3993" t="s">
        <v>26</v>
      </c>
      <c r="L3993" t="s">
        <v>18346</v>
      </c>
      <c r="M3993" t="s">
        <v>18347</v>
      </c>
      <c r="N3993" t="s">
        <v>18346</v>
      </c>
      <c r="T3993" t="s">
        <v>18348</v>
      </c>
      <c r="U3993" t="s">
        <v>18349</v>
      </c>
      <c r="V3993" t="s">
        <v>18350</v>
      </c>
      <c r="W3993" t="s">
        <v>2777</v>
      </c>
      <c r="X3993" t="s">
        <v>18351</v>
      </c>
      <c r="Y3993">
        <v>36</v>
      </c>
      <c r="Z3993">
        <v>43</v>
      </c>
    </row>
    <row r="3994" spans="1:26">
      <c r="A3994" s="1">
        <v>3992</v>
      </c>
      <c r="B3994" t="str">
        <f>HYPERLINK("https://bugs.eclipse.org/bugs/show_bug.cgi?id=297998", "297998")</f>
        <v>297998</v>
      </c>
      <c r="C3994" t="s">
        <v>56</v>
      </c>
      <c r="D3994" t="s">
        <v>10</v>
      </c>
      <c r="E3994" t="s">
        <v>14</v>
      </c>
      <c r="F3994" t="s">
        <v>26</v>
      </c>
      <c r="L3994" t="s">
        <v>18352</v>
      </c>
      <c r="P3994" t="s">
        <v>18352</v>
      </c>
      <c r="T3994" t="s">
        <v>18353</v>
      </c>
      <c r="U3994" t="s">
        <v>18354</v>
      </c>
      <c r="V3994" t="s">
        <v>18352</v>
      </c>
      <c r="W3994" t="s">
        <v>143</v>
      </c>
      <c r="X3994" t="s">
        <v>18355</v>
      </c>
      <c r="Y3994">
        <v>0</v>
      </c>
      <c r="Z3994">
        <v>21</v>
      </c>
    </row>
    <row r="3995" spans="1:26">
      <c r="A3995" s="1">
        <v>3993</v>
      </c>
      <c r="B3995" t="str">
        <f>HYPERLINK("https://bugs.eclipse.org/bugs/show_bug.cgi?id=298026", "298026")</f>
        <v>298026</v>
      </c>
      <c r="C3995" t="s">
        <v>17700</v>
      </c>
      <c r="D3995" t="s">
        <v>10</v>
      </c>
      <c r="E3995" t="s">
        <v>17701</v>
      </c>
      <c r="F3995" t="s">
        <v>26</v>
      </c>
      <c r="L3995" t="s">
        <v>18356</v>
      </c>
      <c r="T3995" t="s">
        <v>18357</v>
      </c>
      <c r="U3995" t="s">
        <v>18358</v>
      </c>
      <c r="V3995" t="s">
        <v>18356</v>
      </c>
      <c r="W3995" t="s">
        <v>851</v>
      </c>
      <c r="X3995" t="s">
        <v>18359</v>
      </c>
      <c r="Y3995">
        <v>0</v>
      </c>
      <c r="Z3995">
        <v>2</v>
      </c>
    </row>
    <row r="3996" spans="1:26">
      <c r="A3996" s="1">
        <v>3994</v>
      </c>
      <c r="B3996" t="str">
        <f>HYPERLINK("https://bugs.eclipse.org/bugs/show_bug.cgi?id=298066", "298066")</f>
        <v>298066</v>
      </c>
      <c r="C3996" t="s">
        <v>35</v>
      </c>
      <c r="D3996" t="s">
        <v>11</v>
      </c>
      <c r="E3996" t="s">
        <v>12</v>
      </c>
      <c r="F3996" t="s">
        <v>26</v>
      </c>
      <c r="L3996" t="s">
        <v>18360</v>
      </c>
      <c r="M3996" t="s">
        <v>18361</v>
      </c>
      <c r="N3996" t="s">
        <v>18360</v>
      </c>
      <c r="T3996" t="s">
        <v>18362</v>
      </c>
      <c r="U3996" t="s">
        <v>18360</v>
      </c>
      <c r="V3996" t="s">
        <v>18361</v>
      </c>
      <c r="W3996" t="s">
        <v>18363</v>
      </c>
      <c r="X3996" t="s">
        <v>18364</v>
      </c>
      <c r="Y3996">
        <v>19</v>
      </c>
      <c r="Z3996">
        <v>25</v>
      </c>
    </row>
    <row r="3997" spans="1:26">
      <c r="A3997" s="1">
        <v>3995</v>
      </c>
      <c r="B3997" t="str">
        <f>HYPERLINK("https://bugs.eclipse.org/bugs/show_bug.cgi?id=298281", "298281")</f>
        <v>298281</v>
      </c>
      <c r="C3997" t="s">
        <v>149</v>
      </c>
      <c r="D3997" t="s">
        <v>10</v>
      </c>
      <c r="E3997" t="s">
        <v>12</v>
      </c>
      <c r="F3997" t="s">
        <v>26</v>
      </c>
      <c r="L3997" t="s">
        <v>18365</v>
      </c>
      <c r="N3997" t="s">
        <v>18365</v>
      </c>
      <c r="T3997" t="s">
        <v>18366</v>
      </c>
      <c r="U3997" t="s">
        <v>18367</v>
      </c>
      <c r="V3997" t="s">
        <v>18365</v>
      </c>
      <c r="W3997" t="s">
        <v>851</v>
      </c>
      <c r="X3997" t="s">
        <v>18368</v>
      </c>
      <c r="Y3997">
        <v>0</v>
      </c>
      <c r="Z3997">
        <v>15</v>
      </c>
    </row>
    <row r="3998" spans="1:26">
      <c r="A3998" s="1">
        <v>3996</v>
      </c>
      <c r="B3998" t="str">
        <f>HYPERLINK("https://bugs.eclipse.org/bugs/show_bug.cgi?id=299458", "299458")</f>
        <v>299458</v>
      </c>
      <c r="C3998" t="s">
        <v>18369</v>
      </c>
      <c r="D3998" t="s">
        <v>192</v>
      </c>
      <c r="E3998" t="s">
        <v>15</v>
      </c>
      <c r="F3998" t="s">
        <v>26</v>
      </c>
      <c r="Q3998" t="s">
        <v>14154</v>
      </c>
      <c r="T3998" t="s">
        <v>18370</v>
      </c>
      <c r="U3998" t="s">
        <v>14154</v>
      </c>
      <c r="V3998" t="s">
        <v>14154</v>
      </c>
      <c r="W3998" t="s">
        <v>143</v>
      </c>
      <c r="X3998" t="s">
        <v>18371</v>
      </c>
      <c r="Y3998">
        <v>1</v>
      </c>
      <c r="Z3998">
        <v>1</v>
      </c>
    </row>
    <row r="3999" spans="1:26">
      <c r="A3999" s="1">
        <v>3997</v>
      </c>
      <c r="B3999" t="str">
        <f>HYPERLINK("https://bugs.eclipse.org/bugs/show_bug.cgi?id=299573", "299573")</f>
        <v>299573</v>
      </c>
      <c r="C3999" t="s">
        <v>18372</v>
      </c>
      <c r="D3999" t="s">
        <v>192</v>
      </c>
      <c r="E3999" t="s">
        <v>15</v>
      </c>
      <c r="F3999" t="s">
        <v>26</v>
      </c>
      <c r="Q3999" t="s">
        <v>18373</v>
      </c>
      <c r="T3999" t="s">
        <v>18374</v>
      </c>
      <c r="U3999" t="s">
        <v>18375</v>
      </c>
      <c r="V3999" t="s">
        <v>18373</v>
      </c>
      <c r="W3999" t="s">
        <v>143</v>
      </c>
      <c r="X3999" t="s">
        <v>18376</v>
      </c>
      <c r="Y3999">
        <v>1</v>
      </c>
      <c r="Z3999">
        <v>2</v>
      </c>
    </row>
    <row r="4000" spans="1:26">
      <c r="A4000" s="1">
        <v>3998</v>
      </c>
      <c r="B4000" t="str">
        <f>HYPERLINK("https://bugs.eclipse.org/bugs/show_bug.cgi?id=299631", "299631")</f>
        <v>299631</v>
      </c>
      <c r="C4000" t="s">
        <v>35</v>
      </c>
      <c r="D4000" t="s">
        <v>11</v>
      </c>
      <c r="E4000" t="s">
        <v>12</v>
      </c>
      <c r="F4000" t="s">
        <v>26</v>
      </c>
      <c r="L4000" t="s">
        <v>18377</v>
      </c>
      <c r="M4000" t="s">
        <v>18378</v>
      </c>
      <c r="N4000" t="s">
        <v>18377</v>
      </c>
      <c r="T4000" t="s">
        <v>18379</v>
      </c>
      <c r="U4000" t="s">
        <v>18380</v>
      </c>
      <c r="V4000" t="s">
        <v>18378</v>
      </c>
      <c r="W4000" t="s">
        <v>143</v>
      </c>
      <c r="X4000" t="s">
        <v>18381</v>
      </c>
      <c r="Y4000">
        <v>0</v>
      </c>
      <c r="Z4000">
        <v>12</v>
      </c>
    </row>
    <row r="4001" spans="1:26">
      <c r="A4001" s="1">
        <v>3999</v>
      </c>
      <c r="B4001" t="str">
        <f>HYPERLINK("https://bugs.eclipse.org/bugs/show_bug.cgi?id=299667", "299667")</f>
        <v>299667</v>
      </c>
      <c r="C4001" t="s">
        <v>35</v>
      </c>
      <c r="D4001" t="s">
        <v>11</v>
      </c>
      <c r="E4001" t="s">
        <v>12</v>
      </c>
      <c r="F4001" t="s">
        <v>26</v>
      </c>
      <c r="L4001" t="s">
        <v>18382</v>
      </c>
      <c r="M4001" t="s">
        <v>18383</v>
      </c>
      <c r="N4001" t="s">
        <v>18382</v>
      </c>
      <c r="T4001" t="s">
        <v>18384</v>
      </c>
      <c r="U4001" t="s">
        <v>18385</v>
      </c>
      <c r="V4001" t="s">
        <v>18383</v>
      </c>
      <c r="W4001" t="s">
        <v>143</v>
      </c>
      <c r="X4001" t="s">
        <v>18386</v>
      </c>
      <c r="Y4001">
        <v>0</v>
      </c>
      <c r="Z4001">
        <v>11</v>
      </c>
    </row>
    <row r="4002" spans="1:26">
      <c r="A4002" s="1">
        <v>4000</v>
      </c>
      <c r="B4002" t="str">
        <f>HYPERLINK("https://bugs.eclipse.org/bugs/show_bug.cgi?id=300067", "300067")</f>
        <v>300067</v>
      </c>
      <c r="C4002" t="s">
        <v>18387</v>
      </c>
      <c r="D4002" t="s">
        <v>192</v>
      </c>
      <c r="E4002" t="s">
        <v>15</v>
      </c>
      <c r="F4002" t="s">
        <v>26</v>
      </c>
      <c r="Q4002" t="s">
        <v>18388</v>
      </c>
      <c r="T4002" t="s">
        <v>18389</v>
      </c>
      <c r="U4002" t="s">
        <v>18390</v>
      </c>
      <c r="V4002" t="s">
        <v>18388</v>
      </c>
      <c r="W4002" t="s">
        <v>851</v>
      </c>
      <c r="X4002" t="s">
        <v>18391</v>
      </c>
      <c r="Y4002">
        <v>0</v>
      </c>
      <c r="Z4002">
        <v>1</v>
      </c>
    </row>
    <row r="4003" spans="1:26">
      <c r="A4003" s="1">
        <v>4001</v>
      </c>
      <c r="B4003" t="str">
        <f>HYPERLINK("https://bugs.eclipse.org/bugs/show_bug.cgi?id=300536", "300536")</f>
        <v>300536</v>
      </c>
      <c r="C4003" t="s">
        <v>35</v>
      </c>
      <c r="D4003" t="s">
        <v>11</v>
      </c>
      <c r="E4003" t="s">
        <v>12</v>
      </c>
      <c r="F4003" t="s">
        <v>26</v>
      </c>
      <c r="L4003" t="s">
        <v>18392</v>
      </c>
      <c r="M4003" t="s">
        <v>18393</v>
      </c>
      <c r="N4003" t="s">
        <v>18392</v>
      </c>
      <c r="T4003" t="s">
        <v>18394</v>
      </c>
      <c r="U4003" t="s">
        <v>18395</v>
      </c>
      <c r="V4003" t="s">
        <v>18393</v>
      </c>
      <c r="W4003" t="s">
        <v>143</v>
      </c>
      <c r="X4003" t="s">
        <v>18396</v>
      </c>
      <c r="Y4003">
        <v>0</v>
      </c>
      <c r="Z4003">
        <v>4</v>
      </c>
    </row>
    <row r="4004" spans="1:26">
      <c r="A4004" s="1">
        <v>4002</v>
      </c>
      <c r="B4004" t="str">
        <f>HYPERLINK("https://bugs.eclipse.org/bugs/show_bug.cgi?id=300744", "300744")</f>
        <v>300744</v>
      </c>
      <c r="C4004" t="s">
        <v>191</v>
      </c>
      <c r="D4004" t="s">
        <v>192</v>
      </c>
      <c r="E4004" t="s">
        <v>14</v>
      </c>
      <c r="F4004" t="s">
        <v>26</v>
      </c>
      <c r="T4004" t="s">
        <v>18397</v>
      </c>
      <c r="U4004" t="s">
        <v>18398</v>
      </c>
      <c r="V4004" t="s">
        <v>18399</v>
      </c>
      <c r="W4004" t="s">
        <v>65</v>
      </c>
      <c r="X4004" t="s">
        <v>18400</v>
      </c>
      <c r="Y4004">
        <v>2</v>
      </c>
      <c r="Z4004">
        <v>3512.958333333333</v>
      </c>
    </row>
    <row r="4005" spans="1:26">
      <c r="A4005" s="1">
        <v>4003</v>
      </c>
      <c r="B4005" t="str">
        <f>HYPERLINK("https://bugs.eclipse.org/bugs/show_bug.cgi?id=300805", "300805")</f>
        <v>300805</v>
      </c>
      <c r="C4005" t="s">
        <v>35</v>
      </c>
      <c r="D4005" t="s">
        <v>11</v>
      </c>
      <c r="E4005" t="s">
        <v>12</v>
      </c>
      <c r="F4005" t="s">
        <v>26</v>
      </c>
      <c r="L4005" t="s">
        <v>18401</v>
      </c>
      <c r="M4005" t="s">
        <v>18402</v>
      </c>
      <c r="N4005" t="s">
        <v>18401</v>
      </c>
      <c r="T4005" t="s">
        <v>18403</v>
      </c>
      <c r="U4005" t="s">
        <v>18404</v>
      </c>
      <c r="V4005" t="s">
        <v>18402</v>
      </c>
      <c r="W4005" t="s">
        <v>143</v>
      </c>
      <c r="X4005" t="s">
        <v>18405</v>
      </c>
      <c r="Y4005">
        <v>0</v>
      </c>
      <c r="Z4005">
        <v>1</v>
      </c>
    </row>
    <row r="4006" spans="1:26">
      <c r="A4006" s="1">
        <v>4004</v>
      </c>
      <c r="B4006" t="str">
        <f>HYPERLINK("https://bugs.eclipse.org/bugs/show_bug.cgi?id=300976", "300976")</f>
        <v>300976</v>
      </c>
      <c r="C4006" t="s">
        <v>140</v>
      </c>
      <c r="D4006" t="s">
        <v>10</v>
      </c>
      <c r="E4006" t="s">
        <v>16</v>
      </c>
      <c r="F4006" t="s">
        <v>26</v>
      </c>
      <c r="L4006" t="s">
        <v>18406</v>
      </c>
      <c r="R4006" t="s">
        <v>18406</v>
      </c>
      <c r="T4006" t="s">
        <v>18407</v>
      </c>
      <c r="U4006" t="s">
        <v>18408</v>
      </c>
      <c r="V4006" t="s">
        <v>18406</v>
      </c>
      <c r="W4006" t="s">
        <v>143</v>
      </c>
      <c r="X4006" t="s">
        <v>18409</v>
      </c>
      <c r="Y4006">
        <v>0</v>
      </c>
      <c r="Z4006">
        <v>61.958333333333343</v>
      </c>
    </row>
    <row r="4007" spans="1:26">
      <c r="A4007" s="1">
        <v>4005</v>
      </c>
      <c r="B4007" t="str">
        <f>HYPERLINK("https://bugs.eclipse.org/bugs/show_bug.cgi?id=301180", "301180")</f>
        <v>301180</v>
      </c>
      <c r="C4007" t="s">
        <v>18410</v>
      </c>
      <c r="D4007" t="s">
        <v>192</v>
      </c>
      <c r="E4007" t="s">
        <v>15</v>
      </c>
      <c r="F4007" t="s">
        <v>26</v>
      </c>
      <c r="Q4007" t="s">
        <v>17455</v>
      </c>
      <c r="T4007" t="s">
        <v>18411</v>
      </c>
      <c r="U4007" t="s">
        <v>18412</v>
      </c>
      <c r="V4007" t="s">
        <v>17455</v>
      </c>
      <c r="W4007" t="s">
        <v>851</v>
      </c>
      <c r="X4007" t="s">
        <v>18413</v>
      </c>
      <c r="Y4007">
        <v>0</v>
      </c>
      <c r="Z4007">
        <v>1</v>
      </c>
    </row>
    <row r="4008" spans="1:26">
      <c r="A4008" s="1">
        <v>4006</v>
      </c>
      <c r="B4008" t="str">
        <f>HYPERLINK("https://bugs.eclipse.org/bugs/show_bug.cgi?id=301242", "301242")</f>
        <v>301242</v>
      </c>
      <c r="C4008" t="s">
        <v>35</v>
      </c>
      <c r="D4008" t="s">
        <v>11</v>
      </c>
      <c r="E4008" t="s">
        <v>12</v>
      </c>
      <c r="F4008" t="s">
        <v>26</v>
      </c>
      <c r="L4008" t="s">
        <v>18414</v>
      </c>
      <c r="M4008" t="s">
        <v>18415</v>
      </c>
      <c r="N4008" t="s">
        <v>18414</v>
      </c>
      <c r="T4008" t="s">
        <v>18416</v>
      </c>
      <c r="U4008" t="s">
        <v>18417</v>
      </c>
      <c r="V4008" t="s">
        <v>18415</v>
      </c>
      <c r="W4008" t="s">
        <v>851</v>
      </c>
      <c r="X4008" t="s">
        <v>18418</v>
      </c>
      <c r="Y4008">
        <v>0</v>
      </c>
      <c r="Z4008">
        <v>0</v>
      </c>
    </row>
    <row r="4009" spans="1:26">
      <c r="A4009" s="1">
        <v>4007</v>
      </c>
      <c r="B4009" t="str">
        <f>HYPERLINK("https://bugs.eclipse.org/bugs/show_bug.cgi?id=301937", "301937")</f>
        <v>301937</v>
      </c>
      <c r="C4009" t="s">
        <v>18202</v>
      </c>
      <c r="D4009" t="s">
        <v>192</v>
      </c>
      <c r="E4009" t="s">
        <v>15</v>
      </c>
      <c r="F4009" t="s">
        <v>26</v>
      </c>
      <c r="Q4009" t="s">
        <v>18419</v>
      </c>
      <c r="T4009" t="s">
        <v>18420</v>
      </c>
      <c r="U4009" t="s">
        <v>18419</v>
      </c>
      <c r="V4009" t="s">
        <v>18419</v>
      </c>
      <c r="W4009" t="s">
        <v>143</v>
      </c>
      <c r="X4009" t="s">
        <v>18421</v>
      </c>
      <c r="Y4009">
        <v>3</v>
      </c>
      <c r="Z4009">
        <v>3</v>
      </c>
    </row>
    <row r="4010" spans="1:26">
      <c r="A4010" s="1">
        <v>4008</v>
      </c>
      <c r="B4010" t="str">
        <f>HYPERLINK("https://bugs.eclipse.org/bugs/show_bug.cgi?id=302051", "302051")</f>
        <v>302051</v>
      </c>
      <c r="C4010" t="s">
        <v>140</v>
      </c>
      <c r="D4010" t="s">
        <v>10</v>
      </c>
      <c r="E4010" t="s">
        <v>16</v>
      </c>
      <c r="F4010" t="s">
        <v>26</v>
      </c>
      <c r="L4010" t="s">
        <v>18422</v>
      </c>
      <c r="R4010" t="s">
        <v>18422</v>
      </c>
      <c r="T4010" t="s">
        <v>18423</v>
      </c>
      <c r="U4010" t="s">
        <v>18424</v>
      </c>
      <c r="V4010" t="s">
        <v>18422</v>
      </c>
      <c r="W4010" t="s">
        <v>851</v>
      </c>
      <c r="X4010" t="s">
        <v>18425</v>
      </c>
      <c r="Y4010">
        <v>1</v>
      </c>
      <c r="Z4010">
        <v>2</v>
      </c>
    </row>
    <row r="4011" spans="1:26">
      <c r="A4011" s="1">
        <v>4009</v>
      </c>
      <c r="B4011" t="str">
        <f>HYPERLINK("https://bugs.eclipse.org/bugs/show_bug.cgi?id=302310", "302310")</f>
        <v>302310</v>
      </c>
      <c r="C4011" t="s">
        <v>35</v>
      </c>
      <c r="D4011" t="s">
        <v>11</v>
      </c>
      <c r="E4011" t="s">
        <v>12</v>
      </c>
      <c r="F4011" t="s">
        <v>26</v>
      </c>
      <c r="H4011" t="s">
        <v>18426</v>
      </c>
      <c r="L4011" t="s">
        <v>18427</v>
      </c>
      <c r="M4011" t="s">
        <v>18428</v>
      </c>
      <c r="N4011" t="s">
        <v>18427</v>
      </c>
      <c r="T4011" t="s">
        <v>18429</v>
      </c>
      <c r="U4011" t="s">
        <v>18430</v>
      </c>
      <c r="V4011" t="s">
        <v>18428</v>
      </c>
      <c r="W4011" t="s">
        <v>851</v>
      </c>
      <c r="X4011" t="s">
        <v>18431</v>
      </c>
      <c r="Y4011">
        <v>0</v>
      </c>
      <c r="Z4011">
        <v>16</v>
      </c>
    </row>
    <row r="4012" spans="1:26">
      <c r="A4012" s="1">
        <v>4010</v>
      </c>
      <c r="B4012" t="str">
        <f>HYPERLINK("https://bugs.eclipse.org/bugs/show_bug.cgi?id=302832", "302832")</f>
        <v>302832</v>
      </c>
      <c r="C4012" t="s">
        <v>18432</v>
      </c>
      <c r="D4012" t="s">
        <v>192</v>
      </c>
      <c r="E4012" t="s">
        <v>15</v>
      </c>
      <c r="F4012" t="s">
        <v>26</v>
      </c>
      <c r="Q4012" t="s">
        <v>18433</v>
      </c>
      <c r="T4012" t="s">
        <v>18434</v>
      </c>
      <c r="U4012" t="s">
        <v>18433</v>
      </c>
      <c r="V4012" t="s">
        <v>18433</v>
      </c>
      <c r="W4012" t="s">
        <v>851</v>
      </c>
      <c r="X4012" t="s">
        <v>18435</v>
      </c>
      <c r="Y4012">
        <v>1</v>
      </c>
      <c r="Z4012">
        <v>1</v>
      </c>
    </row>
    <row r="4013" spans="1:26">
      <c r="A4013" s="1">
        <v>4011</v>
      </c>
      <c r="B4013" t="str">
        <f>HYPERLINK("https://bugs.eclipse.org/bugs/show_bug.cgi?id=302935", "302935")</f>
        <v>302935</v>
      </c>
      <c r="C4013" t="s">
        <v>191</v>
      </c>
      <c r="D4013" t="s">
        <v>192</v>
      </c>
      <c r="E4013" t="s">
        <v>14</v>
      </c>
      <c r="F4013" t="s">
        <v>26</v>
      </c>
      <c r="P4013" t="s">
        <v>18436</v>
      </c>
      <c r="T4013" t="s">
        <v>18437</v>
      </c>
      <c r="U4013" t="s">
        <v>18438</v>
      </c>
      <c r="V4013" t="s">
        <v>18436</v>
      </c>
      <c r="W4013" t="s">
        <v>65</v>
      </c>
      <c r="X4013" t="s">
        <v>18439</v>
      </c>
      <c r="Y4013">
        <v>0</v>
      </c>
      <c r="Z4013">
        <v>3680.958333333333</v>
      </c>
    </row>
    <row r="4014" spans="1:26">
      <c r="A4014" s="1">
        <v>4012</v>
      </c>
      <c r="B4014" t="str">
        <f>HYPERLINK("https://bugs.eclipse.org/bugs/show_bug.cgi?id=303241", "303241")</f>
        <v>303241</v>
      </c>
      <c r="C4014" t="s">
        <v>140</v>
      </c>
      <c r="D4014" t="s">
        <v>10</v>
      </c>
      <c r="E4014" t="s">
        <v>16</v>
      </c>
      <c r="F4014" t="s">
        <v>26</v>
      </c>
      <c r="L4014" t="s">
        <v>18440</v>
      </c>
      <c r="R4014" t="s">
        <v>18440</v>
      </c>
      <c r="T4014" t="s">
        <v>18441</v>
      </c>
      <c r="U4014" t="s">
        <v>18440</v>
      </c>
      <c r="V4014" t="s">
        <v>18440</v>
      </c>
      <c r="W4014" t="s">
        <v>851</v>
      </c>
      <c r="X4014" t="s">
        <v>18442</v>
      </c>
      <c r="Y4014">
        <v>1</v>
      </c>
      <c r="Z4014">
        <v>1</v>
      </c>
    </row>
    <row r="4015" spans="1:26">
      <c r="A4015" s="1">
        <v>4013</v>
      </c>
      <c r="B4015" t="str">
        <f>HYPERLINK("https://bugs.eclipse.org/bugs/show_bug.cgi?id=303313", "303313")</f>
        <v>303313</v>
      </c>
      <c r="C4015" t="s">
        <v>149</v>
      </c>
      <c r="D4015" t="s">
        <v>10</v>
      </c>
      <c r="E4015" t="s">
        <v>12</v>
      </c>
      <c r="F4015" t="s">
        <v>26</v>
      </c>
      <c r="L4015" t="s">
        <v>18443</v>
      </c>
      <c r="N4015" t="s">
        <v>18443</v>
      </c>
      <c r="T4015" t="s">
        <v>18444</v>
      </c>
      <c r="U4015" t="s">
        <v>18445</v>
      </c>
      <c r="V4015" t="s">
        <v>18446</v>
      </c>
      <c r="W4015" t="s">
        <v>143</v>
      </c>
      <c r="X4015" t="s">
        <v>18447</v>
      </c>
      <c r="Y4015">
        <v>0</v>
      </c>
      <c r="Z4015">
        <v>86.958333333333329</v>
      </c>
    </row>
    <row r="4016" spans="1:26">
      <c r="A4016" s="1">
        <v>4014</v>
      </c>
      <c r="B4016" t="str">
        <f>HYPERLINK("https://bugs.eclipse.org/bugs/show_bug.cgi?id=303617", "303617")</f>
        <v>303617</v>
      </c>
      <c r="C4016" t="s">
        <v>149</v>
      </c>
      <c r="D4016" t="s">
        <v>10</v>
      </c>
      <c r="E4016" t="s">
        <v>12</v>
      </c>
      <c r="F4016" t="s">
        <v>26</v>
      </c>
      <c r="L4016" t="s">
        <v>18448</v>
      </c>
      <c r="N4016" t="s">
        <v>18448</v>
      </c>
      <c r="T4016" t="s">
        <v>18449</v>
      </c>
      <c r="U4016" t="s">
        <v>18450</v>
      </c>
      <c r="V4016" t="s">
        <v>18448</v>
      </c>
      <c r="W4016" t="s">
        <v>14114</v>
      </c>
      <c r="X4016" t="s">
        <v>18451</v>
      </c>
      <c r="Y4016">
        <v>2</v>
      </c>
      <c r="Z4016">
        <v>114.9583333333333</v>
      </c>
    </row>
    <row r="4017" spans="1:26">
      <c r="A4017" s="1">
        <v>4015</v>
      </c>
      <c r="B4017" t="str">
        <f>HYPERLINK("https://bugs.eclipse.org/bugs/show_bug.cgi?id=303698", "303698")</f>
        <v>303698</v>
      </c>
      <c r="C4017" t="s">
        <v>149</v>
      </c>
      <c r="D4017" t="s">
        <v>10</v>
      </c>
      <c r="E4017" t="s">
        <v>12</v>
      </c>
      <c r="F4017" t="s">
        <v>26</v>
      </c>
      <c r="L4017" t="s">
        <v>18452</v>
      </c>
      <c r="N4017" t="s">
        <v>18452</v>
      </c>
      <c r="T4017" t="s">
        <v>18453</v>
      </c>
      <c r="U4017" t="s">
        <v>18452</v>
      </c>
      <c r="V4017" t="s">
        <v>18454</v>
      </c>
      <c r="W4017" t="s">
        <v>851</v>
      </c>
      <c r="X4017" t="s">
        <v>18455</v>
      </c>
      <c r="Y4017">
        <v>13</v>
      </c>
      <c r="Z4017">
        <v>13</v>
      </c>
    </row>
    <row r="4018" spans="1:26">
      <c r="A4018" s="1">
        <v>4016</v>
      </c>
      <c r="B4018" t="str">
        <f>HYPERLINK("https://bugs.eclipse.org/bugs/show_bug.cgi?id=303755", "303755")</f>
        <v>303755</v>
      </c>
      <c r="C4018" t="s">
        <v>25</v>
      </c>
      <c r="D4018" t="s">
        <v>25</v>
      </c>
      <c r="F4018" t="s">
        <v>51</v>
      </c>
      <c r="T4018" t="s">
        <v>18456</v>
      </c>
      <c r="U4018" t="s">
        <v>18457</v>
      </c>
      <c r="V4018" t="s">
        <v>18458</v>
      </c>
      <c r="W4018" t="s">
        <v>17611</v>
      </c>
      <c r="X4018" t="s">
        <v>18459</v>
      </c>
      <c r="Y4018">
        <v>0</v>
      </c>
    </row>
    <row r="4019" spans="1:26">
      <c r="A4019" s="1">
        <v>4017</v>
      </c>
      <c r="B4019" t="str">
        <f>HYPERLINK("https://bugs.eclipse.org/bugs/show_bug.cgi?id=304168", "304168")</f>
        <v>304168</v>
      </c>
      <c r="C4019" t="s">
        <v>140</v>
      </c>
      <c r="D4019" t="s">
        <v>10</v>
      </c>
      <c r="E4019" t="s">
        <v>16</v>
      </c>
      <c r="F4019" t="s">
        <v>26</v>
      </c>
      <c r="L4019" t="s">
        <v>18460</v>
      </c>
      <c r="R4019" t="s">
        <v>18460</v>
      </c>
      <c r="T4019" t="s">
        <v>18461</v>
      </c>
      <c r="U4019" t="s">
        <v>18462</v>
      </c>
      <c r="V4019" t="s">
        <v>18460</v>
      </c>
      <c r="W4019" t="s">
        <v>851</v>
      </c>
      <c r="X4019" t="s">
        <v>18463</v>
      </c>
      <c r="Y4019">
        <v>0</v>
      </c>
      <c r="Z4019">
        <v>1</v>
      </c>
    </row>
    <row r="4020" spans="1:26">
      <c r="A4020" s="1">
        <v>4018</v>
      </c>
      <c r="B4020" t="str">
        <f>HYPERLINK("https://bugs.eclipse.org/bugs/show_bug.cgi?id=304189", "304189")</f>
        <v>304189</v>
      </c>
      <c r="C4020" t="s">
        <v>140</v>
      </c>
      <c r="D4020" t="s">
        <v>10</v>
      </c>
      <c r="E4020" t="s">
        <v>16</v>
      </c>
      <c r="F4020" t="s">
        <v>26</v>
      </c>
      <c r="G4020" t="s">
        <v>18464</v>
      </c>
      <c r="L4020" t="s">
        <v>18465</v>
      </c>
      <c r="R4020" t="s">
        <v>18465</v>
      </c>
      <c r="T4020" t="s">
        <v>18466</v>
      </c>
      <c r="U4020" t="s">
        <v>18467</v>
      </c>
      <c r="V4020" t="s">
        <v>18465</v>
      </c>
      <c r="W4020" t="s">
        <v>851</v>
      </c>
      <c r="X4020" t="s">
        <v>18468</v>
      </c>
      <c r="Y4020">
        <v>0</v>
      </c>
      <c r="Z4020">
        <v>7</v>
      </c>
    </row>
    <row r="4021" spans="1:26">
      <c r="A4021" s="1">
        <v>4019</v>
      </c>
      <c r="B4021" t="str">
        <f>HYPERLINK("https://bugs.eclipse.org/bugs/show_bug.cgi?id=304193", "304193")</f>
        <v>304193</v>
      </c>
      <c r="C4021" t="s">
        <v>35</v>
      </c>
      <c r="D4021" t="s">
        <v>11</v>
      </c>
      <c r="E4021" t="s">
        <v>12</v>
      </c>
      <c r="F4021" t="s">
        <v>26</v>
      </c>
      <c r="H4021" t="s">
        <v>18469</v>
      </c>
      <c r="L4021" t="s">
        <v>18470</v>
      </c>
      <c r="M4021" t="s">
        <v>18471</v>
      </c>
      <c r="N4021" t="s">
        <v>18470</v>
      </c>
      <c r="T4021" t="s">
        <v>18472</v>
      </c>
      <c r="U4021" t="s">
        <v>18473</v>
      </c>
      <c r="V4021" t="s">
        <v>18471</v>
      </c>
      <c r="W4021" t="s">
        <v>14114</v>
      </c>
      <c r="X4021" t="s">
        <v>18474</v>
      </c>
      <c r="Y4021">
        <v>0</v>
      </c>
      <c r="Z4021">
        <v>85.958333333333329</v>
      </c>
    </row>
    <row r="4022" spans="1:26">
      <c r="A4022" s="1">
        <v>4020</v>
      </c>
      <c r="B4022" t="str">
        <f>HYPERLINK("https://bugs.eclipse.org/bugs/show_bug.cgi?id=304473", "304473")</f>
        <v>304473</v>
      </c>
      <c r="C4022" t="s">
        <v>25</v>
      </c>
      <c r="D4022" t="s">
        <v>25</v>
      </c>
      <c r="F4022" t="s">
        <v>26</v>
      </c>
      <c r="T4022" t="s">
        <v>18475</v>
      </c>
      <c r="U4022" t="s">
        <v>18476</v>
      </c>
      <c r="V4022" t="s">
        <v>18477</v>
      </c>
      <c r="W4022" t="s">
        <v>65</v>
      </c>
      <c r="X4022" t="s">
        <v>18478</v>
      </c>
      <c r="Y4022">
        <v>0</v>
      </c>
    </row>
    <row r="4023" spans="1:26">
      <c r="A4023" s="1">
        <v>4021</v>
      </c>
      <c r="B4023" t="str">
        <f>HYPERLINK("https://bugs.eclipse.org/bugs/show_bug.cgi?id=304744", "304744")</f>
        <v>304744</v>
      </c>
      <c r="C4023" t="s">
        <v>140</v>
      </c>
      <c r="D4023" t="s">
        <v>10</v>
      </c>
      <c r="E4023" t="s">
        <v>16</v>
      </c>
      <c r="F4023" t="s">
        <v>26</v>
      </c>
      <c r="L4023" t="s">
        <v>18479</v>
      </c>
      <c r="R4023" t="s">
        <v>18479</v>
      </c>
      <c r="T4023" t="s">
        <v>18480</v>
      </c>
      <c r="U4023" t="s">
        <v>18481</v>
      </c>
      <c r="V4023" t="s">
        <v>18479</v>
      </c>
      <c r="W4023" t="s">
        <v>851</v>
      </c>
      <c r="X4023" t="s">
        <v>18482</v>
      </c>
      <c r="Y4023">
        <v>0</v>
      </c>
      <c r="Z4023">
        <v>3</v>
      </c>
    </row>
    <row r="4024" spans="1:26">
      <c r="A4024" s="1">
        <v>4022</v>
      </c>
      <c r="B4024" t="str">
        <f>HYPERLINK("https://bugs.eclipse.org/bugs/show_bug.cgi?id=304792", "304792")</f>
        <v>304792</v>
      </c>
      <c r="C4024" t="s">
        <v>149</v>
      </c>
      <c r="D4024" t="s">
        <v>10</v>
      </c>
      <c r="E4024" t="s">
        <v>12</v>
      </c>
      <c r="F4024" t="s">
        <v>26</v>
      </c>
      <c r="L4024" t="s">
        <v>18483</v>
      </c>
      <c r="N4024" t="s">
        <v>18483</v>
      </c>
      <c r="T4024" t="s">
        <v>18484</v>
      </c>
      <c r="U4024" t="s">
        <v>18485</v>
      </c>
      <c r="V4024" t="s">
        <v>18483</v>
      </c>
      <c r="W4024" t="s">
        <v>851</v>
      </c>
      <c r="X4024" t="s">
        <v>18486</v>
      </c>
      <c r="Y4024">
        <v>0</v>
      </c>
      <c r="Z4024">
        <v>2</v>
      </c>
    </row>
    <row r="4025" spans="1:26">
      <c r="A4025" s="1">
        <v>4023</v>
      </c>
      <c r="B4025" t="str">
        <f>HYPERLINK("https://bugs.eclipse.org/bugs/show_bug.cgi?id=304827", "304827")</f>
        <v>304827</v>
      </c>
      <c r="C4025" t="s">
        <v>25</v>
      </c>
      <c r="D4025" t="s">
        <v>25</v>
      </c>
      <c r="F4025" t="s">
        <v>51</v>
      </c>
      <c r="H4025" t="s">
        <v>18487</v>
      </c>
      <c r="T4025" t="s">
        <v>18488</v>
      </c>
      <c r="U4025" t="s">
        <v>18489</v>
      </c>
      <c r="V4025" t="s">
        <v>18490</v>
      </c>
      <c r="W4025" t="s">
        <v>143</v>
      </c>
      <c r="X4025" t="s">
        <v>18491</v>
      </c>
      <c r="Y4025">
        <v>0</v>
      </c>
    </row>
    <row r="4026" spans="1:26">
      <c r="A4026" s="1">
        <v>4024</v>
      </c>
      <c r="B4026" t="str">
        <f>HYPERLINK("https://bugs.eclipse.org/bugs/show_bug.cgi?id=304927", "304927")</f>
        <v>304927</v>
      </c>
      <c r="C4026" t="s">
        <v>149</v>
      </c>
      <c r="D4026" t="s">
        <v>10</v>
      </c>
      <c r="E4026" t="s">
        <v>12</v>
      </c>
      <c r="F4026" t="s">
        <v>26</v>
      </c>
      <c r="L4026" t="s">
        <v>18492</v>
      </c>
      <c r="N4026" t="s">
        <v>18492</v>
      </c>
      <c r="T4026" t="s">
        <v>18493</v>
      </c>
      <c r="U4026" t="s">
        <v>18492</v>
      </c>
      <c r="V4026" t="s">
        <v>18492</v>
      </c>
      <c r="W4026" t="s">
        <v>851</v>
      </c>
      <c r="X4026" t="s">
        <v>18494</v>
      </c>
      <c r="Y4026">
        <v>1</v>
      </c>
      <c r="Z4026">
        <v>1</v>
      </c>
    </row>
    <row r="4027" spans="1:26">
      <c r="A4027" s="1">
        <v>4025</v>
      </c>
      <c r="B4027" t="str">
        <f>HYPERLINK("https://bugs.eclipse.org/bugs/show_bug.cgi?id=305103", "305103")</f>
        <v>305103</v>
      </c>
      <c r="C4027" t="s">
        <v>35</v>
      </c>
      <c r="D4027" t="s">
        <v>11</v>
      </c>
      <c r="E4027" t="s">
        <v>12</v>
      </c>
      <c r="F4027" t="s">
        <v>26</v>
      </c>
      <c r="G4027" t="s">
        <v>18495</v>
      </c>
      <c r="L4027" t="s">
        <v>18496</v>
      </c>
      <c r="M4027" t="s">
        <v>18497</v>
      </c>
      <c r="N4027" t="s">
        <v>18496</v>
      </c>
      <c r="T4027" t="s">
        <v>18498</v>
      </c>
      <c r="U4027" t="s">
        <v>18499</v>
      </c>
      <c r="V4027" t="s">
        <v>18497</v>
      </c>
      <c r="W4027" t="s">
        <v>143</v>
      </c>
      <c r="X4027" t="s">
        <v>18500</v>
      </c>
      <c r="Y4027">
        <v>1</v>
      </c>
      <c r="Z4027">
        <v>146.95833333333329</v>
      </c>
    </row>
    <row r="4028" spans="1:26">
      <c r="A4028" s="1">
        <v>4026</v>
      </c>
      <c r="B4028" t="str">
        <f>HYPERLINK("https://bugs.eclipse.org/bugs/show_bug.cgi?id=306571", "306571")</f>
        <v>306571</v>
      </c>
      <c r="C4028" t="s">
        <v>149</v>
      </c>
      <c r="D4028" t="s">
        <v>10</v>
      </c>
      <c r="E4028" t="s">
        <v>12</v>
      </c>
      <c r="F4028" t="s">
        <v>26</v>
      </c>
      <c r="G4028" t="s">
        <v>18501</v>
      </c>
      <c r="L4028" t="s">
        <v>18502</v>
      </c>
      <c r="N4028" t="s">
        <v>18502</v>
      </c>
      <c r="T4028" t="s">
        <v>18503</v>
      </c>
      <c r="U4028" t="s">
        <v>18504</v>
      </c>
      <c r="V4028" t="s">
        <v>18502</v>
      </c>
      <c r="W4028" t="s">
        <v>851</v>
      </c>
      <c r="X4028" t="s">
        <v>18505</v>
      </c>
      <c r="Y4028">
        <v>0</v>
      </c>
      <c r="Z4028">
        <v>26</v>
      </c>
    </row>
    <row r="4029" spans="1:26">
      <c r="A4029" s="1">
        <v>4027</v>
      </c>
      <c r="B4029" t="str">
        <f>HYPERLINK("https://bugs.eclipse.org/bugs/show_bug.cgi?id=306693", "306693")</f>
        <v>306693</v>
      </c>
      <c r="C4029" t="s">
        <v>140</v>
      </c>
      <c r="D4029" t="s">
        <v>10</v>
      </c>
      <c r="E4029" t="s">
        <v>16</v>
      </c>
      <c r="F4029" t="s">
        <v>26</v>
      </c>
      <c r="L4029" t="s">
        <v>18506</v>
      </c>
      <c r="R4029" t="s">
        <v>18506</v>
      </c>
      <c r="T4029" t="s">
        <v>18507</v>
      </c>
      <c r="U4029" t="s">
        <v>18506</v>
      </c>
      <c r="V4029" t="s">
        <v>18506</v>
      </c>
      <c r="W4029" t="s">
        <v>143</v>
      </c>
      <c r="X4029" t="s">
        <v>18508</v>
      </c>
      <c r="Y4029">
        <v>2</v>
      </c>
      <c r="Z4029">
        <v>2</v>
      </c>
    </row>
    <row r="4030" spans="1:26">
      <c r="A4030" s="1">
        <v>4028</v>
      </c>
      <c r="B4030" t="str">
        <f>HYPERLINK("https://bugs.eclipse.org/bugs/show_bug.cgi?id=306918", "306918")</f>
        <v>306918</v>
      </c>
      <c r="C4030" t="s">
        <v>140</v>
      </c>
      <c r="D4030" t="s">
        <v>10</v>
      </c>
      <c r="E4030" t="s">
        <v>16</v>
      </c>
      <c r="F4030" t="s">
        <v>26</v>
      </c>
      <c r="L4030" t="s">
        <v>18509</v>
      </c>
      <c r="R4030" t="s">
        <v>18509</v>
      </c>
      <c r="T4030" t="s">
        <v>18510</v>
      </c>
      <c r="U4030" t="s">
        <v>18511</v>
      </c>
      <c r="V4030" t="s">
        <v>18509</v>
      </c>
      <c r="W4030" t="s">
        <v>143</v>
      </c>
      <c r="X4030" t="s">
        <v>18512</v>
      </c>
      <c r="Y4030">
        <v>0</v>
      </c>
      <c r="Z4030">
        <v>2</v>
      </c>
    </row>
    <row r="4031" spans="1:26">
      <c r="A4031" s="1">
        <v>4029</v>
      </c>
      <c r="B4031" t="str">
        <f>HYPERLINK("https://bugs.eclipse.org/bugs/show_bug.cgi?id=307002", "307002")</f>
        <v>307002</v>
      </c>
      <c r="C4031" t="s">
        <v>18513</v>
      </c>
      <c r="D4031" t="s">
        <v>192</v>
      </c>
      <c r="E4031" t="s">
        <v>15</v>
      </c>
      <c r="F4031" t="s">
        <v>26</v>
      </c>
      <c r="Q4031" t="s">
        <v>18514</v>
      </c>
      <c r="T4031" t="s">
        <v>18515</v>
      </c>
      <c r="U4031" t="s">
        <v>18516</v>
      </c>
      <c r="V4031" t="s">
        <v>18514</v>
      </c>
      <c r="W4031" t="s">
        <v>143</v>
      </c>
      <c r="X4031" t="s">
        <v>18517</v>
      </c>
      <c r="Y4031">
        <v>0</v>
      </c>
      <c r="Z4031">
        <v>29</v>
      </c>
    </row>
    <row r="4032" spans="1:26">
      <c r="A4032" s="1">
        <v>4030</v>
      </c>
      <c r="B4032" t="str">
        <f>HYPERLINK("https://bugs.eclipse.org/bugs/show_bug.cgi?id=307407", "307407")</f>
        <v>307407</v>
      </c>
      <c r="C4032" t="s">
        <v>149</v>
      </c>
      <c r="D4032" t="s">
        <v>10</v>
      </c>
      <c r="E4032" t="s">
        <v>12</v>
      </c>
      <c r="F4032" t="s">
        <v>26</v>
      </c>
      <c r="L4032" t="s">
        <v>18518</v>
      </c>
      <c r="N4032" t="s">
        <v>18518</v>
      </c>
      <c r="T4032" t="s">
        <v>18519</v>
      </c>
      <c r="U4032" t="s">
        <v>18520</v>
      </c>
      <c r="V4032" t="s">
        <v>18518</v>
      </c>
      <c r="W4032" t="s">
        <v>851</v>
      </c>
      <c r="X4032" t="s">
        <v>18521</v>
      </c>
      <c r="Y4032">
        <v>0</v>
      </c>
      <c r="Z4032">
        <v>1</v>
      </c>
    </row>
    <row r="4033" spans="1:26">
      <c r="A4033" s="1">
        <v>4031</v>
      </c>
      <c r="B4033" t="str">
        <f>HYPERLINK("https://bugs.eclipse.org/bugs/show_bug.cgi?id=307758", "307758")</f>
        <v>307758</v>
      </c>
      <c r="C4033" t="s">
        <v>35</v>
      </c>
      <c r="D4033" t="s">
        <v>11</v>
      </c>
      <c r="E4033" t="s">
        <v>12</v>
      </c>
      <c r="F4033" t="s">
        <v>26</v>
      </c>
      <c r="L4033" t="s">
        <v>18522</v>
      </c>
      <c r="M4033" t="s">
        <v>18523</v>
      </c>
      <c r="N4033" t="s">
        <v>18522</v>
      </c>
      <c r="T4033" t="s">
        <v>18524</v>
      </c>
      <c r="U4033" t="s">
        <v>18525</v>
      </c>
      <c r="V4033" t="s">
        <v>18523</v>
      </c>
      <c r="W4033" t="s">
        <v>143</v>
      </c>
      <c r="X4033" t="s">
        <v>18526</v>
      </c>
      <c r="Y4033">
        <v>0</v>
      </c>
      <c r="Z4033">
        <v>26</v>
      </c>
    </row>
    <row r="4034" spans="1:26">
      <c r="A4034" s="1">
        <v>4032</v>
      </c>
      <c r="B4034" t="str">
        <f>HYPERLINK("https://bugs.eclipse.org/bugs/show_bug.cgi?id=308978", "308978")</f>
        <v>308978</v>
      </c>
      <c r="C4034" t="s">
        <v>149</v>
      </c>
      <c r="D4034" t="s">
        <v>10</v>
      </c>
      <c r="E4034" t="s">
        <v>12</v>
      </c>
      <c r="F4034" t="s">
        <v>26</v>
      </c>
      <c r="L4034" t="s">
        <v>18527</v>
      </c>
      <c r="N4034" t="s">
        <v>18527</v>
      </c>
      <c r="T4034" t="s">
        <v>18528</v>
      </c>
      <c r="U4034" t="s">
        <v>18529</v>
      </c>
      <c r="V4034" t="s">
        <v>18527</v>
      </c>
      <c r="W4034" t="s">
        <v>851</v>
      </c>
      <c r="X4034" t="s">
        <v>18530</v>
      </c>
      <c r="Y4034">
        <v>0</v>
      </c>
      <c r="Z4034">
        <v>0</v>
      </c>
    </row>
    <row r="4035" spans="1:26">
      <c r="A4035" s="1">
        <v>4033</v>
      </c>
      <c r="B4035" t="str">
        <f>HYPERLINK("https://bugs.eclipse.org/bugs/show_bug.cgi?id=309932", "309932")</f>
        <v>309932</v>
      </c>
      <c r="C4035" t="s">
        <v>18531</v>
      </c>
      <c r="D4035" t="s">
        <v>192</v>
      </c>
      <c r="E4035" t="s">
        <v>15</v>
      </c>
      <c r="F4035" t="s">
        <v>26</v>
      </c>
      <c r="Q4035" t="s">
        <v>18532</v>
      </c>
      <c r="T4035" t="s">
        <v>18533</v>
      </c>
      <c r="U4035" t="s">
        <v>18534</v>
      </c>
      <c r="V4035" t="s">
        <v>18532</v>
      </c>
      <c r="W4035" t="s">
        <v>851</v>
      </c>
      <c r="X4035" t="s">
        <v>18535</v>
      </c>
      <c r="Y4035">
        <v>0</v>
      </c>
      <c r="Z4035">
        <v>0</v>
      </c>
    </row>
    <row r="4036" spans="1:26">
      <c r="A4036" s="1">
        <v>4034</v>
      </c>
      <c r="B4036" t="str">
        <f>HYPERLINK("https://bugs.eclipse.org/bugs/show_bug.cgi?id=310641", "310641")</f>
        <v>310641</v>
      </c>
      <c r="C4036" t="s">
        <v>35</v>
      </c>
      <c r="D4036" t="s">
        <v>11</v>
      </c>
      <c r="E4036" t="s">
        <v>12</v>
      </c>
      <c r="F4036" t="s">
        <v>26</v>
      </c>
      <c r="L4036" t="s">
        <v>18536</v>
      </c>
      <c r="M4036" t="s">
        <v>18537</v>
      </c>
      <c r="N4036" t="s">
        <v>18536</v>
      </c>
      <c r="T4036" t="s">
        <v>18538</v>
      </c>
      <c r="U4036" t="s">
        <v>18539</v>
      </c>
      <c r="V4036" t="s">
        <v>18537</v>
      </c>
      <c r="W4036" t="s">
        <v>14114</v>
      </c>
      <c r="X4036" t="s">
        <v>18540</v>
      </c>
      <c r="Y4036">
        <v>1</v>
      </c>
      <c r="Z4036">
        <v>20</v>
      </c>
    </row>
    <row r="4037" spans="1:26">
      <c r="A4037" s="1">
        <v>4035</v>
      </c>
      <c r="B4037" t="str">
        <f>HYPERLINK("https://bugs.eclipse.org/bugs/show_bug.cgi?id=310800", "310800")</f>
        <v>310800</v>
      </c>
      <c r="C4037" t="s">
        <v>140</v>
      </c>
      <c r="D4037" t="s">
        <v>10</v>
      </c>
      <c r="E4037" t="s">
        <v>16</v>
      </c>
      <c r="F4037" t="s">
        <v>26</v>
      </c>
      <c r="L4037" t="s">
        <v>18541</v>
      </c>
      <c r="R4037" t="s">
        <v>18541</v>
      </c>
      <c r="S4037" t="s">
        <v>18542</v>
      </c>
      <c r="T4037" t="s">
        <v>18543</v>
      </c>
      <c r="U4037" t="s">
        <v>18544</v>
      </c>
      <c r="V4037" t="s">
        <v>18541</v>
      </c>
      <c r="W4037" t="s">
        <v>143</v>
      </c>
      <c r="X4037" t="s">
        <v>18545</v>
      </c>
      <c r="Y4037">
        <v>8</v>
      </c>
      <c r="Z4037">
        <v>1093</v>
      </c>
    </row>
    <row r="4038" spans="1:26">
      <c r="A4038" s="1">
        <v>4036</v>
      </c>
      <c r="B4038" t="str">
        <f>HYPERLINK("https://bugs.eclipse.org/bugs/show_bug.cgi?id=311099", "311099")</f>
        <v>311099</v>
      </c>
      <c r="C4038" t="s">
        <v>35</v>
      </c>
      <c r="D4038" t="s">
        <v>11</v>
      </c>
      <c r="E4038" t="s">
        <v>12</v>
      </c>
      <c r="F4038" t="s">
        <v>26</v>
      </c>
      <c r="L4038" t="s">
        <v>18546</v>
      </c>
      <c r="M4038" t="s">
        <v>18547</v>
      </c>
      <c r="N4038" t="s">
        <v>18546</v>
      </c>
      <c r="R4038" t="s">
        <v>18548</v>
      </c>
      <c r="S4038" t="s">
        <v>18549</v>
      </c>
      <c r="T4038" t="s">
        <v>18550</v>
      </c>
      <c r="U4038" t="s">
        <v>18551</v>
      </c>
      <c r="V4038" t="s">
        <v>18547</v>
      </c>
      <c r="W4038" t="s">
        <v>2777</v>
      </c>
      <c r="X4038" t="s">
        <v>18552</v>
      </c>
      <c r="Y4038">
        <v>0</v>
      </c>
      <c r="Z4038">
        <v>18</v>
      </c>
    </row>
    <row r="4039" spans="1:26">
      <c r="A4039" s="1">
        <v>4037</v>
      </c>
      <c r="B4039" t="str">
        <f>HYPERLINK("https://bugs.eclipse.org/bugs/show_bug.cgi?id=311259", "311259")</f>
        <v>311259</v>
      </c>
      <c r="C4039" t="s">
        <v>18553</v>
      </c>
      <c r="D4039" t="s">
        <v>192</v>
      </c>
      <c r="E4039" t="s">
        <v>15</v>
      </c>
      <c r="F4039" t="s">
        <v>26</v>
      </c>
      <c r="Q4039" t="s">
        <v>18554</v>
      </c>
      <c r="T4039" t="s">
        <v>18555</v>
      </c>
      <c r="U4039" t="s">
        <v>18556</v>
      </c>
      <c r="V4039" t="s">
        <v>18554</v>
      </c>
      <c r="W4039" t="s">
        <v>851</v>
      </c>
      <c r="X4039" t="s">
        <v>18557</v>
      </c>
      <c r="Y4039">
        <v>0</v>
      </c>
      <c r="Z4039">
        <v>10</v>
      </c>
    </row>
    <row r="4040" spans="1:26">
      <c r="A4040" s="1">
        <v>4038</v>
      </c>
      <c r="B4040" t="str">
        <f>HYPERLINK("https://bugs.eclipse.org/bugs/show_bug.cgi?id=311430", "311430")</f>
        <v>311430</v>
      </c>
      <c r="C4040" t="s">
        <v>140</v>
      </c>
      <c r="D4040" t="s">
        <v>10</v>
      </c>
      <c r="E4040" t="s">
        <v>16</v>
      </c>
      <c r="F4040" t="s">
        <v>26</v>
      </c>
      <c r="L4040" t="s">
        <v>18558</v>
      </c>
      <c r="R4040" t="s">
        <v>18558</v>
      </c>
      <c r="T4040" t="s">
        <v>18559</v>
      </c>
      <c r="U4040" t="s">
        <v>18558</v>
      </c>
      <c r="V4040" t="s">
        <v>18560</v>
      </c>
      <c r="W4040" t="s">
        <v>851</v>
      </c>
      <c r="X4040" t="s">
        <v>18561</v>
      </c>
      <c r="Y4040">
        <v>4</v>
      </c>
      <c r="Z4040">
        <v>4</v>
      </c>
    </row>
    <row r="4041" spans="1:26">
      <c r="A4041" s="1">
        <v>4039</v>
      </c>
      <c r="B4041" t="str">
        <f>HYPERLINK("https://bugs.eclipse.org/bugs/show_bug.cgi?id=311707", "311707")</f>
        <v>311707</v>
      </c>
      <c r="C4041" t="s">
        <v>191</v>
      </c>
      <c r="D4041" t="s">
        <v>192</v>
      </c>
      <c r="E4041" t="s">
        <v>14</v>
      </c>
      <c r="F4041" t="s">
        <v>26</v>
      </c>
      <c r="P4041" t="s">
        <v>18562</v>
      </c>
      <c r="T4041" t="s">
        <v>18563</v>
      </c>
      <c r="U4041" t="s">
        <v>18564</v>
      </c>
      <c r="V4041" t="s">
        <v>18562</v>
      </c>
      <c r="W4041" t="s">
        <v>65</v>
      </c>
      <c r="X4041" t="s">
        <v>18565</v>
      </c>
      <c r="Y4041">
        <v>0</v>
      </c>
      <c r="Z4041">
        <v>3569.041666666667</v>
      </c>
    </row>
    <row r="4042" spans="1:26">
      <c r="A4042" s="1">
        <v>4040</v>
      </c>
      <c r="B4042" t="str">
        <f>HYPERLINK("https://bugs.eclipse.org/bugs/show_bug.cgi?id=312014", "312014")</f>
        <v>312014</v>
      </c>
      <c r="C4042" t="s">
        <v>149</v>
      </c>
      <c r="D4042" t="s">
        <v>10</v>
      </c>
      <c r="E4042" t="s">
        <v>12</v>
      </c>
      <c r="F4042" t="s">
        <v>26</v>
      </c>
      <c r="L4042" t="s">
        <v>18566</v>
      </c>
      <c r="N4042" t="s">
        <v>18566</v>
      </c>
      <c r="T4042" t="s">
        <v>18567</v>
      </c>
      <c r="U4042" t="s">
        <v>18568</v>
      </c>
      <c r="V4042" t="s">
        <v>18566</v>
      </c>
      <c r="W4042" t="s">
        <v>851</v>
      </c>
      <c r="X4042" t="s">
        <v>18569</v>
      </c>
      <c r="Y4042">
        <v>0</v>
      </c>
      <c r="Z4042">
        <v>112</v>
      </c>
    </row>
    <row r="4043" spans="1:26">
      <c r="A4043" s="1">
        <v>4041</v>
      </c>
      <c r="B4043" t="str">
        <f>HYPERLINK("https://bugs.eclipse.org/bugs/show_bug.cgi?id=312347", "312347")</f>
        <v>312347</v>
      </c>
      <c r="C4043" t="s">
        <v>191</v>
      </c>
      <c r="D4043" t="s">
        <v>192</v>
      </c>
      <c r="E4043" t="s">
        <v>14</v>
      </c>
      <c r="F4043" t="s">
        <v>460</v>
      </c>
      <c r="T4043" t="s">
        <v>18570</v>
      </c>
      <c r="U4043" t="s">
        <v>18571</v>
      </c>
      <c r="V4043" t="s">
        <v>18572</v>
      </c>
      <c r="W4043" t="s">
        <v>65</v>
      </c>
      <c r="X4043" t="s">
        <v>18573</v>
      </c>
      <c r="Y4043">
        <v>0</v>
      </c>
      <c r="Z4043">
        <v>3417</v>
      </c>
    </row>
    <row r="4044" spans="1:26">
      <c r="A4044" s="1">
        <v>4042</v>
      </c>
      <c r="B4044" t="str">
        <f>HYPERLINK("https://bugs.eclipse.org/bugs/show_bug.cgi?id=312474", "312474")</f>
        <v>312474</v>
      </c>
      <c r="C4044" t="s">
        <v>18574</v>
      </c>
      <c r="D4044" t="s">
        <v>192</v>
      </c>
      <c r="E4044" t="s">
        <v>15</v>
      </c>
      <c r="F4044" t="s">
        <v>26</v>
      </c>
      <c r="Q4044" t="s">
        <v>18575</v>
      </c>
      <c r="T4044" t="s">
        <v>18576</v>
      </c>
      <c r="U4044" t="s">
        <v>18577</v>
      </c>
      <c r="V4044" t="s">
        <v>18575</v>
      </c>
      <c r="W4044" t="s">
        <v>143</v>
      </c>
      <c r="X4044" t="s">
        <v>18578</v>
      </c>
      <c r="Y4044">
        <v>0</v>
      </c>
      <c r="Z4044">
        <v>1</v>
      </c>
    </row>
    <row r="4045" spans="1:26">
      <c r="A4045" s="1">
        <v>4043</v>
      </c>
      <c r="B4045" t="str">
        <f>HYPERLINK("https://bugs.eclipse.org/bugs/show_bug.cgi?id=312605", "312605")</f>
        <v>312605</v>
      </c>
      <c r="C4045" t="s">
        <v>140</v>
      </c>
      <c r="D4045" t="s">
        <v>10</v>
      </c>
      <c r="E4045" t="s">
        <v>16</v>
      </c>
      <c r="F4045" t="s">
        <v>26</v>
      </c>
      <c r="L4045" t="s">
        <v>18579</v>
      </c>
      <c r="R4045" t="s">
        <v>18579</v>
      </c>
      <c r="T4045" t="s">
        <v>18580</v>
      </c>
      <c r="U4045" t="s">
        <v>18581</v>
      </c>
      <c r="V4045" t="s">
        <v>18579</v>
      </c>
      <c r="W4045" t="s">
        <v>143</v>
      </c>
      <c r="X4045" t="s">
        <v>18582</v>
      </c>
      <c r="Y4045">
        <v>0</v>
      </c>
      <c r="Z4045">
        <v>0</v>
      </c>
    </row>
    <row r="4046" spans="1:26">
      <c r="A4046" s="1">
        <v>4044</v>
      </c>
      <c r="B4046" t="str">
        <f>HYPERLINK("https://bugs.eclipse.org/bugs/show_bug.cgi?id=312606", "312606")</f>
        <v>312606</v>
      </c>
      <c r="C4046" t="s">
        <v>191</v>
      </c>
      <c r="D4046" t="s">
        <v>192</v>
      </c>
      <c r="E4046" t="s">
        <v>14</v>
      </c>
      <c r="F4046" t="s">
        <v>26</v>
      </c>
      <c r="P4046" t="s">
        <v>18583</v>
      </c>
      <c r="T4046" t="s">
        <v>18584</v>
      </c>
      <c r="U4046" t="s">
        <v>18585</v>
      </c>
      <c r="V4046" t="s">
        <v>18583</v>
      </c>
      <c r="W4046" t="s">
        <v>65</v>
      </c>
      <c r="X4046" t="s">
        <v>18586</v>
      </c>
      <c r="Y4046">
        <v>0</v>
      </c>
      <c r="Z4046">
        <v>3598</v>
      </c>
    </row>
    <row r="4047" spans="1:26">
      <c r="A4047" s="1">
        <v>4045</v>
      </c>
      <c r="B4047" t="str">
        <f>HYPERLINK("https://bugs.eclipse.org/bugs/show_bug.cgi?id=312867", "312867")</f>
        <v>312867</v>
      </c>
      <c r="C4047" t="s">
        <v>35</v>
      </c>
      <c r="D4047" t="s">
        <v>11</v>
      </c>
      <c r="E4047" t="s">
        <v>12</v>
      </c>
      <c r="F4047" t="s">
        <v>26</v>
      </c>
      <c r="G4047" t="s">
        <v>18587</v>
      </c>
      <c r="L4047" t="s">
        <v>18588</v>
      </c>
      <c r="M4047" t="s">
        <v>18589</v>
      </c>
      <c r="N4047" t="s">
        <v>18588</v>
      </c>
      <c r="T4047" t="s">
        <v>18590</v>
      </c>
      <c r="U4047" t="s">
        <v>18591</v>
      </c>
      <c r="V4047" t="s">
        <v>18589</v>
      </c>
      <c r="W4047" t="s">
        <v>143</v>
      </c>
      <c r="X4047" t="s">
        <v>18592</v>
      </c>
      <c r="Y4047">
        <v>0</v>
      </c>
      <c r="Z4047">
        <v>5</v>
      </c>
    </row>
    <row r="4048" spans="1:26">
      <c r="A4048" s="1">
        <v>4046</v>
      </c>
      <c r="B4048" t="str">
        <f>HYPERLINK("https://bugs.eclipse.org/bugs/show_bug.cgi?id=313036", "313036")</f>
        <v>313036</v>
      </c>
      <c r="C4048" t="s">
        <v>25</v>
      </c>
      <c r="D4048" t="s">
        <v>25</v>
      </c>
      <c r="F4048" t="s">
        <v>460</v>
      </c>
      <c r="G4048" t="s">
        <v>18593</v>
      </c>
      <c r="T4048" t="s">
        <v>18594</v>
      </c>
      <c r="U4048" t="s">
        <v>18595</v>
      </c>
      <c r="V4048" t="s">
        <v>18596</v>
      </c>
      <c r="W4048" t="s">
        <v>851</v>
      </c>
      <c r="X4048" t="s">
        <v>18597</v>
      </c>
      <c r="Y4048">
        <v>0</v>
      </c>
    </row>
    <row r="4049" spans="1:26">
      <c r="A4049" s="1">
        <v>4047</v>
      </c>
      <c r="B4049" t="str">
        <f>HYPERLINK("https://bugs.eclipse.org/bugs/show_bug.cgi?id=313041", "313041")</f>
        <v>313041</v>
      </c>
      <c r="C4049" t="s">
        <v>18598</v>
      </c>
      <c r="D4049" t="s">
        <v>192</v>
      </c>
      <c r="E4049" t="s">
        <v>15</v>
      </c>
      <c r="F4049" t="s">
        <v>26</v>
      </c>
      <c r="Q4049" t="s">
        <v>18599</v>
      </c>
      <c r="T4049" t="s">
        <v>18600</v>
      </c>
      <c r="U4049" t="s">
        <v>18599</v>
      </c>
      <c r="V4049" t="s">
        <v>18599</v>
      </c>
      <c r="W4049" t="s">
        <v>143</v>
      </c>
      <c r="X4049" t="s">
        <v>18601</v>
      </c>
      <c r="Y4049">
        <v>2</v>
      </c>
      <c r="Z4049">
        <v>2</v>
      </c>
    </row>
    <row r="4050" spans="1:26">
      <c r="A4050" s="1">
        <v>4048</v>
      </c>
      <c r="B4050" t="str">
        <f>HYPERLINK("https://bugs.eclipse.org/bugs/show_bug.cgi?id=313043", "313043")</f>
        <v>313043</v>
      </c>
      <c r="C4050" t="s">
        <v>25</v>
      </c>
      <c r="D4050" t="s">
        <v>25</v>
      </c>
      <c r="F4050" t="s">
        <v>26</v>
      </c>
      <c r="G4050" t="s">
        <v>18602</v>
      </c>
      <c r="T4050" t="s">
        <v>18603</v>
      </c>
      <c r="U4050" t="s">
        <v>18604</v>
      </c>
      <c r="V4050" t="s">
        <v>18605</v>
      </c>
      <c r="W4050" t="s">
        <v>12301</v>
      </c>
      <c r="X4050" t="s">
        <v>18606</v>
      </c>
      <c r="Y4050">
        <v>0</v>
      </c>
    </row>
    <row r="4051" spans="1:26">
      <c r="A4051" s="1">
        <v>4049</v>
      </c>
      <c r="B4051" t="str">
        <f>HYPERLINK("https://bugs.eclipse.org/bugs/show_bug.cgi?id=313045", "313045")</f>
        <v>313045</v>
      </c>
      <c r="C4051" t="s">
        <v>191</v>
      </c>
      <c r="D4051" t="s">
        <v>192</v>
      </c>
      <c r="E4051" t="s">
        <v>14</v>
      </c>
      <c r="F4051" t="s">
        <v>26</v>
      </c>
      <c r="P4051" t="s">
        <v>18607</v>
      </c>
      <c r="T4051" t="s">
        <v>18608</v>
      </c>
      <c r="U4051" t="s">
        <v>18609</v>
      </c>
      <c r="V4051" t="s">
        <v>18607</v>
      </c>
      <c r="W4051" t="s">
        <v>65</v>
      </c>
      <c r="X4051" t="s">
        <v>18610</v>
      </c>
      <c r="Y4051">
        <v>0</v>
      </c>
      <c r="Z4051">
        <v>3643</v>
      </c>
    </row>
    <row r="4052" spans="1:26">
      <c r="A4052" s="1">
        <v>4050</v>
      </c>
      <c r="B4052" t="str">
        <f>HYPERLINK("https://bugs.eclipse.org/bugs/show_bug.cgi?id=313084", "313084")</f>
        <v>313084</v>
      </c>
      <c r="C4052" t="s">
        <v>25</v>
      </c>
      <c r="D4052" t="s">
        <v>25</v>
      </c>
      <c r="F4052" t="s">
        <v>26</v>
      </c>
      <c r="T4052" t="s">
        <v>18611</v>
      </c>
      <c r="U4052" t="s">
        <v>18612</v>
      </c>
      <c r="V4052" t="s">
        <v>18612</v>
      </c>
      <c r="W4052" t="s">
        <v>143</v>
      </c>
      <c r="X4052" t="s">
        <v>18613</v>
      </c>
      <c r="Y4052">
        <v>1</v>
      </c>
    </row>
    <row r="4053" spans="1:26">
      <c r="A4053" s="1">
        <v>4051</v>
      </c>
      <c r="B4053" t="str">
        <f>HYPERLINK("https://bugs.eclipse.org/bugs/show_bug.cgi?id=313148", "313148")</f>
        <v>313148</v>
      </c>
      <c r="C4053" t="s">
        <v>35</v>
      </c>
      <c r="D4053" t="s">
        <v>11</v>
      </c>
      <c r="E4053" t="s">
        <v>12</v>
      </c>
      <c r="F4053" t="s">
        <v>26</v>
      </c>
      <c r="L4053" t="s">
        <v>18614</v>
      </c>
      <c r="M4053" t="s">
        <v>18615</v>
      </c>
      <c r="N4053" t="s">
        <v>18614</v>
      </c>
      <c r="T4053" t="s">
        <v>18616</v>
      </c>
      <c r="U4053" t="s">
        <v>18617</v>
      </c>
      <c r="V4053" t="s">
        <v>18615</v>
      </c>
      <c r="W4053" t="s">
        <v>143</v>
      </c>
      <c r="X4053" t="s">
        <v>18618</v>
      </c>
      <c r="Y4053">
        <v>0</v>
      </c>
      <c r="Z4053">
        <v>2</v>
      </c>
    </row>
    <row r="4054" spans="1:26">
      <c r="A4054" s="1">
        <v>4052</v>
      </c>
      <c r="B4054" t="str">
        <f>HYPERLINK("https://bugs.eclipse.org/bugs/show_bug.cgi?id=313308", "313308")</f>
        <v>313308</v>
      </c>
      <c r="C4054" t="s">
        <v>18619</v>
      </c>
      <c r="D4054" t="s">
        <v>192</v>
      </c>
      <c r="E4054" t="s">
        <v>15</v>
      </c>
      <c r="F4054" t="s">
        <v>26</v>
      </c>
      <c r="Q4054" t="s">
        <v>18620</v>
      </c>
      <c r="T4054" t="s">
        <v>18621</v>
      </c>
      <c r="U4054" t="s">
        <v>18622</v>
      </c>
      <c r="V4054" t="s">
        <v>18620</v>
      </c>
      <c r="W4054" t="s">
        <v>143</v>
      </c>
      <c r="X4054" t="s">
        <v>18623</v>
      </c>
      <c r="Y4054">
        <v>0</v>
      </c>
      <c r="Z4054">
        <v>0</v>
      </c>
    </row>
    <row r="4055" spans="1:26">
      <c r="A4055" s="1">
        <v>4053</v>
      </c>
      <c r="B4055" t="str">
        <f>HYPERLINK("https://bugs.eclipse.org/bugs/show_bug.cgi?id=313918", "313918")</f>
        <v>313918</v>
      </c>
      <c r="C4055" t="s">
        <v>191</v>
      </c>
      <c r="D4055" t="s">
        <v>192</v>
      </c>
      <c r="E4055" t="s">
        <v>14</v>
      </c>
      <c r="F4055" t="s">
        <v>26</v>
      </c>
      <c r="P4055" t="s">
        <v>18624</v>
      </c>
      <c r="Q4055" t="s">
        <v>18625</v>
      </c>
      <c r="S4055" t="s">
        <v>18626</v>
      </c>
      <c r="T4055" t="s">
        <v>18627</v>
      </c>
      <c r="U4055" t="s">
        <v>18625</v>
      </c>
      <c r="V4055" t="s">
        <v>18624</v>
      </c>
      <c r="W4055" t="s">
        <v>65</v>
      </c>
      <c r="X4055" t="s">
        <v>18628</v>
      </c>
      <c r="Y4055">
        <v>0</v>
      </c>
      <c r="Z4055">
        <v>3587</v>
      </c>
    </row>
    <row r="4056" spans="1:26">
      <c r="A4056" s="1">
        <v>4054</v>
      </c>
      <c r="B4056" t="str">
        <f>HYPERLINK("https://bugs.eclipse.org/bugs/show_bug.cgi?id=314063", "314063")</f>
        <v>314063</v>
      </c>
      <c r="C4056" t="s">
        <v>35</v>
      </c>
      <c r="D4056" t="s">
        <v>11</v>
      </c>
      <c r="E4056" t="s">
        <v>12</v>
      </c>
      <c r="F4056" t="s">
        <v>26</v>
      </c>
      <c r="H4056" t="s">
        <v>18629</v>
      </c>
      <c r="L4056" t="s">
        <v>18630</v>
      </c>
      <c r="M4056" t="s">
        <v>18631</v>
      </c>
      <c r="N4056" t="s">
        <v>18630</v>
      </c>
      <c r="T4056" t="s">
        <v>18632</v>
      </c>
      <c r="U4056" t="s">
        <v>18633</v>
      </c>
      <c r="V4056" t="s">
        <v>18631</v>
      </c>
      <c r="W4056" t="s">
        <v>14114</v>
      </c>
      <c r="X4056" t="s">
        <v>18634</v>
      </c>
      <c r="Y4056">
        <v>1</v>
      </c>
      <c r="Z4056">
        <v>113</v>
      </c>
    </row>
    <row r="4057" spans="1:26">
      <c r="A4057" s="1">
        <v>4055</v>
      </c>
      <c r="B4057" t="str">
        <f>HYPERLINK("https://bugs.eclipse.org/bugs/show_bug.cgi?id=314069", "314069")</f>
        <v>314069</v>
      </c>
      <c r="C4057" t="s">
        <v>35</v>
      </c>
      <c r="D4057" t="s">
        <v>11</v>
      </c>
      <c r="E4057" t="s">
        <v>12</v>
      </c>
      <c r="F4057" t="s">
        <v>26</v>
      </c>
      <c r="H4057" t="s">
        <v>18629</v>
      </c>
      <c r="L4057" t="s">
        <v>18635</v>
      </c>
      <c r="M4057" t="s">
        <v>18636</v>
      </c>
      <c r="N4057" t="s">
        <v>18635</v>
      </c>
      <c r="T4057" t="s">
        <v>18637</v>
      </c>
      <c r="U4057" t="s">
        <v>18633</v>
      </c>
      <c r="V4057" t="s">
        <v>18636</v>
      </c>
      <c r="W4057" t="s">
        <v>14114</v>
      </c>
      <c r="X4057" t="s">
        <v>18638</v>
      </c>
      <c r="Y4057">
        <v>1</v>
      </c>
      <c r="Z4057">
        <v>113</v>
      </c>
    </row>
    <row r="4058" spans="1:26">
      <c r="A4058" s="1">
        <v>4056</v>
      </c>
      <c r="B4058" t="str">
        <f>HYPERLINK("https://bugs.eclipse.org/bugs/show_bug.cgi?id=314073", "314073")</f>
        <v>314073</v>
      </c>
      <c r="C4058" t="s">
        <v>18513</v>
      </c>
      <c r="D4058" t="s">
        <v>192</v>
      </c>
      <c r="E4058" t="s">
        <v>15</v>
      </c>
      <c r="F4058" t="s">
        <v>26</v>
      </c>
      <c r="H4058" t="s">
        <v>18629</v>
      </c>
      <c r="Q4058" t="s">
        <v>18639</v>
      </c>
      <c r="T4058" t="s">
        <v>18640</v>
      </c>
      <c r="U4058" t="s">
        <v>18633</v>
      </c>
      <c r="V4058" t="s">
        <v>18639</v>
      </c>
      <c r="W4058" t="s">
        <v>2777</v>
      </c>
      <c r="X4058" t="s">
        <v>18641</v>
      </c>
      <c r="Y4058">
        <v>1</v>
      </c>
      <c r="Z4058">
        <v>68</v>
      </c>
    </row>
    <row r="4059" spans="1:26">
      <c r="A4059" s="1">
        <v>4057</v>
      </c>
      <c r="B4059" t="str">
        <f>HYPERLINK("https://bugs.eclipse.org/bugs/show_bug.cgi?id=314075", "314075")</f>
        <v>314075</v>
      </c>
      <c r="C4059" t="s">
        <v>35</v>
      </c>
      <c r="D4059" t="s">
        <v>11</v>
      </c>
      <c r="E4059" t="s">
        <v>12</v>
      </c>
      <c r="F4059" t="s">
        <v>26</v>
      </c>
      <c r="H4059" t="s">
        <v>18629</v>
      </c>
      <c r="L4059" t="s">
        <v>18642</v>
      </c>
      <c r="M4059" t="s">
        <v>18643</v>
      </c>
      <c r="N4059" t="s">
        <v>18642</v>
      </c>
      <c r="T4059" t="s">
        <v>18644</v>
      </c>
      <c r="U4059" t="s">
        <v>18645</v>
      </c>
      <c r="V4059" t="s">
        <v>18643</v>
      </c>
      <c r="W4059" t="s">
        <v>14114</v>
      </c>
      <c r="X4059" t="s">
        <v>18646</v>
      </c>
      <c r="Y4059">
        <v>0</v>
      </c>
      <c r="Z4059">
        <v>113</v>
      </c>
    </row>
    <row r="4060" spans="1:26">
      <c r="A4060" s="1">
        <v>4058</v>
      </c>
      <c r="B4060" t="str">
        <f>HYPERLINK("https://bugs.eclipse.org/bugs/show_bug.cgi?id=314076", "314076")</f>
        <v>314076</v>
      </c>
      <c r="C4060" t="s">
        <v>35</v>
      </c>
      <c r="D4060" t="s">
        <v>11</v>
      </c>
      <c r="E4060" t="s">
        <v>12</v>
      </c>
      <c r="F4060" t="s">
        <v>26</v>
      </c>
      <c r="H4060" t="s">
        <v>18629</v>
      </c>
      <c r="L4060" t="s">
        <v>18647</v>
      </c>
      <c r="M4060" t="s">
        <v>18648</v>
      </c>
      <c r="N4060" t="s">
        <v>18647</v>
      </c>
      <c r="T4060" t="s">
        <v>18649</v>
      </c>
      <c r="U4060" t="s">
        <v>18633</v>
      </c>
      <c r="V4060" t="s">
        <v>18648</v>
      </c>
      <c r="W4060" t="s">
        <v>14114</v>
      </c>
      <c r="X4060" t="s">
        <v>18650</v>
      </c>
      <c r="Y4060">
        <v>1</v>
      </c>
      <c r="Z4060">
        <v>113</v>
      </c>
    </row>
    <row r="4061" spans="1:26">
      <c r="A4061" s="1">
        <v>4059</v>
      </c>
      <c r="B4061" t="str">
        <f>HYPERLINK("https://bugs.eclipse.org/bugs/show_bug.cgi?id=314077", "314077")</f>
        <v>314077</v>
      </c>
      <c r="C4061" t="s">
        <v>35</v>
      </c>
      <c r="D4061" t="s">
        <v>11</v>
      </c>
      <c r="E4061" t="s">
        <v>12</v>
      </c>
      <c r="F4061" t="s">
        <v>26</v>
      </c>
      <c r="H4061" t="s">
        <v>18629</v>
      </c>
      <c r="L4061" t="s">
        <v>18651</v>
      </c>
      <c r="M4061" t="s">
        <v>18652</v>
      </c>
      <c r="N4061" t="s">
        <v>18651</v>
      </c>
      <c r="T4061" t="s">
        <v>18653</v>
      </c>
      <c r="U4061" t="s">
        <v>18633</v>
      </c>
      <c r="V4061" t="s">
        <v>18652</v>
      </c>
      <c r="W4061" t="s">
        <v>14114</v>
      </c>
      <c r="X4061" t="s">
        <v>18654</v>
      </c>
      <c r="Y4061">
        <v>1</v>
      </c>
      <c r="Z4061">
        <v>113</v>
      </c>
    </row>
    <row r="4062" spans="1:26">
      <c r="A4062" s="1">
        <v>4060</v>
      </c>
      <c r="B4062" t="str">
        <f>HYPERLINK("https://bugs.eclipse.org/bugs/show_bug.cgi?id=314227", "314227")</f>
        <v>314227</v>
      </c>
      <c r="C4062" t="s">
        <v>35</v>
      </c>
      <c r="D4062" t="s">
        <v>11</v>
      </c>
      <c r="E4062" t="s">
        <v>12</v>
      </c>
      <c r="F4062" t="s">
        <v>26</v>
      </c>
      <c r="G4062" t="s">
        <v>18655</v>
      </c>
      <c r="L4062" t="s">
        <v>18656</v>
      </c>
      <c r="M4062" t="s">
        <v>18657</v>
      </c>
      <c r="N4062" t="s">
        <v>18656</v>
      </c>
      <c r="T4062" t="s">
        <v>18658</v>
      </c>
      <c r="U4062" t="s">
        <v>18659</v>
      </c>
      <c r="V4062" t="s">
        <v>18657</v>
      </c>
      <c r="W4062" t="s">
        <v>14114</v>
      </c>
      <c r="X4062" t="s">
        <v>18660</v>
      </c>
      <c r="Y4062">
        <v>0</v>
      </c>
      <c r="Z4062">
        <v>112</v>
      </c>
    </row>
    <row r="4063" spans="1:26">
      <c r="A4063" s="1">
        <v>4061</v>
      </c>
      <c r="B4063" t="str">
        <f>HYPERLINK("https://bugs.eclipse.org/bugs/show_bug.cgi?id=314407", "314407")</f>
        <v>314407</v>
      </c>
      <c r="C4063" t="s">
        <v>35</v>
      </c>
      <c r="D4063" t="s">
        <v>11</v>
      </c>
      <c r="E4063" t="s">
        <v>12</v>
      </c>
      <c r="F4063" t="s">
        <v>26</v>
      </c>
      <c r="L4063" t="s">
        <v>18661</v>
      </c>
      <c r="M4063" t="s">
        <v>18662</v>
      </c>
      <c r="N4063" t="s">
        <v>18661</v>
      </c>
      <c r="T4063" t="s">
        <v>18663</v>
      </c>
      <c r="U4063" t="s">
        <v>18664</v>
      </c>
      <c r="V4063" t="s">
        <v>18665</v>
      </c>
      <c r="W4063" t="s">
        <v>17886</v>
      </c>
      <c r="X4063" t="s">
        <v>18666</v>
      </c>
      <c r="Y4063">
        <v>0</v>
      </c>
      <c r="Z4063">
        <v>111</v>
      </c>
    </row>
    <row r="4064" spans="1:26">
      <c r="A4064" s="1">
        <v>4062</v>
      </c>
      <c r="B4064" t="str">
        <f>HYPERLINK("https://bugs.eclipse.org/bugs/show_bug.cgi?id=315363", "315363")</f>
        <v>315363</v>
      </c>
      <c r="C4064" t="s">
        <v>35</v>
      </c>
      <c r="D4064" t="s">
        <v>11</v>
      </c>
      <c r="E4064" t="s">
        <v>12</v>
      </c>
      <c r="F4064" t="s">
        <v>26</v>
      </c>
      <c r="L4064" t="s">
        <v>18667</v>
      </c>
      <c r="M4064" t="s">
        <v>18668</v>
      </c>
      <c r="N4064" t="s">
        <v>18667</v>
      </c>
      <c r="T4064" t="s">
        <v>18669</v>
      </c>
      <c r="U4064" t="s">
        <v>18670</v>
      </c>
      <c r="V4064" t="s">
        <v>18668</v>
      </c>
      <c r="W4064" t="s">
        <v>2777</v>
      </c>
      <c r="X4064" t="s">
        <v>18671</v>
      </c>
      <c r="Y4064">
        <v>0</v>
      </c>
      <c r="Z4064">
        <v>62</v>
      </c>
    </row>
    <row r="4065" spans="1:26">
      <c r="A4065" s="1">
        <v>4063</v>
      </c>
      <c r="B4065" t="str">
        <f>HYPERLINK("https://bugs.eclipse.org/bugs/show_bug.cgi?id=315908", "315908")</f>
        <v>315908</v>
      </c>
      <c r="C4065" t="s">
        <v>25</v>
      </c>
      <c r="D4065" t="s">
        <v>25</v>
      </c>
      <c r="F4065" t="s">
        <v>51</v>
      </c>
      <c r="T4065" t="s">
        <v>18672</v>
      </c>
      <c r="U4065" t="s">
        <v>18673</v>
      </c>
      <c r="V4065" t="s">
        <v>18673</v>
      </c>
      <c r="W4065" t="s">
        <v>851</v>
      </c>
      <c r="X4065" t="s">
        <v>18674</v>
      </c>
      <c r="Y4065">
        <v>9</v>
      </c>
    </row>
    <row r="4066" spans="1:26">
      <c r="A4066" s="1">
        <v>4064</v>
      </c>
      <c r="B4066" t="str">
        <f>HYPERLINK("https://bugs.eclipse.org/bugs/show_bug.cgi?id=315909", "315909")</f>
        <v>315909</v>
      </c>
      <c r="C4066" t="s">
        <v>35</v>
      </c>
      <c r="D4066" t="s">
        <v>11</v>
      </c>
      <c r="E4066" t="s">
        <v>12</v>
      </c>
      <c r="F4066" t="s">
        <v>26</v>
      </c>
      <c r="L4066" t="s">
        <v>18675</v>
      </c>
      <c r="M4066" t="s">
        <v>18676</v>
      </c>
      <c r="N4066" t="s">
        <v>18675</v>
      </c>
      <c r="T4066" t="s">
        <v>18677</v>
      </c>
      <c r="U4066" t="s">
        <v>18678</v>
      </c>
      <c r="V4066" t="s">
        <v>18679</v>
      </c>
      <c r="W4066" t="s">
        <v>851</v>
      </c>
      <c r="X4066" t="s">
        <v>18680</v>
      </c>
      <c r="Y4066">
        <v>1</v>
      </c>
      <c r="Z4066">
        <v>95</v>
      </c>
    </row>
    <row r="4067" spans="1:26">
      <c r="A4067" s="1">
        <v>4065</v>
      </c>
      <c r="B4067" t="str">
        <f>HYPERLINK("https://bugs.eclipse.org/bugs/show_bug.cgi?id=316372", "316372")</f>
        <v>316372</v>
      </c>
      <c r="C4067" t="s">
        <v>18681</v>
      </c>
      <c r="D4067" t="s">
        <v>192</v>
      </c>
      <c r="E4067" t="s">
        <v>15</v>
      </c>
      <c r="F4067" t="s">
        <v>26</v>
      </c>
      <c r="Q4067" t="s">
        <v>18682</v>
      </c>
      <c r="T4067" t="s">
        <v>18683</v>
      </c>
      <c r="U4067" t="s">
        <v>18684</v>
      </c>
      <c r="V4067" t="s">
        <v>18682</v>
      </c>
      <c r="W4067" t="s">
        <v>143</v>
      </c>
      <c r="X4067" t="s">
        <v>18685</v>
      </c>
      <c r="Y4067">
        <v>0</v>
      </c>
      <c r="Z4067">
        <v>1</v>
      </c>
    </row>
    <row r="4068" spans="1:26">
      <c r="A4068" s="1">
        <v>4066</v>
      </c>
      <c r="B4068" t="str">
        <f>HYPERLINK("https://bugs.eclipse.org/bugs/show_bug.cgi?id=316627", "316627")</f>
        <v>316627</v>
      </c>
      <c r="C4068" t="s">
        <v>149</v>
      </c>
      <c r="D4068" t="s">
        <v>10</v>
      </c>
      <c r="E4068" t="s">
        <v>12</v>
      </c>
      <c r="F4068" t="s">
        <v>26</v>
      </c>
      <c r="L4068" t="s">
        <v>18686</v>
      </c>
      <c r="N4068" t="s">
        <v>18686</v>
      </c>
      <c r="T4068" t="s">
        <v>18687</v>
      </c>
      <c r="U4068" t="s">
        <v>18688</v>
      </c>
      <c r="V4068" t="s">
        <v>18686</v>
      </c>
      <c r="W4068" t="s">
        <v>851</v>
      </c>
      <c r="X4068" t="s">
        <v>18689</v>
      </c>
      <c r="Y4068">
        <v>0</v>
      </c>
      <c r="Z4068">
        <v>3</v>
      </c>
    </row>
    <row r="4069" spans="1:26">
      <c r="A4069" s="1">
        <v>4067</v>
      </c>
      <c r="B4069" t="str">
        <f>HYPERLINK("https://bugs.eclipse.org/bugs/show_bug.cgi?id=316828", "316828")</f>
        <v>316828</v>
      </c>
      <c r="C4069" t="s">
        <v>18690</v>
      </c>
      <c r="D4069" t="s">
        <v>192</v>
      </c>
      <c r="E4069" t="s">
        <v>15</v>
      </c>
      <c r="F4069" t="s">
        <v>26</v>
      </c>
      <c r="Q4069" t="s">
        <v>18691</v>
      </c>
      <c r="T4069" t="s">
        <v>18692</v>
      </c>
      <c r="U4069" t="s">
        <v>18691</v>
      </c>
      <c r="V4069" t="s">
        <v>18691</v>
      </c>
      <c r="W4069" t="s">
        <v>2777</v>
      </c>
      <c r="X4069" t="s">
        <v>18693</v>
      </c>
      <c r="Y4069">
        <v>1</v>
      </c>
      <c r="Z4069">
        <v>1</v>
      </c>
    </row>
    <row r="4070" spans="1:26">
      <c r="A4070" s="1">
        <v>4068</v>
      </c>
      <c r="B4070" t="str">
        <f>HYPERLINK("https://bugs.eclipse.org/bugs/show_bug.cgi?id=316831", "316831")</f>
        <v>316831</v>
      </c>
      <c r="C4070" t="s">
        <v>191</v>
      </c>
      <c r="D4070" t="s">
        <v>192</v>
      </c>
      <c r="E4070" t="s">
        <v>14</v>
      </c>
      <c r="F4070" t="s">
        <v>26</v>
      </c>
      <c r="P4070" t="s">
        <v>18694</v>
      </c>
      <c r="T4070" t="s">
        <v>18695</v>
      </c>
      <c r="U4070" t="s">
        <v>18696</v>
      </c>
      <c r="V4070" t="s">
        <v>18694</v>
      </c>
      <c r="W4070" t="s">
        <v>65</v>
      </c>
      <c r="X4070" t="s">
        <v>18697</v>
      </c>
      <c r="Y4070">
        <v>2</v>
      </c>
      <c r="Z4070">
        <v>3625</v>
      </c>
    </row>
    <row r="4071" spans="1:26">
      <c r="A4071" s="1">
        <v>4069</v>
      </c>
      <c r="B4071" t="str">
        <f>HYPERLINK("https://bugs.eclipse.org/bugs/show_bug.cgi?id=317224", "317224")</f>
        <v>317224</v>
      </c>
      <c r="C4071" t="s">
        <v>149</v>
      </c>
      <c r="D4071" t="s">
        <v>10</v>
      </c>
      <c r="E4071" t="s">
        <v>12</v>
      </c>
      <c r="F4071" t="s">
        <v>26</v>
      </c>
      <c r="L4071" t="s">
        <v>18698</v>
      </c>
      <c r="N4071" t="s">
        <v>18698</v>
      </c>
      <c r="T4071" t="s">
        <v>18699</v>
      </c>
      <c r="U4071" t="s">
        <v>18700</v>
      </c>
      <c r="V4071" t="s">
        <v>18698</v>
      </c>
      <c r="W4071" t="s">
        <v>851</v>
      </c>
      <c r="X4071" t="s">
        <v>18701</v>
      </c>
      <c r="Y4071">
        <v>0</v>
      </c>
      <c r="Z4071">
        <v>1</v>
      </c>
    </row>
    <row r="4072" spans="1:26">
      <c r="A4072" s="1">
        <v>4070</v>
      </c>
      <c r="B4072" t="str">
        <f>HYPERLINK("https://bugs.eclipse.org/bugs/show_bug.cgi?id=318127", "318127")</f>
        <v>318127</v>
      </c>
      <c r="C4072" t="s">
        <v>35</v>
      </c>
      <c r="D4072" t="s">
        <v>11</v>
      </c>
      <c r="E4072" t="s">
        <v>12</v>
      </c>
      <c r="F4072" t="s">
        <v>26</v>
      </c>
      <c r="L4072" t="s">
        <v>18702</v>
      </c>
      <c r="M4072" t="s">
        <v>18703</v>
      </c>
      <c r="N4072" t="s">
        <v>18702</v>
      </c>
      <c r="T4072" t="s">
        <v>18704</v>
      </c>
      <c r="U4072" t="s">
        <v>18705</v>
      </c>
      <c r="V4072" t="s">
        <v>18703</v>
      </c>
      <c r="W4072" t="s">
        <v>143</v>
      </c>
      <c r="X4072" t="s">
        <v>18706</v>
      </c>
      <c r="Y4072">
        <v>0</v>
      </c>
      <c r="Z4072">
        <v>37</v>
      </c>
    </row>
    <row r="4073" spans="1:26">
      <c r="A4073" s="1">
        <v>4071</v>
      </c>
      <c r="B4073" t="str">
        <f>HYPERLINK("https://bugs.eclipse.org/bugs/show_bug.cgi?id=318255", "318255")</f>
        <v>318255</v>
      </c>
      <c r="C4073" t="s">
        <v>149</v>
      </c>
      <c r="D4073" t="s">
        <v>10</v>
      </c>
      <c r="E4073" t="s">
        <v>12</v>
      </c>
      <c r="F4073" t="s">
        <v>26</v>
      </c>
      <c r="L4073" t="s">
        <v>18707</v>
      </c>
      <c r="N4073" t="s">
        <v>18707</v>
      </c>
      <c r="T4073" t="s">
        <v>18708</v>
      </c>
      <c r="U4073" t="s">
        <v>18709</v>
      </c>
      <c r="V4073" t="s">
        <v>18707</v>
      </c>
      <c r="W4073" t="s">
        <v>851</v>
      </c>
      <c r="X4073" t="s">
        <v>18710</v>
      </c>
      <c r="Y4073">
        <v>0</v>
      </c>
      <c r="Z4073">
        <v>1</v>
      </c>
    </row>
    <row r="4074" spans="1:26">
      <c r="A4074" s="1">
        <v>4072</v>
      </c>
      <c r="B4074" t="str">
        <f>HYPERLINK("https://bugs.eclipse.org/bugs/show_bug.cgi?id=318433", "318433")</f>
        <v>318433</v>
      </c>
      <c r="C4074" t="s">
        <v>191</v>
      </c>
      <c r="D4074" t="s">
        <v>192</v>
      </c>
      <c r="E4074" t="s">
        <v>14</v>
      </c>
      <c r="F4074" t="s">
        <v>26</v>
      </c>
      <c r="G4074" t="s">
        <v>18711</v>
      </c>
      <c r="T4074" t="s">
        <v>18712</v>
      </c>
      <c r="U4074" t="s">
        <v>18713</v>
      </c>
      <c r="V4074" t="s">
        <v>18714</v>
      </c>
      <c r="W4074" t="s">
        <v>65</v>
      </c>
      <c r="X4074" t="s">
        <v>18715</v>
      </c>
      <c r="Y4074">
        <v>28</v>
      </c>
      <c r="Z4074">
        <v>3338</v>
      </c>
    </row>
    <row r="4075" spans="1:26">
      <c r="A4075" s="1">
        <v>4073</v>
      </c>
      <c r="B4075" t="str">
        <f>HYPERLINK("https://bugs.eclipse.org/bugs/show_bug.cgi?id=318448", "318448")</f>
        <v>318448</v>
      </c>
      <c r="C4075" t="s">
        <v>25</v>
      </c>
      <c r="D4075" t="s">
        <v>25</v>
      </c>
      <c r="F4075" t="s">
        <v>26</v>
      </c>
      <c r="T4075" t="s">
        <v>18716</v>
      </c>
      <c r="U4075" t="s">
        <v>18717</v>
      </c>
      <c r="V4075" t="s">
        <v>18718</v>
      </c>
      <c r="W4075" t="s">
        <v>851</v>
      </c>
      <c r="X4075" t="s">
        <v>18719</v>
      </c>
      <c r="Y4075">
        <v>0</v>
      </c>
    </row>
    <row r="4076" spans="1:26">
      <c r="A4076" s="1">
        <v>4074</v>
      </c>
      <c r="B4076" t="str">
        <f>HYPERLINK("https://bugs.eclipse.org/bugs/show_bug.cgi?id=318471", "318471")</f>
        <v>318471</v>
      </c>
      <c r="C4076" t="s">
        <v>18720</v>
      </c>
      <c r="D4076" t="s">
        <v>192</v>
      </c>
      <c r="E4076" t="s">
        <v>15</v>
      </c>
      <c r="F4076" t="s">
        <v>26</v>
      </c>
      <c r="Q4076" t="s">
        <v>18721</v>
      </c>
      <c r="T4076" t="s">
        <v>18722</v>
      </c>
      <c r="U4076" t="s">
        <v>18723</v>
      </c>
      <c r="V4076" t="s">
        <v>18721</v>
      </c>
      <c r="W4076" t="s">
        <v>851</v>
      </c>
      <c r="X4076" t="s">
        <v>18724</v>
      </c>
      <c r="Y4076">
        <v>2</v>
      </c>
      <c r="Z4076">
        <v>208.04166666666671</v>
      </c>
    </row>
    <row r="4077" spans="1:26">
      <c r="A4077" s="1">
        <v>4075</v>
      </c>
      <c r="B4077" t="str">
        <f>HYPERLINK("https://bugs.eclipse.org/bugs/show_bug.cgi?id=318553", "318553")</f>
        <v>318553</v>
      </c>
      <c r="C4077" t="s">
        <v>25</v>
      </c>
      <c r="D4077" t="s">
        <v>25</v>
      </c>
      <c r="F4077" t="s">
        <v>26</v>
      </c>
      <c r="T4077" t="s">
        <v>18725</v>
      </c>
      <c r="U4077" t="s">
        <v>18726</v>
      </c>
      <c r="V4077" t="s">
        <v>18727</v>
      </c>
      <c r="W4077" t="s">
        <v>14373</v>
      </c>
      <c r="X4077" t="s">
        <v>18728</v>
      </c>
      <c r="Y4077">
        <v>0</v>
      </c>
    </row>
    <row r="4078" spans="1:26">
      <c r="A4078" s="1">
        <v>4076</v>
      </c>
      <c r="B4078" t="str">
        <f>HYPERLINK("https://bugs.eclipse.org/bugs/show_bug.cgi?id=318560", "318560")</f>
        <v>318560</v>
      </c>
      <c r="C4078" t="s">
        <v>25</v>
      </c>
      <c r="D4078" t="s">
        <v>25</v>
      </c>
      <c r="F4078" t="s">
        <v>26</v>
      </c>
      <c r="G4078" t="s">
        <v>18729</v>
      </c>
      <c r="T4078" t="s">
        <v>18730</v>
      </c>
      <c r="U4078" t="s">
        <v>18731</v>
      </c>
      <c r="V4078" t="s">
        <v>18732</v>
      </c>
      <c r="W4078" t="s">
        <v>16518</v>
      </c>
      <c r="X4078" t="s">
        <v>18733</v>
      </c>
      <c r="Y4078">
        <v>0</v>
      </c>
    </row>
    <row r="4079" spans="1:26">
      <c r="A4079" s="1">
        <v>4077</v>
      </c>
      <c r="B4079" t="str">
        <f>HYPERLINK("https://bugs.eclipse.org/bugs/show_bug.cgi?id=318607", "318607")</f>
        <v>318607</v>
      </c>
      <c r="C4079" t="s">
        <v>149</v>
      </c>
      <c r="D4079" t="s">
        <v>10</v>
      </c>
      <c r="E4079" t="s">
        <v>12</v>
      </c>
      <c r="F4079" t="s">
        <v>26</v>
      </c>
      <c r="L4079" t="s">
        <v>18734</v>
      </c>
      <c r="N4079" t="s">
        <v>18734</v>
      </c>
      <c r="T4079" t="s">
        <v>18735</v>
      </c>
      <c r="U4079" t="s">
        <v>18736</v>
      </c>
      <c r="V4079" t="s">
        <v>18734</v>
      </c>
      <c r="W4079" t="s">
        <v>851</v>
      </c>
      <c r="X4079" t="s">
        <v>18737</v>
      </c>
      <c r="Y4079">
        <v>0</v>
      </c>
      <c r="Z4079">
        <v>1</v>
      </c>
    </row>
    <row r="4080" spans="1:26">
      <c r="A4080" s="1">
        <v>4078</v>
      </c>
      <c r="B4080" t="str">
        <f>HYPERLINK("https://bugs.eclipse.org/bugs/show_bug.cgi?id=318609", "318609")</f>
        <v>318609</v>
      </c>
      <c r="C4080" t="s">
        <v>35</v>
      </c>
      <c r="D4080" t="s">
        <v>11</v>
      </c>
      <c r="E4080" t="s">
        <v>12</v>
      </c>
      <c r="F4080" t="s">
        <v>26</v>
      </c>
      <c r="L4080" t="s">
        <v>18738</v>
      </c>
      <c r="M4080" t="s">
        <v>18739</v>
      </c>
      <c r="N4080" t="s">
        <v>18738</v>
      </c>
      <c r="T4080" t="s">
        <v>18740</v>
      </c>
      <c r="U4080" t="s">
        <v>18738</v>
      </c>
      <c r="V4080" t="s">
        <v>18739</v>
      </c>
      <c r="W4080" t="s">
        <v>143</v>
      </c>
      <c r="X4080" t="s">
        <v>18741</v>
      </c>
      <c r="Y4080">
        <v>0</v>
      </c>
      <c r="Z4080">
        <v>33</v>
      </c>
    </row>
    <row r="4081" spans="1:26">
      <c r="A4081" s="1">
        <v>4079</v>
      </c>
      <c r="B4081" t="str">
        <f>HYPERLINK("https://bugs.eclipse.org/bugs/show_bug.cgi?id=319006", "319006")</f>
        <v>319006</v>
      </c>
      <c r="C4081" t="s">
        <v>17700</v>
      </c>
      <c r="D4081" t="s">
        <v>10</v>
      </c>
      <c r="E4081" t="s">
        <v>17701</v>
      </c>
      <c r="F4081" t="s">
        <v>26</v>
      </c>
      <c r="L4081" t="s">
        <v>18742</v>
      </c>
      <c r="T4081" t="s">
        <v>18743</v>
      </c>
      <c r="U4081" t="s">
        <v>18744</v>
      </c>
      <c r="V4081" t="s">
        <v>18742</v>
      </c>
      <c r="W4081" t="s">
        <v>143</v>
      </c>
      <c r="X4081" t="s">
        <v>18745</v>
      </c>
      <c r="Y4081">
        <v>0</v>
      </c>
      <c r="Z4081">
        <v>24</v>
      </c>
    </row>
    <row r="4082" spans="1:26">
      <c r="A4082" s="1">
        <v>4080</v>
      </c>
      <c r="B4082" t="str">
        <f>HYPERLINK("https://bugs.eclipse.org/bugs/show_bug.cgi?id=319069", "319069")</f>
        <v>319069</v>
      </c>
      <c r="C4082" t="s">
        <v>35</v>
      </c>
      <c r="D4082" t="s">
        <v>11</v>
      </c>
      <c r="E4082" t="s">
        <v>12</v>
      </c>
      <c r="F4082" t="s">
        <v>26</v>
      </c>
      <c r="G4082" t="s">
        <v>18746</v>
      </c>
      <c r="L4082" t="s">
        <v>18747</v>
      </c>
      <c r="M4082" t="s">
        <v>18748</v>
      </c>
      <c r="N4082" t="s">
        <v>18747</v>
      </c>
      <c r="T4082" t="s">
        <v>18749</v>
      </c>
      <c r="U4082" t="s">
        <v>18750</v>
      </c>
      <c r="V4082" t="s">
        <v>18748</v>
      </c>
      <c r="W4082" t="s">
        <v>143</v>
      </c>
      <c r="X4082" t="s">
        <v>18751</v>
      </c>
      <c r="Y4082">
        <v>1</v>
      </c>
      <c r="Z4082">
        <v>112</v>
      </c>
    </row>
    <row r="4083" spans="1:26">
      <c r="A4083" s="1">
        <v>4081</v>
      </c>
      <c r="B4083" t="str">
        <f>HYPERLINK("https://bugs.eclipse.org/bugs/show_bug.cgi?id=319100", "319100")</f>
        <v>319100</v>
      </c>
      <c r="C4083" t="s">
        <v>56</v>
      </c>
      <c r="D4083" t="s">
        <v>10</v>
      </c>
      <c r="E4083" t="s">
        <v>14</v>
      </c>
      <c r="F4083" t="s">
        <v>26</v>
      </c>
      <c r="L4083" t="s">
        <v>18752</v>
      </c>
      <c r="P4083" t="s">
        <v>18752</v>
      </c>
      <c r="T4083" t="s">
        <v>18753</v>
      </c>
      <c r="U4083" t="s">
        <v>18754</v>
      </c>
      <c r="V4083" t="s">
        <v>18752</v>
      </c>
      <c r="W4083" t="s">
        <v>143</v>
      </c>
      <c r="X4083" t="s">
        <v>18755</v>
      </c>
      <c r="Y4083">
        <v>0</v>
      </c>
      <c r="Z4083">
        <v>21</v>
      </c>
    </row>
    <row r="4084" spans="1:26">
      <c r="A4084" s="1">
        <v>4082</v>
      </c>
      <c r="B4084" t="str">
        <f>HYPERLINK("https://bugs.eclipse.org/bugs/show_bug.cgi?id=319260", "319260")</f>
        <v>319260</v>
      </c>
      <c r="C4084" t="s">
        <v>18756</v>
      </c>
      <c r="D4084" t="s">
        <v>192</v>
      </c>
      <c r="E4084" t="s">
        <v>15</v>
      </c>
      <c r="F4084" t="s">
        <v>26</v>
      </c>
      <c r="Q4084" t="s">
        <v>18757</v>
      </c>
      <c r="T4084" t="s">
        <v>18758</v>
      </c>
      <c r="U4084" t="s">
        <v>18759</v>
      </c>
      <c r="V4084" t="s">
        <v>18757</v>
      </c>
      <c r="W4084" t="s">
        <v>851</v>
      </c>
      <c r="X4084" t="s">
        <v>18760</v>
      </c>
      <c r="Y4084">
        <v>21</v>
      </c>
      <c r="Z4084">
        <v>21</v>
      </c>
    </row>
    <row r="4085" spans="1:26">
      <c r="A4085" s="1">
        <v>4083</v>
      </c>
      <c r="B4085" t="str">
        <f>HYPERLINK("https://bugs.eclipse.org/bugs/show_bug.cgi?id=319722", "319722")</f>
        <v>319722</v>
      </c>
      <c r="C4085" t="s">
        <v>2160</v>
      </c>
      <c r="D4085" t="s">
        <v>192</v>
      </c>
      <c r="E4085" t="s">
        <v>16</v>
      </c>
      <c r="F4085" t="s">
        <v>460</v>
      </c>
      <c r="R4085" t="s">
        <v>18761</v>
      </c>
      <c r="T4085" t="s">
        <v>18762</v>
      </c>
      <c r="U4085" t="s">
        <v>18763</v>
      </c>
      <c r="V4085" t="s">
        <v>18761</v>
      </c>
      <c r="W4085" t="s">
        <v>18764</v>
      </c>
      <c r="X4085" t="s">
        <v>18765</v>
      </c>
      <c r="Y4085">
        <v>0</v>
      </c>
      <c r="Z4085">
        <v>0</v>
      </c>
    </row>
    <row r="4086" spans="1:26">
      <c r="A4086" s="1">
        <v>4084</v>
      </c>
      <c r="B4086" t="str">
        <f>HYPERLINK("https://bugs.eclipse.org/bugs/show_bug.cgi?id=319916", "319916")</f>
        <v>319916</v>
      </c>
      <c r="C4086" t="s">
        <v>191</v>
      </c>
      <c r="D4086" t="s">
        <v>192</v>
      </c>
      <c r="E4086" t="s">
        <v>14</v>
      </c>
      <c r="F4086" t="s">
        <v>26</v>
      </c>
      <c r="P4086" t="s">
        <v>18766</v>
      </c>
      <c r="T4086" t="s">
        <v>18767</v>
      </c>
      <c r="U4086" t="s">
        <v>18768</v>
      </c>
      <c r="V4086" t="s">
        <v>18766</v>
      </c>
      <c r="W4086" t="s">
        <v>65</v>
      </c>
      <c r="X4086" t="s">
        <v>18769</v>
      </c>
      <c r="Y4086">
        <v>14</v>
      </c>
      <c r="Z4086">
        <v>3522.041666666667</v>
      </c>
    </row>
    <row r="4087" spans="1:26">
      <c r="A4087" s="1">
        <v>4085</v>
      </c>
      <c r="B4087" t="str">
        <f>HYPERLINK("https://bugs.eclipse.org/bugs/show_bug.cgi?id=319926", "319926")</f>
        <v>319926</v>
      </c>
      <c r="C4087" t="s">
        <v>18770</v>
      </c>
      <c r="D4087" t="s">
        <v>192</v>
      </c>
      <c r="E4087" t="s">
        <v>15</v>
      </c>
      <c r="F4087" t="s">
        <v>26</v>
      </c>
      <c r="Q4087" t="s">
        <v>18771</v>
      </c>
      <c r="T4087" t="s">
        <v>18772</v>
      </c>
      <c r="U4087" t="s">
        <v>18773</v>
      </c>
      <c r="V4087" t="s">
        <v>18771</v>
      </c>
      <c r="W4087" t="s">
        <v>143</v>
      </c>
      <c r="X4087" t="s">
        <v>18774</v>
      </c>
      <c r="Y4087">
        <v>4</v>
      </c>
      <c r="Z4087">
        <v>14</v>
      </c>
    </row>
    <row r="4088" spans="1:26">
      <c r="A4088" s="1">
        <v>4086</v>
      </c>
      <c r="B4088" t="str">
        <f>HYPERLINK("https://bugs.eclipse.org/bugs/show_bug.cgi?id=319929", "319929")</f>
        <v>319929</v>
      </c>
      <c r="C4088" t="s">
        <v>17211</v>
      </c>
      <c r="D4088" t="s">
        <v>192</v>
      </c>
      <c r="E4088" t="s">
        <v>15</v>
      </c>
      <c r="F4088" t="s">
        <v>26</v>
      </c>
      <c r="Q4088" t="s">
        <v>18775</v>
      </c>
      <c r="T4088" t="s">
        <v>18776</v>
      </c>
      <c r="U4088" t="s">
        <v>18775</v>
      </c>
      <c r="V4088" t="s">
        <v>18775</v>
      </c>
      <c r="W4088" t="s">
        <v>2777</v>
      </c>
      <c r="X4088" t="s">
        <v>18777</v>
      </c>
      <c r="Y4088">
        <v>4</v>
      </c>
      <c r="Z4088">
        <v>4</v>
      </c>
    </row>
    <row r="4089" spans="1:26">
      <c r="A4089" s="1">
        <v>4087</v>
      </c>
      <c r="B4089" t="str">
        <f>HYPERLINK("https://bugs.eclipse.org/bugs/show_bug.cgi?id=320115", "320115")</f>
        <v>320115</v>
      </c>
      <c r="C4089" t="s">
        <v>191</v>
      </c>
      <c r="D4089" t="s">
        <v>192</v>
      </c>
      <c r="E4089" t="s">
        <v>14</v>
      </c>
      <c r="F4089" t="s">
        <v>26</v>
      </c>
      <c r="T4089" t="s">
        <v>18778</v>
      </c>
      <c r="U4089" t="s">
        <v>18779</v>
      </c>
      <c r="V4089" t="s">
        <v>18780</v>
      </c>
      <c r="W4089" t="s">
        <v>65</v>
      </c>
      <c r="X4089" t="s">
        <v>18781</v>
      </c>
      <c r="Y4089">
        <v>2</v>
      </c>
      <c r="Z4089">
        <v>3423.041666666667</v>
      </c>
    </row>
    <row r="4090" spans="1:26">
      <c r="A4090" s="1">
        <v>4088</v>
      </c>
      <c r="B4090" t="str">
        <f>HYPERLINK("https://bugs.eclipse.org/bugs/show_bug.cgi?id=320232", "320232")</f>
        <v>320232</v>
      </c>
      <c r="C4090" t="s">
        <v>18782</v>
      </c>
      <c r="D4090" t="s">
        <v>192</v>
      </c>
      <c r="E4090" t="s">
        <v>15</v>
      </c>
      <c r="F4090" t="s">
        <v>26</v>
      </c>
      <c r="Q4090" t="s">
        <v>8100</v>
      </c>
      <c r="T4090" t="s">
        <v>18783</v>
      </c>
      <c r="U4090" t="s">
        <v>8100</v>
      </c>
      <c r="V4090" t="s">
        <v>8100</v>
      </c>
      <c r="W4090" t="s">
        <v>143</v>
      </c>
      <c r="X4090" t="s">
        <v>18784</v>
      </c>
      <c r="Y4090">
        <v>9</v>
      </c>
      <c r="Z4090">
        <v>9</v>
      </c>
    </row>
    <row r="4091" spans="1:26">
      <c r="A4091" s="1">
        <v>4089</v>
      </c>
      <c r="B4091" t="str">
        <f>HYPERLINK("https://bugs.eclipse.org/bugs/show_bug.cgi?id=320349", "320349")</f>
        <v>320349</v>
      </c>
      <c r="C4091" t="s">
        <v>56</v>
      </c>
      <c r="D4091" t="s">
        <v>10</v>
      </c>
      <c r="E4091" t="s">
        <v>14</v>
      </c>
      <c r="F4091" t="s">
        <v>26</v>
      </c>
      <c r="G4091" t="s">
        <v>18785</v>
      </c>
      <c r="L4091" t="s">
        <v>18786</v>
      </c>
      <c r="N4091" t="s">
        <v>18787</v>
      </c>
      <c r="P4091" t="s">
        <v>18786</v>
      </c>
      <c r="S4091" t="s">
        <v>18788</v>
      </c>
      <c r="T4091" t="s">
        <v>18789</v>
      </c>
      <c r="U4091" t="s">
        <v>18790</v>
      </c>
      <c r="V4091" t="s">
        <v>18791</v>
      </c>
      <c r="W4091" t="s">
        <v>143</v>
      </c>
      <c r="X4091" t="s">
        <v>18792</v>
      </c>
      <c r="Y4091">
        <v>0</v>
      </c>
      <c r="Z4091">
        <v>976</v>
      </c>
    </row>
    <row r="4092" spans="1:26">
      <c r="A4092" s="1">
        <v>4090</v>
      </c>
      <c r="B4092" t="str">
        <f>HYPERLINK("https://bugs.eclipse.org/bugs/show_bug.cgi?id=320511", "320511")</f>
        <v>320511</v>
      </c>
      <c r="C4092" t="s">
        <v>149</v>
      </c>
      <c r="D4092" t="s">
        <v>10</v>
      </c>
      <c r="E4092" t="s">
        <v>12</v>
      </c>
      <c r="F4092" t="s">
        <v>26</v>
      </c>
      <c r="L4092" t="s">
        <v>18793</v>
      </c>
      <c r="N4092" t="s">
        <v>18793</v>
      </c>
      <c r="T4092" t="s">
        <v>18794</v>
      </c>
      <c r="U4092" t="s">
        <v>18793</v>
      </c>
      <c r="V4092" t="s">
        <v>18793</v>
      </c>
      <c r="W4092" t="s">
        <v>851</v>
      </c>
      <c r="X4092" t="s">
        <v>18795</v>
      </c>
      <c r="Y4092">
        <v>0</v>
      </c>
      <c r="Z4092">
        <v>0</v>
      </c>
    </row>
    <row r="4093" spans="1:26">
      <c r="A4093" s="1">
        <v>4091</v>
      </c>
      <c r="B4093" t="str">
        <f>HYPERLINK("https://bugs.eclipse.org/bugs/show_bug.cgi?id=320530", "320530")</f>
        <v>320530</v>
      </c>
      <c r="C4093" t="s">
        <v>4692</v>
      </c>
      <c r="D4093" t="s">
        <v>4692</v>
      </c>
      <c r="F4093" t="s">
        <v>26</v>
      </c>
      <c r="T4093" t="s">
        <v>18796</v>
      </c>
      <c r="U4093" t="s">
        <v>18797</v>
      </c>
      <c r="V4093" t="s">
        <v>18798</v>
      </c>
      <c r="W4093" t="s">
        <v>65</v>
      </c>
      <c r="X4093" t="s">
        <v>18799</v>
      </c>
      <c r="Y4093">
        <v>7</v>
      </c>
    </row>
    <row r="4094" spans="1:26">
      <c r="A4094" s="1">
        <v>4092</v>
      </c>
      <c r="B4094" t="str">
        <f>HYPERLINK("https://bugs.eclipse.org/bugs/show_bug.cgi?id=320715", "320715")</f>
        <v>320715</v>
      </c>
      <c r="C4094" t="s">
        <v>9496</v>
      </c>
      <c r="D4094" t="s">
        <v>192</v>
      </c>
      <c r="E4094" t="s">
        <v>15</v>
      </c>
      <c r="F4094" t="s">
        <v>26</v>
      </c>
      <c r="Q4094" t="s">
        <v>5096</v>
      </c>
      <c r="T4094" t="s">
        <v>18800</v>
      </c>
      <c r="U4094" t="s">
        <v>18801</v>
      </c>
      <c r="V4094" t="s">
        <v>5096</v>
      </c>
      <c r="W4094" t="s">
        <v>143</v>
      </c>
      <c r="X4094" t="s">
        <v>18802</v>
      </c>
      <c r="Y4094">
        <v>0</v>
      </c>
      <c r="Z4094">
        <v>5</v>
      </c>
    </row>
    <row r="4095" spans="1:26">
      <c r="A4095" s="1">
        <v>4093</v>
      </c>
      <c r="B4095" t="str">
        <f>HYPERLINK("https://bugs.eclipse.org/bugs/show_bug.cgi?id=320875", "320875")</f>
        <v>320875</v>
      </c>
      <c r="C4095" t="s">
        <v>149</v>
      </c>
      <c r="D4095" t="s">
        <v>10</v>
      </c>
      <c r="E4095" t="s">
        <v>12</v>
      </c>
      <c r="F4095" t="s">
        <v>150</v>
      </c>
      <c r="G4095" t="s">
        <v>18803</v>
      </c>
      <c r="L4095" t="s">
        <v>18804</v>
      </c>
      <c r="N4095" t="s">
        <v>18804</v>
      </c>
      <c r="T4095" t="s">
        <v>18805</v>
      </c>
      <c r="U4095" t="s">
        <v>18806</v>
      </c>
      <c r="V4095" t="s">
        <v>18804</v>
      </c>
      <c r="W4095" t="s">
        <v>851</v>
      </c>
      <c r="X4095" t="s">
        <v>18807</v>
      </c>
      <c r="Y4095">
        <v>0</v>
      </c>
      <c r="Z4095">
        <v>218.04166666666671</v>
      </c>
    </row>
    <row r="4096" spans="1:26">
      <c r="A4096" s="1">
        <v>4094</v>
      </c>
      <c r="B4096" t="str">
        <f>HYPERLINK("https://bugs.eclipse.org/bugs/show_bug.cgi?id=320878", "320878")</f>
        <v>320878</v>
      </c>
      <c r="C4096" t="s">
        <v>149</v>
      </c>
      <c r="D4096" t="s">
        <v>10</v>
      </c>
      <c r="E4096" t="s">
        <v>12</v>
      </c>
      <c r="F4096" t="s">
        <v>26</v>
      </c>
      <c r="G4096" t="s">
        <v>18808</v>
      </c>
      <c r="L4096" t="s">
        <v>18809</v>
      </c>
      <c r="N4096" t="s">
        <v>18809</v>
      </c>
      <c r="R4096" t="s">
        <v>18810</v>
      </c>
      <c r="S4096" t="s">
        <v>18811</v>
      </c>
      <c r="T4096" t="s">
        <v>18812</v>
      </c>
      <c r="U4096" t="s">
        <v>18813</v>
      </c>
      <c r="V4096" t="s">
        <v>18809</v>
      </c>
      <c r="W4096" t="s">
        <v>851</v>
      </c>
      <c r="X4096" t="s">
        <v>18814</v>
      </c>
      <c r="Y4096">
        <v>0</v>
      </c>
      <c r="Z4096">
        <v>710</v>
      </c>
    </row>
    <row r="4097" spans="1:26">
      <c r="A4097" s="1">
        <v>4095</v>
      </c>
      <c r="B4097" t="str">
        <f>HYPERLINK("https://bugs.eclipse.org/bugs/show_bug.cgi?id=320986", "320986")</f>
        <v>320986</v>
      </c>
      <c r="C4097" t="s">
        <v>140</v>
      </c>
      <c r="D4097" t="s">
        <v>10</v>
      </c>
      <c r="E4097" t="s">
        <v>16</v>
      </c>
      <c r="F4097" t="s">
        <v>26</v>
      </c>
      <c r="G4097" t="s">
        <v>18815</v>
      </c>
      <c r="L4097" t="s">
        <v>18816</v>
      </c>
      <c r="R4097" t="s">
        <v>18816</v>
      </c>
      <c r="T4097" t="s">
        <v>18817</v>
      </c>
      <c r="U4097" t="s">
        <v>18818</v>
      </c>
      <c r="V4097" t="s">
        <v>18819</v>
      </c>
      <c r="W4097" t="s">
        <v>18820</v>
      </c>
      <c r="X4097" t="s">
        <v>18821</v>
      </c>
      <c r="Y4097">
        <v>32</v>
      </c>
      <c r="Z4097">
        <v>3062.041666666667</v>
      </c>
    </row>
    <row r="4098" spans="1:26">
      <c r="A4098" s="1">
        <v>4096</v>
      </c>
      <c r="B4098" t="str">
        <f>HYPERLINK("https://bugs.eclipse.org/bugs/show_bug.cgi?id=321373", "321373")</f>
        <v>321373</v>
      </c>
      <c r="C4098" t="s">
        <v>191</v>
      </c>
      <c r="D4098" t="s">
        <v>192</v>
      </c>
      <c r="E4098" t="s">
        <v>14</v>
      </c>
      <c r="F4098" t="s">
        <v>26</v>
      </c>
      <c r="Q4098" t="s">
        <v>17279</v>
      </c>
      <c r="S4098" t="s">
        <v>18822</v>
      </c>
      <c r="T4098" t="s">
        <v>18823</v>
      </c>
      <c r="U4098" t="s">
        <v>18824</v>
      </c>
      <c r="V4098" t="s">
        <v>18825</v>
      </c>
      <c r="W4098" t="s">
        <v>65</v>
      </c>
      <c r="X4098" t="s">
        <v>18826</v>
      </c>
      <c r="Y4098">
        <v>0</v>
      </c>
      <c r="Z4098">
        <v>3299</v>
      </c>
    </row>
    <row r="4099" spans="1:26">
      <c r="A4099" s="1">
        <v>4097</v>
      </c>
      <c r="B4099" t="str">
        <f>HYPERLINK("https://bugs.eclipse.org/bugs/show_bug.cgi?id=321592", "321592")</f>
        <v>321592</v>
      </c>
      <c r="C4099" t="s">
        <v>149</v>
      </c>
      <c r="D4099" t="s">
        <v>10</v>
      </c>
      <c r="E4099" t="s">
        <v>12</v>
      </c>
      <c r="F4099" t="s">
        <v>26</v>
      </c>
      <c r="L4099" t="s">
        <v>18827</v>
      </c>
      <c r="N4099" t="s">
        <v>18827</v>
      </c>
      <c r="T4099" t="s">
        <v>18828</v>
      </c>
      <c r="U4099" t="s">
        <v>18829</v>
      </c>
      <c r="V4099" t="s">
        <v>18827</v>
      </c>
      <c r="W4099" t="s">
        <v>851</v>
      </c>
      <c r="X4099" t="s">
        <v>18830</v>
      </c>
      <c r="Y4099">
        <v>0</v>
      </c>
      <c r="Z4099">
        <v>216.04166666666671</v>
      </c>
    </row>
    <row r="4100" spans="1:26">
      <c r="A4100" s="1">
        <v>4098</v>
      </c>
      <c r="B4100" t="str">
        <f>HYPERLINK("https://bugs.eclipse.org/bugs/show_bug.cgi?id=321717", "321717")</f>
        <v>321717</v>
      </c>
      <c r="C4100" t="s">
        <v>35</v>
      </c>
      <c r="D4100" t="s">
        <v>11</v>
      </c>
      <c r="E4100" t="s">
        <v>12</v>
      </c>
      <c r="F4100" t="s">
        <v>26</v>
      </c>
      <c r="H4100" t="s">
        <v>18831</v>
      </c>
      <c r="L4100" t="s">
        <v>18832</v>
      </c>
      <c r="M4100" t="s">
        <v>18833</v>
      </c>
      <c r="N4100" t="s">
        <v>18832</v>
      </c>
      <c r="T4100" t="s">
        <v>18834</v>
      </c>
      <c r="U4100" t="s">
        <v>18835</v>
      </c>
      <c r="V4100" t="s">
        <v>18833</v>
      </c>
      <c r="W4100" t="s">
        <v>143</v>
      </c>
      <c r="X4100" t="s">
        <v>18836</v>
      </c>
      <c r="Y4100">
        <v>0</v>
      </c>
      <c r="Z4100">
        <v>1</v>
      </c>
    </row>
    <row r="4101" spans="1:26">
      <c r="A4101" s="1">
        <v>4099</v>
      </c>
      <c r="B4101" t="str">
        <f>HYPERLINK("https://bugs.eclipse.org/bugs/show_bug.cgi?id=321844", "321844")</f>
        <v>321844</v>
      </c>
      <c r="C4101" t="s">
        <v>18837</v>
      </c>
      <c r="D4101" t="s">
        <v>10</v>
      </c>
      <c r="E4101" t="s">
        <v>15</v>
      </c>
      <c r="F4101" t="s">
        <v>26</v>
      </c>
      <c r="L4101" t="s">
        <v>18838</v>
      </c>
      <c r="Q4101" t="s">
        <v>18838</v>
      </c>
      <c r="T4101" t="s">
        <v>18839</v>
      </c>
      <c r="U4101" t="s">
        <v>18840</v>
      </c>
      <c r="V4101" t="s">
        <v>18838</v>
      </c>
      <c r="W4101" t="s">
        <v>18841</v>
      </c>
      <c r="X4101" t="s">
        <v>18842</v>
      </c>
      <c r="Y4101">
        <v>0</v>
      </c>
      <c r="Z4101">
        <v>0</v>
      </c>
    </row>
    <row r="4102" spans="1:26">
      <c r="A4102" s="1">
        <v>4100</v>
      </c>
      <c r="B4102" t="str">
        <f>HYPERLINK("https://bugs.eclipse.org/bugs/show_bug.cgi?id=322331", "322331")</f>
        <v>322331</v>
      </c>
      <c r="C4102" t="s">
        <v>35</v>
      </c>
      <c r="D4102" t="s">
        <v>11</v>
      </c>
      <c r="E4102" t="s">
        <v>12</v>
      </c>
      <c r="F4102" t="s">
        <v>26</v>
      </c>
      <c r="L4102" t="s">
        <v>18843</v>
      </c>
      <c r="M4102" t="s">
        <v>18844</v>
      </c>
      <c r="N4102" t="s">
        <v>18843</v>
      </c>
      <c r="T4102" t="s">
        <v>18845</v>
      </c>
      <c r="U4102" t="s">
        <v>18846</v>
      </c>
      <c r="V4102" t="s">
        <v>18844</v>
      </c>
      <c r="W4102" t="s">
        <v>143</v>
      </c>
      <c r="X4102" t="s">
        <v>18847</v>
      </c>
      <c r="Y4102">
        <v>1</v>
      </c>
      <c r="Z4102">
        <v>35</v>
      </c>
    </row>
    <row r="4103" spans="1:26">
      <c r="A4103" s="1">
        <v>4101</v>
      </c>
      <c r="B4103" t="str">
        <f>HYPERLINK("https://bugs.eclipse.org/bugs/show_bug.cgi?id=322494", "322494")</f>
        <v>322494</v>
      </c>
      <c r="C4103" t="s">
        <v>25</v>
      </c>
      <c r="D4103" t="s">
        <v>25</v>
      </c>
      <c r="F4103" t="s">
        <v>26</v>
      </c>
      <c r="T4103" t="s">
        <v>18848</v>
      </c>
      <c r="U4103" t="s">
        <v>18849</v>
      </c>
      <c r="V4103" t="s">
        <v>18850</v>
      </c>
      <c r="W4103" t="s">
        <v>14690</v>
      </c>
      <c r="X4103" t="s">
        <v>18851</v>
      </c>
      <c r="Y4103">
        <v>0</v>
      </c>
    </row>
    <row r="4104" spans="1:26">
      <c r="A4104" s="1">
        <v>4102</v>
      </c>
      <c r="B4104" t="str">
        <f>HYPERLINK("https://bugs.eclipse.org/bugs/show_bug.cgi?id=322543", "322543")</f>
        <v>322543</v>
      </c>
      <c r="C4104" t="s">
        <v>35</v>
      </c>
      <c r="D4104" t="s">
        <v>11</v>
      </c>
      <c r="E4104" t="s">
        <v>12</v>
      </c>
      <c r="F4104" t="s">
        <v>26</v>
      </c>
      <c r="H4104" t="s">
        <v>18852</v>
      </c>
      <c r="L4104" t="s">
        <v>18853</v>
      </c>
      <c r="M4104" t="s">
        <v>18854</v>
      </c>
      <c r="N4104" t="s">
        <v>18853</v>
      </c>
      <c r="T4104" t="s">
        <v>18855</v>
      </c>
      <c r="U4104" t="s">
        <v>18856</v>
      </c>
      <c r="V4104" t="s">
        <v>18854</v>
      </c>
      <c r="W4104" t="s">
        <v>143</v>
      </c>
      <c r="X4104" t="s">
        <v>18857</v>
      </c>
      <c r="Y4104">
        <v>0</v>
      </c>
      <c r="Z4104">
        <v>35</v>
      </c>
    </row>
    <row r="4105" spans="1:26">
      <c r="A4105" s="1">
        <v>4103</v>
      </c>
      <c r="B4105" t="str">
        <f>HYPERLINK("https://bugs.eclipse.org/bugs/show_bug.cgi?id=322696", "322696")</f>
        <v>322696</v>
      </c>
      <c r="C4105" t="s">
        <v>18858</v>
      </c>
      <c r="D4105" t="s">
        <v>192</v>
      </c>
      <c r="E4105" t="s">
        <v>15</v>
      </c>
      <c r="F4105" t="s">
        <v>26</v>
      </c>
      <c r="Q4105" t="s">
        <v>18859</v>
      </c>
      <c r="T4105" t="s">
        <v>18860</v>
      </c>
      <c r="U4105" t="s">
        <v>18859</v>
      </c>
      <c r="V4105" t="s">
        <v>18859</v>
      </c>
      <c r="W4105" t="s">
        <v>143</v>
      </c>
      <c r="X4105" t="s">
        <v>18861</v>
      </c>
      <c r="Y4105">
        <v>3</v>
      </c>
      <c r="Z4105">
        <v>3</v>
      </c>
    </row>
    <row r="4106" spans="1:26">
      <c r="A4106" s="1">
        <v>4104</v>
      </c>
      <c r="B4106" t="str">
        <f>HYPERLINK("https://bugs.eclipse.org/bugs/show_bug.cgi?id=322700", "322700")</f>
        <v>322700</v>
      </c>
      <c r="C4106" t="s">
        <v>15663</v>
      </c>
      <c r="D4106" t="s">
        <v>192</v>
      </c>
      <c r="E4106" t="s">
        <v>15</v>
      </c>
      <c r="F4106" t="s">
        <v>26</v>
      </c>
      <c r="Q4106" t="s">
        <v>18862</v>
      </c>
      <c r="T4106" t="s">
        <v>18863</v>
      </c>
      <c r="U4106" t="s">
        <v>18864</v>
      </c>
      <c r="V4106" t="s">
        <v>18862</v>
      </c>
      <c r="W4106" t="s">
        <v>143</v>
      </c>
      <c r="X4106" t="s">
        <v>18865</v>
      </c>
      <c r="Y4106">
        <v>0</v>
      </c>
      <c r="Z4106">
        <v>4</v>
      </c>
    </row>
    <row r="4107" spans="1:26">
      <c r="A4107" s="1">
        <v>4105</v>
      </c>
      <c r="B4107" t="str">
        <f>HYPERLINK("https://bugs.eclipse.org/bugs/show_bug.cgi?id=324237", "324237")</f>
        <v>324237</v>
      </c>
      <c r="C4107" t="s">
        <v>149</v>
      </c>
      <c r="D4107" t="s">
        <v>10</v>
      </c>
      <c r="E4107" t="s">
        <v>12</v>
      </c>
      <c r="F4107" t="s">
        <v>26</v>
      </c>
      <c r="L4107" t="s">
        <v>18866</v>
      </c>
      <c r="N4107" t="s">
        <v>18866</v>
      </c>
      <c r="T4107" t="s">
        <v>18867</v>
      </c>
      <c r="U4107" t="s">
        <v>18868</v>
      </c>
      <c r="V4107" t="s">
        <v>18869</v>
      </c>
      <c r="W4107" t="s">
        <v>6576</v>
      </c>
      <c r="X4107" t="s">
        <v>18870</v>
      </c>
      <c r="Y4107">
        <v>6</v>
      </c>
      <c r="Z4107">
        <v>463.04166666666669</v>
      </c>
    </row>
    <row r="4108" spans="1:26">
      <c r="A4108" s="1">
        <v>4106</v>
      </c>
      <c r="B4108" t="str">
        <f>HYPERLINK("https://bugs.eclipse.org/bugs/show_bug.cgi?id=324273", "324273")</f>
        <v>324273</v>
      </c>
      <c r="C4108" t="s">
        <v>140</v>
      </c>
      <c r="D4108" t="s">
        <v>10</v>
      </c>
      <c r="E4108" t="s">
        <v>16</v>
      </c>
      <c r="F4108" t="s">
        <v>26</v>
      </c>
      <c r="L4108" t="s">
        <v>18871</v>
      </c>
      <c r="R4108" t="s">
        <v>18871</v>
      </c>
      <c r="T4108" t="s">
        <v>18872</v>
      </c>
      <c r="U4108" t="s">
        <v>18873</v>
      </c>
      <c r="V4108" t="s">
        <v>18871</v>
      </c>
      <c r="W4108" t="s">
        <v>2777</v>
      </c>
      <c r="X4108" t="s">
        <v>18874</v>
      </c>
      <c r="Y4108">
        <v>0</v>
      </c>
      <c r="Z4108">
        <v>1</v>
      </c>
    </row>
    <row r="4109" spans="1:26">
      <c r="A4109" s="1">
        <v>4107</v>
      </c>
      <c r="B4109" t="str">
        <f>HYPERLINK("https://bugs.eclipse.org/bugs/show_bug.cgi?id=324484", "324484")</f>
        <v>324484</v>
      </c>
      <c r="C4109" t="s">
        <v>149</v>
      </c>
      <c r="D4109" t="s">
        <v>10</v>
      </c>
      <c r="E4109" t="s">
        <v>12</v>
      </c>
      <c r="F4109" t="s">
        <v>26</v>
      </c>
      <c r="H4109" t="s">
        <v>18875</v>
      </c>
      <c r="L4109" t="s">
        <v>18876</v>
      </c>
      <c r="N4109" t="s">
        <v>18876</v>
      </c>
      <c r="T4109" t="s">
        <v>18877</v>
      </c>
      <c r="U4109" t="s">
        <v>18878</v>
      </c>
      <c r="V4109" t="s">
        <v>18879</v>
      </c>
      <c r="W4109" t="s">
        <v>851</v>
      </c>
      <c r="X4109" t="s">
        <v>18880</v>
      </c>
      <c r="Y4109">
        <v>0</v>
      </c>
      <c r="Z4109">
        <v>3</v>
      </c>
    </row>
    <row r="4110" spans="1:26">
      <c r="A4110" s="1">
        <v>4108</v>
      </c>
      <c r="B4110" t="str">
        <f>HYPERLINK("https://bugs.eclipse.org/bugs/show_bug.cgi?id=325103", "325103")</f>
        <v>325103</v>
      </c>
      <c r="C4110" t="s">
        <v>25</v>
      </c>
      <c r="D4110" t="s">
        <v>25</v>
      </c>
      <c r="F4110" t="s">
        <v>26</v>
      </c>
      <c r="T4110" t="s">
        <v>18881</v>
      </c>
      <c r="U4110" t="s">
        <v>18882</v>
      </c>
      <c r="V4110" t="s">
        <v>18883</v>
      </c>
      <c r="W4110" t="s">
        <v>65</v>
      </c>
      <c r="X4110" t="s">
        <v>18884</v>
      </c>
      <c r="Y4110">
        <v>0</v>
      </c>
    </row>
    <row r="4111" spans="1:26">
      <c r="A4111" s="1">
        <v>4109</v>
      </c>
      <c r="B4111" t="str">
        <f>HYPERLINK("https://bugs.eclipse.org/bugs/show_bug.cgi?id=325437", "325437")</f>
        <v>325437</v>
      </c>
      <c r="C4111" t="s">
        <v>191</v>
      </c>
      <c r="D4111" t="s">
        <v>192</v>
      </c>
      <c r="E4111" t="s">
        <v>14</v>
      </c>
      <c r="F4111" t="s">
        <v>26</v>
      </c>
      <c r="P4111" t="s">
        <v>18885</v>
      </c>
      <c r="T4111" t="s">
        <v>18886</v>
      </c>
      <c r="U4111" t="s">
        <v>18887</v>
      </c>
      <c r="V4111" t="s">
        <v>18885</v>
      </c>
      <c r="W4111" t="s">
        <v>65</v>
      </c>
      <c r="X4111" t="s">
        <v>18888</v>
      </c>
      <c r="Y4111">
        <v>0</v>
      </c>
      <c r="Z4111">
        <v>3469</v>
      </c>
    </row>
    <row r="4112" spans="1:26">
      <c r="A4112" s="1">
        <v>4110</v>
      </c>
      <c r="B4112" t="str">
        <f>HYPERLINK("https://bugs.eclipse.org/bugs/show_bug.cgi?id=325523", "325523")</f>
        <v>325523</v>
      </c>
      <c r="C4112" t="s">
        <v>149</v>
      </c>
      <c r="D4112" t="s">
        <v>10</v>
      </c>
      <c r="E4112" t="s">
        <v>12</v>
      </c>
      <c r="F4112" t="s">
        <v>26</v>
      </c>
      <c r="L4112" t="s">
        <v>18889</v>
      </c>
      <c r="N4112" t="s">
        <v>18889</v>
      </c>
      <c r="T4112" t="s">
        <v>18890</v>
      </c>
      <c r="U4112" t="s">
        <v>18891</v>
      </c>
      <c r="V4112" t="s">
        <v>18892</v>
      </c>
      <c r="W4112" t="s">
        <v>143</v>
      </c>
      <c r="X4112" t="s">
        <v>18893</v>
      </c>
      <c r="Y4112">
        <v>0</v>
      </c>
      <c r="Z4112">
        <v>1</v>
      </c>
    </row>
    <row r="4113" spans="1:26">
      <c r="A4113" s="1">
        <v>4111</v>
      </c>
      <c r="B4113" t="str">
        <f>HYPERLINK("https://bugs.eclipse.org/bugs/show_bug.cgi?id=326065", "326065")</f>
        <v>326065</v>
      </c>
      <c r="C4113" t="s">
        <v>140</v>
      </c>
      <c r="D4113" t="s">
        <v>10</v>
      </c>
      <c r="E4113" t="s">
        <v>16</v>
      </c>
      <c r="F4113" t="s">
        <v>26</v>
      </c>
      <c r="L4113" t="s">
        <v>18894</v>
      </c>
      <c r="R4113" t="s">
        <v>18894</v>
      </c>
      <c r="T4113" t="s">
        <v>18895</v>
      </c>
      <c r="U4113" t="s">
        <v>18894</v>
      </c>
      <c r="V4113" t="s">
        <v>18894</v>
      </c>
      <c r="W4113" t="s">
        <v>2777</v>
      </c>
      <c r="X4113" t="s">
        <v>18896</v>
      </c>
      <c r="Y4113">
        <v>0</v>
      </c>
      <c r="Z4113">
        <v>0</v>
      </c>
    </row>
    <row r="4114" spans="1:26">
      <c r="A4114" s="1">
        <v>4112</v>
      </c>
      <c r="B4114" t="str">
        <f>HYPERLINK("https://bugs.eclipse.org/bugs/show_bug.cgi?id=326501", "326501")</f>
        <v>326501</v>
      </c>
      <c r="C4114" t="s">
        <v>140</v>
      </c>
      <c r="D4114" t="s">
        <v>10</v>
      </c>
      <c r="E4114" t="s">
        <v>16</v>
      </c>
      <c r="F4114" t="s">
        <v>26</v>
      </c>
      <c r="L4114" t="s">
        <v>18897</v>
      </c>
      <c r="R4114" t="s">
        <v>18897</v>
      </c>
      <c r="T4114" t="s">
        <v>18898</v>
      </c>
      <c r="U4114" t="s">
        <v>18899</v>
      </c>
      <c r="V4114" t="s">
        <v>18897</v>
      </c>
      <c r="W4114" t="s">
        <v>143</v>
      </c>
      <c r="X4114" t="s">
        <v>18900</v>
      </c>
      <c r="Y4114">
        <v>0</v>
      </c>
      <c r="Z4114">
        <v>64.041666666666671</v>
      </c>
    </row>
    <row r="4115" spans="1:26">
      <c r="A4115" s="1">
        <v>4113</v>
      </c>
      <c r="B4115" t="str">
        <f>HYPERLINK("https://bugs.eclipse.org/bugs/show_bug.cgi?id=327079", "327079")</f>
        <v>327079</v>
      </c>
      <c r="C4115" t="s">
        <v>35</v>
      </c>
      <c r="D4115" t="s">
        <v>11</v>
      </c>
      <c r="E4115" t="s">
        <v>12</v>
      </c>
      <c r="F4115" t="s">
        <v>26</v>
      </c>
      <c r="L4115" t="s">
        <v>18901</v>
      </c>
      <c r="M4115" t="s">
        <v>18902</v>
      </c>
      <c r="N4115" t="s">
        <v>18901</v>
      </c>
      <c r="T4115" t="s">
        <v>18903</v>
      </c>
      <c r="U4115" t="s">
        <v>18904</v>
      </c>
      <c r="V4115" t="s">
        <v>18902</v>
      </c>
      <c r="W4115" t="s">
        <v>143</v>
      </c>
      <c r="X4115" t="s">
        <v>18905</v>
      </c>
      <c r="Y4115">
        <v>0</v>
      </c>
      <c r="Z4115">
        <v>62.041666666666657</v>
      </c>
    </row>
    <row r="4116" spans="1:26">
      <c r="A4116" s="1">
        <v>4114</v>
      </c>
      <c r="B4116" t="str">
        <f>HYPERLINK("https://bugs.eclipse.org/bugs/show_bug.cgi?id=327190", "327190")</f>
        <v>327190</v>
      </c>
      <c r="C4116" t="s">
        <v>18906</v>
      </c>
      <c r="D4116" t="s">
        <v>192</v>
      </c>
      <c r="E4116" t="s">
        <v>15</v>
      </c>
      <c r="F4116" t="s">
        <v>26</v>
      </c>
      <c r="Q4116" t="s">
        <v>18263</v>
      </c>
      <c r="T4116" t="s">
        <v>18907</v>
      </c>
      <c r="U4116" t="s">
        <v>18908</v>
      </c>
      <c r="V4116" t="s">
        <v>18263</v>
      </c>
      <c r="W4116" t="s">
        <v>851</v>
      </c>
      <c r="X4116" t="s">
        <v>18909</v>
      </c>
      <c r="Y4116">
        <v>0</v>
      </c>
      <c r="Z4116">
        <v>1</v>
      </c>
    </row>
    <row r="4117" spans="1:26">
      <c r="A4117" s="1">
        <v>4115</v>
      </c>
      <c r="B4117" t="str">
        <f>HYPERLINK("https://bugs.eclipse.org/bugs/show_bug.cgi?id=327423", "327423")</f>
        <v>327423</v>
      </c>
      <c r="C4117" t="s">
        <v>18910</v>
      </c>
      <c r="D4117" t="s">
        <v>192</v>
      </c>
      <c r="E4117" t="s">
        <v>15</v>
      </c>
      <c r="F4117" t="s">
        <v>26</v>
      </c>
      <c r="Q4117" t="s">
        <v>18911</v>
      </c>
      <c r="T4117" t="s">
        <v>18912</v>
      </c>
      <c r="U4117" t="s">
        <v>18913</v>
      </c>
      <c r="V4117" t="s">
        <v>18911</v>
      </c>
      <c r="W4117" t="s">
        <v>143</v>
      </c>
      <c r="X4117" t="s">
        <v>18914</v>
      </c>
      <c r="Y4117">
        <v>0</v>
      </c>
      <c r="Z4117">
        <v>2765</v>
      </c>
    </row>
    <row r="4118" spans="1:26">
      <c r="A4118" s="1">
        <v>4116</v>
      </c>
      <c r="B4118" t="str">
        <f>HYPERLINK("https://bugs.eclipse.org/bugs/show_bug.cgi?id=327485", "327485")</f>
        <v>327485</v>
      </c>
      <c r="C4118" t="s">
        <v>18915</v>
      </c>
      <c r="D4118" t="s">
        <v>192</v>
      </c>
      <c r="E4118" t="s">
        <v>15</v>
      </c>
      <c r="F4118" t="s">
        <v>26</v>
      </c>
      <c r="Q4118" t="s">
        <v>18916</v>
      </c>
      <c r="T4118" t="s">
        <v>18917</v>
      </c>
      <c r="U4118" t="s">
        <v>18918</v>
      </c>
      <c r="V4118" t="s">
        <v>18916</v>
      </c>
      <c r="W4118" t="s">
        <v>143</v>
      </c>
      <c r="X4118" t="s">
        <v>18919</v>
      </c>
      <c r="Y4118">
        <v>1</v>
      </c>
      <c r="Z4118">
        <v>52.041666666666657</v>
      </c>
    </row>
    <row r="4119" spans="1:26">
      <c r="A4119" s="1">
        <v>4117</v>
      </c>
      <c r="B4119" t="str">
        <f>HYPERLINK("https://bugs.eclipse.org/bugs/show_bug.cgi?id=328203", "328203")</f>
        <v>328203</v>
      </c>
      <c r="C4119" t="s">
        <v>18910</v>
      </c>
      <c r="D4119" t="s">
        <v>192</v>
      </c>
      <c r="E4119" t="s">
        <v>15</v>
      </c>
      <c r="F4119" t="s">
        <v>26</v>
      </c>
      <c r="Q4119" t="s">
        <v>18920</v>
      </c>
      <c r="T4119" t="s">
        <v>18921</v>
      </c>
      <c r="U4119" t="s">
        <v>18922</v>
      </c>
      <c r="V4119" t="s">
        <v>18920</v>
      </c>
      <c r="W4119" t="s">
        <v>143</v>
      </c>
      <c r="X4119" t="s">
        <v>18923</v>
      </c>
      <c r="Y4119">
        <v>1</v>
      </c>
      <c r="Z4119">
        <v>48.041666666666657</v>
      </c>
    </row>
    <row r="4120" spans="1:26">
      <c r="A4120" s="1">
        <v>4118</v>
      </c>
      <c r="B4120" t="str">
        <f>HYPERLINK("https://bugs.eclipse.org/bugs/show_bug.cgi?id=328351", "328351")</f>
        <v>328351</v>
      </c>
      <c r="C4120" t="s">
        <v>17700</v>
      </c>
      <c r="D4120" t="s">
        <v>10</v>
      </c>
      <c r="E4120" t="s">
        <v>17701</v>
      </c>
      <c r="F4120" t="s">
        <v>26</v>
      </c>
      <c r="L4120" t="s">
        <v>18924</v>
      </c>
      <c r="T4120" t="s">
        <v>18925</v>
      </c>
      <c r="U4120" t="s">
        <v>18926</v>
      </c>
      <c r="V4120" t="s">
        <v>18927</v>
      </c>
      <c r="W4120" t="s">
        <v>18928</v>
      </c>
      <c r="X4120" t="s">
        <v>18929</v>
      </c>
      <c r="Y4120">
        <v>0</v>
      </c>
      <c r="Z4120">
        <v>2871</v>
      </c>
    </row>
    <row r="4121" spans="1:26">
      <c r="A4121" s="1">
        <v>4119</v>
      </c>
      <c r="B4121" t="str">
        <f>HYPERLINK("https://bugs.eclipse.org/bugs/show_bug.cgi?id=328554", "328554")</f>
        <v>328554</v>
      </c>
      <c r="C4121" t="s">
        <v>149</v>
      </c>
      <c r="D4121" t="s">
        <v>10</v>
      </c>
      <c r="E4121" t="s">
        <v>12</v>
      </c>
      <c r="F4121" t="s">
        <v>26</v>
      </c>
      <c r="L4121" t="s">
        <v>18930</v>
      </c>
      <c r="N4121" t="s">
        <v>18930</v>
      </c>
      <c r="T4121" t="s">
        <v>18931</v>
      </c>
      <c r="U4121" t="s">
        <v>18932</v>
      </c>
      <c r="V4121" t="s">
        <v>18930</v>
      </c>
      <c r="W4121" t="s">
        <v>851</v>
      </c>
      <c r="X4121" t="s">
        <v>18933</v>
      </c>
      <c r="Y4121">
        <v>0</v>
      </c>
      <c r="Z4121">
        <v>36.041666666666657</v>
      </c>
    </row>
    <row r="4122" spans="1:26">
      <c r="A4122" s="1">
        <v>4120</v>
      </c>
      <c r="B4122" t="str">
        <f>HYPERLINK("https://bugs.eclipse.org/bugs/show_bug.cgi?id=328858", "328858")</f>
        <v>328858</v>
      </c>
      <c r="C4122" t="s">
        <v>191</v>
      </c>
      <c r="D4122" t="s">
        <v>192</v>
      </c>
      <c r="E4122" t="s">
        <v>14</v>
      </c>
      <c r="F4122" t="s">
        <v>26</v>
      </c>
      <c r="T4122" t="s">
        <v>18934</v>
      </c>
      <c r="U4122" t="s">
        <v>18935</v>
      </c>
      <c r="V4122" t="s">
        <v>18936</v>
      </c>
      <c r="W4122" t="s">
        <v>65</v>
      </c>
      <c r="X4122" t="s">
        <v>18937</v>
      </c>
      <c r="Y4122">
        <v>0</v>
      </c>
      <c r="Z4122">
        <v>3359.041666666667</v>
      </c>
    </row>
    <row r="4123" spans="1:26">
      <c r="A4123" s="1">
        <v>4121</v>
      </c>
      <c r="B4123" t="str">
        <f>HYPERLINK("https://bugs.eclipse.org/bugs/show_bug.cgi?id=329534", "329534")</f>
        <v>329534</v>
      </c>
      <c r="C4123" t="s">
        <v>140</v>
      </c>
      <c r="D4123" t="s">
        <v>10</v>
      </c>
      <c r="E4123" t="s">
        <v>16</v>
      </c>
      <c r="F4123" t="s">
        <v>26</v>
      </c>
      <c r="L4123" t="s">
        <v>18938</v>
      </c>
      <c r="R4123" t="s">
        <v>18938</v>
      </c>
      <c r="T4123" t="s">
        <v>18939</v>
      </c>
      <c r="U4123" t="s">
        <v>18940</v>
      </c>
      <c r="V4123" t="s">
        <v>18938</v>
      </c>
      <c r="W4123" t="s">
        <v>851</v>
      </c>
      <c r="X4123" t="s">
        <v>18941</v>
      </c>
      <c r="Y4123">
        <v>0</v>
      </c>
      <c r="Z4123">
        <v>33.041666666666657</v>
      </c>
    </row>
    <row r="4124" spans="1:26">
      <c r="A4124" s="1">
        <v>4122</v>
      </c>
      <c r="B4124" t="str">
        <f>HYPERLINK("https://bugs.eclipse.org/bugs/show_bug.cgi?id=330357", "330357")</f>
        <v>330357</v>
      </c>
      <c r="C4124" t="s">
        <v>25</v>
      </c>
      <c r="D4124" t="s">
        <v>25</v>
      </c>
      <c r="F4124" t="s">
        <v>26</v>
      </c>
      <c r="T4124" t="s">
        <v>18942</v>
      </c>
      <c r="U4124" t="s">
        <v>18943</v>
      </c>
      <c r="V4124" t="s">
        <v>18944</v>
      </c>
      <c r="W4124" t="s">
        <v>18945</v>
      </c>
      <c r="X4124" t="s">
        <v>18946</v>
      </c>
      <c r="Y4124">
        <v>0</v>
      </c>
    </row>
    <row r="4125" spans="1:26">
      <c r="A4125" s="1">
        <v>4123</v>
      </c>
      <c r="B4125" t="str">
        <f>HYPERLINK("https://bugs.eclipse.org/bugs/show_bug.cgi?id=330415", "330415")</f>
        <v>330415</v>
      </c>
      <c r="C4125" t="s">
        <v>149</v>
      </c>
      <c r="D4125" t="s">
        <v>10</v>
      </c>
      <c r="E4125" t="s">
        <v>12</v>
      </c>
      <c r="F4125" t="s">
        <v>26</v>
      </c>
      <c r="L4125" t="s">
        <v>18947</v>
      </c>
      <c r="N4125" t="s">
        <v>18947</v>
      </c>
      <c r="T4125" t="s">
        <v>18948</v>
      </c>
      <c r="U4125" t="s">
        <v>18949</v>
      </c>
      <c r="V4125" t="s">
        <v>18947</v>
      </c>
      <c r="W4125" t="s">
        <v>2777</v>
      </c>
      <c r="X4125" t="s">
        <v>18950</v>
      </c>
      <c r="Y4125">
        <v>0</v>
      </c>
      <c r="Z4125">
        <v>1</v>
      </c>
    </row>
    <row r="4126" spans="1:26">
      <c r="A4126" s="1">
        <v>4124</v>
      </c>
      <c r="B4126" t="str">
        <f>HYPERLINK("https://bugs.eclipse.org/bugs/show_bug.cgi?id=330680", "330680")</f>
        <v>330680</v>
      </c>
      <c r="C4126" t="s">
        <v>149</v>
      </c>
      <c r="D4126" t="s">
        <v>10</v>
      </c>
      <c r="E4126" t="s">
        <v>12</v>
      </c>
      <c r="F4126" t="s">
        <v>26</v>
      </c>
      <c r="L4126" t="s">
        <v>18951</v>
      </c>
      <c r="N4126" t="s">
        <v>18951</v>
      </c>
      <c r="T4126" t="s">
        <v>18952</v>
      </c>
      <c r="U4126" t="s">
        <v>18953</v>
      </c>
      <c r="V4126" t="s">
        <v>18951</v>
      </c>
      <c r="W4126" t="s">
        <v>851</v>
      </c>
      <c r="X4126" t="s">
        <v>18954</v>
      </c>
      <c r="Y4126">
        <v>3</v>
      </c>
      <c r="Z4126">
        <v>6</v>
      </c>
    </row>
    <row r="4127" spans="1:26">
      <c r="A4127" s="1">
        <v>4125</v>
      </c>
      <c r="B4127" t="str">
        <f>HYPERLINK("https://bugs.eclipse.org/bugs/show_bug.cgi?id=330960", "330960")</f>
        <v>330960</v>
      </c>
      <c r="C4127" t="s">
        <v>191</v>
      </c>
      <c r="D4127" t="s">
        <v>192</v>
      </c>
      <c r="E4127" t="s">
        <v>14</v>
      </c>
      <c r="F4127" t="s">
        <v>26</v>
      </c>
      <c r="T4127" t="s">
        <v>18955</v>
      </c>
      <c r="U4127" t="s">
        <v>18956</v>
      </c>
      <c r="V4127" t="s">
        <v>18957</v>
      </c>
      <c r="W4127" t="s">
        <v>65</v>
      </c>
      <c r="X4127" t="s">
        <v>18958</v>
      </c>
      <c r="Y4127">
        <v>0</v>
      </c>
      <c r="Z4127">
        <v>3233.958333333333</v>
      </c>
    </row>
    <row r="4128" spans="1:26">
      <c r="A4128" s="1">
        <v>4126</v>
      </c>
      <c r="B4128" t="str">
        <f>HYPERLINK("https://bugs.eclipse.org/bugs/show_bug.cgi?id=331859", "331859")</f>
        <v>331859</v>
      </c>
      <c r="C4128" t="s">
        <v>25</v>
      </c>
      <c r="D4128" t="s">
        <v>25</v>
      </c>
      <c r="F4128" t="s">
        <v>26</v>
      </c>
      <c r="T4128" t="s">
        <v>18959</v>
      </c>
      <c r="U4128" t="s">
        <v>18960</v>
      </c>
      <c r="V4128" t="s">
        <v>18961</v>
      </c>
      <c r="W4128" t="s">
        <v>851</v>
      </c>
      <c r="X4128" t="s">
        <v>18962</v>
      </c>
      <c r="Y4128">
        <v>5</v>
      </c>
    </row>
    <row r="4129" spans="1:26">
      <c r="A4129" s="1">
        <v>4127</v>
      </c>
      <c r="B4129" t="str">
        <f>HYPERLINK("https://bugs.eclipse.org/bugs/show_bug.cgi?id=333226", "333226")</f>
        <v>333226</v>
      </c>
      <c r="C4129" t="s">
        <v>18963</v>
      </c>
      <c r="D4129" t="s">
        <v>192</v>
      </c>
      <c r="E4129" t="s">
        <v>15</v>
      </c>
      <c r="F4129" t="s">
        <v>26</v>
      </c>
      <c r="Q4129" t="s">
        <v>18964</v>
      </c>
      <c r="T4129" t="s">
        <v>18965</v>
      </c>
      <c r="U4129" t="s">
        <v>18966</v>
      </c>
      <c r="V4129" t="s">
        <v>18964</v>
      </c>
      <c r="W4129" t="s">
        <v>2777</v>
      </c>
      <c r="X4129" t="s">
        <v>18967</v>
      </c>
      <c r="Y4129">
        <v>0</v>
      </c>
      <c r="Z4129">
        <v>0</v>
      </c>
    </row>
    <row r="4130" spans="1:26">
      <c r="A4130" s="1">
        <v>4128</v>
      </c>
      <c r="B4130" t="str">
        <f>HYPERLINK("https://bugs.eclipse.org/bugs/show_bug.cgi?id=333406", "333406")</f>
        <v>333406</v>
      </c>
      <c r="C4130" t="s">
        <v>191</v>
      </c>
      <c r="D4130" t="s">
        <v>192</v>
      </c>
      <c r="E4130" t="s">
        <v>14</v>
      </c>
      <c r="F4130" t="s">
        <v>26</v>
      </c>
      <c r="L4130" t="s">
        <v>18968</v>
      </c>
      <c r="R4130" t="s">
        <v>18968</v>
      </c>
      <c r="S4130" t="s">
        <v>18969</v>
      </c>
      <c r="T4130" t="s">
        <v>18970</v>
      </c>
      <c r="U4130" t="s">
        <v>18971</v>
      </c>
      <c r="V4130" t="s">
        <v>18972</v>
      </c>
      <c r="W4130" t="s">
        <v>65</v>
      </c>
      <c r="X4130" t="s">
        <v>18973</v>
      </c>
      <c r="Y4130">
        <v>0</v>
      </c>
      <c r="Z4130">
        <v>3217.958333333333</v>
      </c>
    </row>
    <row r="4131" spans="1:26">
      <c r="A4131" s="1">
        <v>4129</v>
      </c>
      <c r="B4131" t="str">
        <f>HYPERLINK("https://bugs.eclipse.org/bugs/show_bug.cgi?id=333465", "333465")</f>
        <v>333465</v>
      </c>
      <c r="C4131" t="s">
        <v>56</v>
      </c>
      <c r="D4131" t="s">
        <v>10</v>
      </c>
      <c r="E4131" t="s">
        <v>14</v>
      </c>
      <c r="F4131" t="s">
        <v>26</v>
      </c>
      <c r="L4131" t="s">
        <v>18974</v>
      </c>
      <c r="P4131" t="s">
        <v>18974</v>
      </c>
      <c r="S4131" t="s">
        <v>18975</v>
      </c>
      <c r="T4131" t="s">
        <v>18976</v>
      </c>
      <c r="U4131" t="s">
        <v>18977</v>
      </c>
      <c r="V4131" t="s">
        <v>18978</v>
      </c>
      <c r="W4131" t="s">
        <v>18979</v>
      </c>
      <c r="X4131" t="s">
        <v>18980</v>
      </c>
      <c r="Y4131">
        <v>0</v>
      </c>
      <c r="Z4131">
        <v>145.95833333333329</v>
      </c>
    </row>
    <row r="4132" spans="1:26">
      <c r="A4132" s="1">
        <v>4130</v>
      </c>
      <c r="B4132" t="str">
        <f>HYPERLINK("https://bugs.eclipse.org/bugs/show_bug.cgi?id=333803", "333803")</f>
        <v>333803</v>
      </c>
      <c r="C4132" t="s">
        <v>149</v>
      </c>
      <c r="D4132" t="s">
        <v>10</v>
      </c>
      <c r="E4132" t="s">
        <v>12</v>
      </c>
      <c r="F4132" t="s">
        <v>26</v>
      </c>
      <c r="L4132" t="s">
        <v>18981</v>
      </c>
      <c r="N4132" t="s">
        <v>18981</v>
      </c>
      <c r="T4132" t="s">
        <v>18982</v>
      </c>
      <c r="U4132" t="s">
        <v>18983</v>
      </c>
      <c r="V4132" t="s">
        <v>18981</v>
      </c>
      <c r="W4132" t="s">
        <v>851</v>
      </c>
      <c r="X4132" t="s">
        <v>18984</v>
      </c>
      <c r="Y4132">
        <v>0</v>
      </c>
      <c r="Z4132">
        <v>10</v>
      </c>
    </row>
    <row r="4133" spans="1:26">
      <c r="A4133" s="1">
        <v>4131</v>
      </c>
      <c r="B4133" t="str">
        <f>HYPERLINK("https://bugs.eclipse.org/bugs/show_bug.cgi?id=333923", "333923")</f>
        <v>333923</v>
      </c>
      <c r="C4133" t="s">
        <v>18910</v>
      </c>
      <c r="D4133" t="s">
        <v>192</v>
      </c>
      <c r="E4133" t="s">
        <v>15</v>
      </c>
      <c r="F4133" t="s">
        <v>26</v>
      </c>
      <c r="Q4133" t="s">
        <v>18985</v>
      </c>
      <c r="T4133" t="s">
        <v>18986</v>
      </c>
      <c r="U4133" t="s">
        <v>18987</v>
      </c>
      <c r="V4133" t="s">
        <v>18985</v>
      </c>
      <c r="W4133" t="s">
        <v>851</v>
      </c>
      <c r="X4133" t="s">
        <v>18988</v>
      </c>
      <c r="Y4133">
        <v>0</v>
      </c>
      <c r="Z4133">
        <v>1</v>
      </c>
    </row>
    <row r="4134" spans="1:26">
      <c r="A4134" s="1">
        <v>4132</v>
      </c>
      <c r="B4134" t="str">
        <f>HYPERLINK("https://bugs.eclipse.org/bugs/show_bug.cgi?id=334178", "334178")</f>
        <v>334178</v>
      </c>
      <c r="C4134" t="s">
        <v>140</v>
      </c>
      <c r="D4134" t="s">
        <v>10</v>
      </c>
      <c r="E4134" t="s">
        <v>16</v>
      </c>
      <c r="F4134" t="s">
        <v>26</v>
      </c>
      <c r="L4134" t="s">
        <v>18989</v>
      </c>
      <c r="R4134" t="s">
        <v>18989</v>
      </c>
      <c r="T4134" t="s">
        <v>18990</v>
      </c>
      <c r="U4134" t="s">
        <v>18991</v>
      </c>
      <c r="V4134" t="s">
        <v>18989</v>
      </c>
      <c r="W4134" t="s">
        <v>2777</v>
      </c>
      <c r="X4134" t="s">
        <v>18992</v>
      </c>
      <c r="Y4134">
        <v>0</v>
      </c>
      <c r="Z4134">
        <v>5</v>
      </c>
    </row>
    <row r="4135" spans="1:26">
      <c r="A4135" s="1">
        <v>4133</v>
      </c>
      <c r="B4135" t="str">
        <f>HYPERLINK("https://bugs.eclipse.org/bugs/show_bug.cgi?id=334225", "334225")</f>
        <v>334225</v>
      </c>
      <c r="C4135" t="s">
        <v>2160</v>
      </c>
      <c r="D4135" t="s">
        <v>192</v>
      </c>
      <c r="E4135" t="s">
        <v>16</v>
      </c>
      <c r="F4135" t="s">
        <v>26</v>
      </c>
      <c r="R4135" t="s">
        <v>18993</v>
      </c>
      <c r="T4135" t="s">
        <v>18994</v>
      </c>
      <c r="U4135" t="s">
        <v>18995</v>
      </c>
      <c r="V4135" t="s">
        <v>18993</v>
      </c>
      <c r="W4135" t="s">
        <v>18996</v>
      </c>
      <c r="X4135" t="s">
        <v>18997</v>
      </c>
      <c r="Y4135">
        <v>0</v>
      </c>
      <c r="Z4135">
        <v>1</v>
      </c>
    </row>
    <row r="4136" spans="1:26">
      <c r="A4136" s="1">
        <v>4134</v>
      </c>
      <c r="B4136" t="str">
        <f>HYPERLINK("https://bugs.eclipse.org/bugs/show_bug.cgi?id=334558", "334558")</f>
        <v>334558</v>
      </c>
      <c r="C4136" t="s">
        <v>18998</v>
      </c>
      <c r="D4136" t="s">
        <v>192</v>
      </c>
      <c r="E4136" t="s">
        <v>15</v>
      </c>
      <c r="F4136" t="s">
        <v>26</v>
      </c>
      <c r="Q4136" t="s">
        <v>18999</v>
      </c>
      <c r="T4136" t="s">
        <v>19000</v>
      </c>
      <c r="U4136" t="s">
        <v>18999</v>
      </c>
      <c r="V4136" t="s">
        <v>19001</v>
      </c>
      <c r="W4136" t="s">
        <v>851</v>
      </c>
      <c r="X4136" t="s">
        <v>19002</v>
      </c>
      <c r="Y4136">
        <v>0</v>
      </c>
      <c r="Z4136">
        <v>1</v>
      </c>
    </row>
    <row r="4137" spans="1:26">
      <c r="A4137" s="1">
        <v>4135</v>
      </c>
      <c r="B4137" t="str">
        <f>HYPERLINK("https://bugs.eclipse.org/bugs/show_bug.cgi?id=334819", "334819")</f>
        <v>334819</v>
      </c>
      <c r="C4137" t="s">
        <v>25</v>
      </c>
      <c r="D4137" t="s">
        <v>25</v>
      </c>
      <c r="F4137" t="s">
        <v>26</v>
      </c>
      <c r="T4137" t="s">
        <v>19003</v>
      </c>
      <c r="U4137" t="s">
        <v>19004</v>
      </c>
      <c r="V4137" t="s">
        <v>19005</v>
      </c>
      <c r="W4137" t="s">
        <v>851</v>
      </c>
      <c r="X4137" t="s">
        <v>19006</v>
      </c>
      <c r="Y4137">
        <v>1</v>
      </c>
    </row>
    <row r="4138" spans="1:26">
      <c r="A4138" s="1">
        <v>4136</v>
      </c>
      <c r="B4138" t="str">
        <f>HYPERLINK("https://bugs.eclipse.org/bugs/show_bug.cgi?id=335012", "335012")</f>
        <v>335012</v>
      </c>
      <c r="C4138" t="s">
        <v>25</v>
      </c>
      <c r="D4138" t="s">
        <v>25</v>
      </c>
      <c r="F4138" t="s">
        <v>26</v>
      </c>
      <c r="T4138" t="s">
        <v>19007</v>
      </c>
      <c r="U4138" t="s">
        <v>19008</v>
      </c>
      <c r="V4138" t="s">
        <v>19009</v>
      </c>
      <c r="W4138" t="s">
        <v>65</v>
      </c>
      <c r="X4138" t="s">
        <v>19010</v>
      </c>
      <c r="Y4138">
        <v>0</v>
      </c>
    </row>
    <row r="4139" spans="1:26">
      <c r="A4139" s="1">
        <v>4137</v>
      </c>
      <c r="B4139" t="str">
        <f>HYPERLINK("https://bugs.eclipse.org/bugs/show_bug.cgi?id=335173", "335173")</f>
        <v>335173</v>
      </c>
      <c r="C4139" t="s">
        <v>35</v>
      </c>
      <c r="D4139" t="s">
        <v>11</v>
      </c>
      <c r="E4139" t="s">
        <v>12</v>
      </c>
      <c r="F4139" t="s">
        <v>26</v>
      </c>
      <c r="H4139" t="s">
        <v>19011</v>
      </c>
      <c r="L4139" t="s">
        <v>19012</v>
      </c>
      <c r="M4139" t="s">
        <v>19013</v>
      </c>
      <c r="N4139" t="s">
        <v>19012</v>
      </c>
      <c r="T4139" t="s">
        <v>19014</v>
      </c>
      <c r="U4139" t="s">
        <v>19015</v>
      </c>
      <c r="V4139" t="s">
        <v>19016</v>
      </c>
      <c r="W4139" t="s">
        <v>143</v>
      </c>
      <c r="X4139" t="s">
        <v>19017</v>
      </c>
      <c r="Y4139">
        <v>0</v>
      </c>
      <c r="Z4139">
        <v>382</v>
      </c>
    </row>
    <row r="4140" spans="1:26">
      <c r="A4140" s="1">
        <v>4138</v>
      </c>
      <c r="B4140" t="str">
        <f>HYPERLINK("https://bugs.eclipse.org/bugs/show_bug.cgi?id=335429", "335429")</f>
        <v>335429</v>
      </c>
      <c r="C4140" t="s">
        <v>4692</v>
      </c>
      <c r="D4140" t="s">
        <v>4692</v>
      </c>
      <c r="F4140" t="s">
        <v>26</v>
      </c>
      <c r="T4140" t="s">
        <v>19018</v>
      </c>
      <c r="U4140" t="s">
        <v>19019</v>
      </c>
      <c r="V4140" t="s">
        <v>19020</v>
      </c>
      <c r="W4140" t="s">
        <v>4846</v>
      </c>
      <c r="X4140" t="s">
        <v>19021</v>
      </c>
      <c r="Y4140">
        <v>0</v>
      </c>
    </row>
    <row r="4141" spans="1:26">
      <c r="A4141" s="1">
        <v>4139</v>
      </c>
      <c r="B4141" t="str">
        <f>HYPERLINK("https://bugs.eclipse.org/bugs/show_bug.cgi?id=335626", "335626")</f>
        <v>335626</v>
      </c>
      <c r="C4141" t="s">
        <v>25</v>
      </c>
      <c r="D4141" t="s">
        <v>25</v>
      </c>
      <c r="F4141" t="s">
        <v>26</v>
      </c>
      <c r="T4141" t="s">
        <v>19022</v>
      </c>
      <c r="U4141" t="s">
        <v>19023</v>
      </c>
      <c r="V4141" t="s">
        <v>19024</v>
      </c>
      <c r="W4141" t="s">
        <v>851</v>
      </c>
      <c r="X4141" t="s">
        <v>19025</v>
      </c>
      <c r="Y4141">
        <v>17</v>
      </c>
    </row>
    <row r="4142" spans="1:26">
      <c r="A4142" s="1">
        <v>4140</v>
      </c>
      <c r="B4142" t="str">
        <f>HYPERLINK("https://bugs.eclipse.org/bugs/show_bug.cgi?id=336201", "336201")</f>
        <v>336201</v>
      </c>
      <c r="C4142" t="s">
        <v>140</v>
      </c>
      <c r="D4142" t="s">
        <v>10</v>
      </c>
      <c r="E4142" t="s">
        <v>16</v>
      </c>
      <c r="F4142" t="s">
        <v>26</v>
      </c>
      <c r="L4142" t="s">
        <v>19026</v>
      </c>
      <c r="R4142" t="s">
        <v>19026</v>
      </c>
      <c r="T4142" t="s">
        <v>19027</v>
      </c>
      <c r="U4142" t="s">
        <v>19028</v>
      </c>
      <c r="V4142" t="s">
        <v>19029</v>
      </c>
      <c r="W4142" t="s">
        <v>143</v>
      </c>
      <c r="X4142" t="s">
        <v>19030</v>
      </c>
      <c r="Y4142">
        <v>2940</v>
      </c>
      <c r="Z4142">
        <v>3010.958333333333</v>
      </c>
    </row>
    <row r="4143" spans="1:26">
      <c r="A4143" s="1">
        <v>4141</v>
      </c>
      <c r="B4143" t="str">
        <f>HYPERLINK("https://bugs.eclipse.org/bugs/show_bug.cgi?id=336833", "336833")</f>
        <v>336833</v>
      </c>
      <c r="C4143" t="s">
        <v>149</v>
      </c>
      <c r="D4143" t="s">
        <v>10</v>
      </c>
      <c r="E4143" t="s">
        <v>12</v>
      </c>
      <c r="F4143" t="s">
        <v>26</v>
      </c>
      <c r="L4143" t="s">
        <v>19031</v>
      </c>
      <c r="N4143" t="s">
        <v>19031</v>
      </c>
      <c r="T4143" t="s">
        <v>19032</v>
      </c>
      <c r="U4143" t="s">
        <v>19033</v>
      </c>
      <c r="V4143" t="s">
        <v>19031</v>
      </c>
      <c r="W4143" t="s">
        <v>851</v>
      </c>
      <c r="X4143" t="s">
        <v>19034</v>
      </c>
      <c r="Y4143">
        <v>0</v>
      </c>
      <c r="Z4143">
        <v>25</v>
      </c>
    </row>
    <row r="4144" spans="1:26">
      <c r="A4144" s="1">
        <v>4142</v>
      </c>
      <c r="B4144" t="str">
        <f>HYPERLINK("https://bugs.eclipse.org/bugs/show_bug.cgi?id=336860", "336860")</f>
        <v>336860</v>
      </c>
      <c r="C4144" t="s">
        <v>191</v>
      </c>
      <c r="D4144" t="s">
        <v>192</v>
      </c>
      <c r="E4144" t="s">
        <v>14</v>
      </c>
      <c r="F4144" t="s">
        <v>26</v>
      </c>
      <c r="T4144" t="s">
        <v>19035</v>
      </c>
      <c r="U4144" t="s">
        <v>19036</v>
      </c>
      <c r="V4144" t="s">
        <v>19037</v>
      </c>
      <c r="W4144" t="s">
        <v>65</v>
      </c>
      <c r="X4144" t="s">
        <v>19038</v>
      </c>
      <c r="Y4144">
        <v>166.95833333333329</v>
      </c>
      <c r="Z4144">
        <v>3144.958333333333</v>
      </c>
    </row>
    <row r="4145" spans="1:26">
      <c r="A4145" s="1">
        <v>4143</v>
      </c>
      <c r="B4145" t="str">
        <f>HYPERLINK("https://bugs.eclipse.org/bugs/show_bug.cgi?id=337077", "337077")</f>
        <v>337077</v>
      </c>
      <c r="C4145" t="s">
        <v>149</v>
      </c>
      <c r="D4145" t="s">
        <v>10</v>
      </c>
      <c r="E4145" t="s">
        <v>12</v>
      </c>
      <c r="F4145" t="s">
        <v>26</v>
      </c>
      <c r="L4145" t="s">
        <v>19039</v>
      </c>
      <c r="N4145" t="s">
        <v>19039</v>
      </c>
      <c r="T4145" t="s">
        <v>19040</v>
      </c>
      <c r="U4145" t="s">
        <v>19041</v>
      </c>
      <c r="V4145" t="s">
        <v>19039</v>
      </c>
      <c r="W4145" t="s">
        <v>851</v>
      </c>
      <c r="X4145" t="s">
        <v>19042</v>
      </c>
      <c r="Y4145">
        <v>0</v>
      </c>
      <c r="Z4145">
        <v>1</v>
      </c>
    </row>
    <row r="4146" spans="1:26">
      <c r="A4146" s="1">
        <v>4144</v>
      </c>
      <c r="B4146" t="str">
        <f>HYPERLINK("https://bugs.eclipse.org/bugs/show_bug.cgi?id=337181", "337181")</f>
        <v>337181</v>
      </c>
      <c r="C4146" t="s">
        <v>149</v>
      </c>
      <c r="D4146" t="s">
        <v>10</v>
      </c>
      <c r="E4146" t="s">
        <v>12</v>
      </c>
      <c r="F4146" t="s">
        <v>26</v>
      </c>
      <c r="L4146" t="s">
        <v>19043</v>
      </c>
      <c r="N4146" t="s">
        <v>19043</v>
      </c>
      <c r="T4146" t="s">
        <v>19044</v>
      </c>
      <c r="U4146" t="s">
        <v>19045</v>
      </c>
      <c r="V4146" t="s">
        <v>19043</v>
      </c>
      <c r="W4146" t="s">
        <v>2777</v>
      </c>
      <c r="X4146" t="s">
        <v>19046</v>
      </c>
      <c r="Y4146">
        <v>0</v>
      </c>
      <c r="Z4146">
        <v>11</v>
      </c>
    </row>
    <row r="4147" spans="1:26">
      <c r="A4147" s="1">
        <v>4145</v>
      </c>
      <c r="B4147" t="str">
        <f>HYPERLINK("https://bugs.eclipse.org/bugs/show_bug.cgi?id=337514", "337514")</f>
        <v>337514</v>
      </c>
      <c r="C4147" t="s">
        <v>191</v>
      </c>
      <c r="D4147" t="s">
        <v>192</v>
      </c>
      <c r="E4147" t="s">
        <v>14</v>
      </c>
      <c r="F4147" t="s">
        <v>460</v>
      </c>
      <c r="G4147" t="s">
        <v>19047</v>
      </c>
      <c r="P4147" t="s">
        <v>19048</v>
      </c>
      <c r="T4147" t="s">
        <v>19049</v>
      </c>
      <c r="U4147" t="s">
        <v>19050</v>
      </c>
      <c r="V4147" t="s">
        <v>19048</v>
      </c>
      <c r="W4147" t="s">
        <v>65</v>
      </c>
      <c r="X4147" t="s">
        <v>19051</v>
      </c>
      <c r="Y4147">
        <v>1</v>
      </c>
      <c r="Z4147">
        <v>3292</v>
      </c>
    </row>
    <row r="4148" spans="1:26">
      <c r="A4148" s="1">
        <v>4146</v>
      </c>
      <c r="B4148" t="str">
        <f>HYPERLINK("https://bugs.eclipse.org/bugs/show_bug.cgi?id=337680", "337680")</f>
        <v>337680</v>
      </c>
      <c r="C4148" t="s">
        <v>149</v>
      </c>
      <c r="D4148" t="s">
        <v>10</v>
      </c>
      <c r="E4148" t="s">
        <v>12</v>
      </c>
      <c r="F4148" t="s">
        <v>26</v>
      </c>
      <c r="L4148" t="s">
        <v>19052</v>
      </c>
      <c r="N4148" t="s">
        <v>19052</v>
      </c>
      <c r="T4148" t="s">
        <v>19053</v>
      </c>
      <c r="U4148" t="s">
        <v>19054</v>
      </c>
      <c r="V4148" t="s">
        <v>19052</v>
      </c>
      <c r="W4148" t="s">
        <v>4846</v>
      </c>
      <c r="X4148" t="s">
        <v>19055</v>
      </c>
      <c r="Y4148">
        <v>0</v>
      </c>
      <c r="Z4148">
        <v>794.95833333333337</v>
      </c>
    </row>
    <row r="4149" spans="1:26">
      <c r="A4149" s="1">
        <v>4147</v>
      </c>
      <c r="B4149" t="str">
        <f>HYPERLINK("https://bugs.eclipse.org/bugs/show_bug.cgi?id=337955", "337955")</f>
        <v>337955</v>
      </c>
      <c r="C4149" t="s">
        <v>25</v>
      </c>
      <c r="D4149" t="s">
        <v>25</v>
      </c>
      <c r="F4149" t="s">
        <v>460</v>
      </c>
      <c r="L4149" t="s">
        <v>19056</v>
      </c>
      <c r="P4149" t="s">
        <v>19056</v>
      </c>
      <c r="S4149" t="s">
        <v>19057</v>
      </c>
      <c r="T4149" t="s">
        <v>19058</v>
      </c>
      <c r="U4149" t="s">
        <v>19056</v>
      </c>
      <c r="V4149" t="s">
        <v>19059</v>
      </c>
      <c r="W4149" t="s">
        <v>851</v>
      </c>
      <c r="X4149" t="s">
        <v>19060</v>
      </c>
      <c r="Y4149">
        <v>0</v>
      </c>
    </row>
    <row r="4150" spans="1:26">
      <c r="A4150" s="1">
        <v>4148</v>
      </c>
      <c r="B4150" t="str">
        <f>HYPERLINK("https://bugs.eclipse.org/bugs/show_bug.cgi?id=337977", "337977")</f>
        <v>337977</v>
      </c>
      <c r="C4150" t="s">
        <v>149</v>
      </c>
      <c r="D4150" t="s">
        <v>10</v>
      </c>
      <c r="E4150" t="s">
        <v>12</v>
      </c>
      <c r="F4150" t="s">
        <v>150</v>
      </c>
      <c r="G4150" t="s">
        <v>19061</v>
      </c>
      <c r="L4150" t="s">
        <v>19062</v>
      </c>
      <c r="N4150" t="s">
        <v>19062</v>
      </c>
      <c r="T4150" t="s">
        <v>19063</v>
      </c>
      <c r="U4150" t="s">
        <v>19064</v>
      </c>
      <c r="V4150" t="s">
        <v>19062</v>
      </c>
      <c r="W4150" t="s">
        <v>851</v>
      </c>
      <c r="X4150" t="s">
        <v>19065</v>
      </c>
      <c r="Y4150">
        <v>0</v>
      </c>
      <c r="Z4150">
        <v>811.95833333333337</v>
      </c>
    </row>
    <row r="4151" spans="1:26">
      <c r="A4151" s="1">
        <v>4149</v>
      </c>
      <c r="B4151" t="str">
        <f>HYPERLINK("https://bugs.eclipse.org/bugs/show_bug.cgi?id=338341", "338341")</f>
        <v>338341</v>
      </c>
      <c r="C4151" t="s">
        <v>19066</v>
      </c>
      <c r="D4151" t="s">
        <v>192</v>
      </c>
      <c r="E4151" t="s">
        <v>15</v>
      </c>
      <c r="F4151" t="s">
        <v>26</v>
      </c>
      <c r="Q4151" t="s">
        <v>19067</v>
      </c>
      <c r="T4151" t="s">
        <v>19068</v>
      </c>
      <c r="U4151" t="s">
        <v>19069</v>
      </c>
      <c r="V4151" t="s">
        <v>19067</v>
      </c>
      <c r="W4151" t="s">
        <v>851</v>
      </c>
      <c r="X4151" t="s">
        <v>19070</v>
      </c>
      <c r="Y4151">
        <v>0</v>
      </c>
      <c r="Z4151">
        <v>1</v>
      </c>
    </row>
    <row r="4152" spans="1:26">
      <c r="A4152" s="1">
        <v>4150</v>
      </c>
      <c r="B4152" t="str">
        <f>HYPERLINK("https://bugs.eclipse.org/bugs/show_bug.cgi?id=338449", "338449")</f>
        <v>338449</v>
      </c>
      <c r="C4152" t="s">
        <v>19071</v>
      </c>
      <c r="D4152" t="s">
        <v>192</v>
      </c>
      <c r="E4152" t="s">
        <v>15</v>
      </c>
      <c r="F4152" t="s">
        <v>26</v>
      </c>
      <c r="Q4152" t="s">
        <v>19072</v>
      </c>
      <c r="T4152" t="s">
        <v>19073</v>
      </c>
      <c r="U4152" t="s">
        <v>19074</v>
      </c>
      <c r="V4152" t="s">
        <v>19075</v>
      </c>
      <c r="W4152" t="s">
        <v>6576</v>
      </c>
      <c r="X4152" t="s">
        <v>19076</v>
      </c>
      <c r="Y4152">
        <v>0</v>
      </c>
      <c r="Z4152">
        <v>276</v>
      </c>
    </row>
    <row r="4153" spans="1:26">
      <c r="A4153" s="1">
        <v>4151</v>
      </c>
      <c r="B4153" t="str">
        <f>HYPERLINK("https://bugs.eclipse.org/bugs/show_bug.cgi?id=338871", "338871")</f>
        <v>338871</v>
      </c>
      <c r="C4153" t="s">
        <v>19077</v>
      </c>
      <c r="D4153" t="s">
        <v>192</v>
      </c>
      <c r="E4153" t="s">
        <v>15</v>
      </c>
      <c r="F4153" t="s">
        <v>26</v>
      </c>
      <c r="Q4153" t="s">
        <v>14514</v>
      </c>
      <c r="T4153" t="s">
        <v>19078</v>
      </c>
      <c r="U4153" t="s">
        <v>19079</v>
      </c>
      <c r="V4153" t="s">
        <v>14514</v>
      </c>
      <c r="W4153" t="s">
        <v>851</v>
      </c>
      <c r="X4153" t="s">
        <v>19080</v>
      </c>
      <c r="Y4153">
        <v>0</v>
      </c>
      <c r="Z4153">
        <v>1</v>
      </c>
    </row>
    <row r="4154" spans="1:26">
      <c r="A4154" s="1">
        <v>4152</v>
      </c>
      <c r="B4154" t="str">
        <f>HYPERLINK("https://bugs.eclipse.org/bugs/show_bug.cgi?id=338983", "338983")</f>
        <v>338983</v>
      </c>
      <c r="C4154" t="s">
        <v>191</v>
      </c>
      <c r="D4154" t="s">
        <v>192</v>
      </c>
      <c r="E4154" t="s">
        <v>14</v>
      </c>
      <c r="F4154" t="s">
        <v>460</v>
      </c>
      <c r="P4154" t="s">
        <v>19081</v>
      </c>
      <c r="T4154" t="s">
        <v>19082</v>
      </c>
      <c r="U4154" t="s">
        <v>19083</v>
      </c>
      <c r="V4154" t="s">
        <v>19081</v>
      </c>
      <c r="W4154" t="s">
        <v>65</v>
      </c>
      <c r="X4154" t="s">
        <v>19084</v>
      </c>
      <c r="Y4154">
        <v>0</v>
      </c>
      <c r="Z4154">
        <v>3249</v>
      </c>
    </row>
    <row r="4155" spans="1:26">
      <c r="A4155" s="1">
        <v>4153</v>
      </c>
      <c r="B4155" t="str">
        <f>HYPERLINK("https://bugs.eclipse.org/bugs/show_bug.cgi?id=339000", "339000")</f>
        <v>339000</v>
      </c>
      <c r="C4155" t="s">
        <v>149</v>
      </c>
      <c r="D4155" t="s">
        <v>10</v>
      </c>
      <c r="E4155" t="s">
        <v>12</v>
      </c>
      <c r="F4155" t="s">
        <v>26</v>
      </c>
      <c r="L4155" t="s">
        <v>19085</v>
      </c>
      <c r="N4155" t="s">
        <v>19085</v>
      </c>
      <c r="T4155" t="s">
        <v>19086</v>
      </c>
      <c r="U4155" t="s">
        <v>19087</v>
      </c>
      <c r="V4155" t="s">
        <v>19085</v>
      </c>
      <c r="W4155" t="s">
        <v>851</v>
      </c>
      <c r="X4155" t="s">
        <v>19088</v>
      </c>
      <c r="Y4155">
        <v>0</v>
      </c>
      <c r="Z4155">
        <v>0</v>
      </c>
    </row>
    <row r="4156" spans="1:26">
      <c r="A4156" s="1">
        <v>4154</v>
      </c>
      <c r="B4156" t="str">
        <f>HYPERLINK("https://bugs.eclipse.org/bugs/show_bug.cgi?id=339173", "339173")</f>
        <v>339173</v>
      </c>
      <c r="C4156" t="s">
        <v>56</v>
      </c>
      <c r="D4156" t="s">
        <v>10</v>
      </c>
      <c r="E4156" t="s">
        <v>14</v>
      </c>
      <c r="F4156" t="s">
        <v>26</v>
      </c>
      <c r="L4156" t="s">
        <v>19089</v>
      </c>
      <c r="P4156" t="s">
        <v>19089</v>
      </c>
      <c r="T4156" t="s">
        <v>19090</v>
      </c>
      <c r="U4156" t="s">
        <v>19089</v>
      </c>
      <c r="V4156" t="s">
        <v>19089</v>
      </c>
      <c r="W4156" t="s">
        <v>851</v>
      </c>
      <c r="X4156" t="s">
        <v>19091</v>
      </c>
      <c r="Y4156">
        <v>1</v>
      </c>
      <c r="Z4156">
        <v>1</v>
      </c>
    </row>
    <row r="4157" spans="1:26">
      <c r="A4157" s="1">
        <v>4155</v>
      </c>
      <c r="B4157" t="str">
        <f>HYPERLINK("https://bugs.eclipse.org/bugs/show_bug.cgi?id=339223", "339223")</f>
        <v>339223</v>
      </c>
      <c r="C4157" t="s">
        <v>25</v>
      </c>
      <c r="D4157" t="s">
        <v>25</v>
      </c>
      <c r="F4157" t="s">
        <v>26</v>
      </c>
      <c r="T4157" t="s">
        <v>19092</v>
      </c>
      <c r="U4157" t="s">
        <v>19093</v>
      </c>
      <c r="V4157" t="s">
        <v>19094</v>
      </c>
      <c r="W4157" t="s">
        <v>65</v>
      </c>
      <c r="X4157" t="s">
        <v>19095</v>
      </c>
      <c r="Y4157">
        <v>1</v>
      </c>
    </row>
    <row r="4158" spans="1:26">
      <c r="A4158" s="1">
        <v>4156</v>
      </c>
      <c r="B4158" t="str">
        <f>HYPERLINK("https://bugs.eclipse.org/bugs/show_bug.cgi?id=339752", "339752")</f>
        <v>339752</v>
      </c>
      <c r="C4158" t="s">
        <v>149</v>
      </c>
      <c r="D4158" t="s">
        <v>10</v>
      </c>
      <c r="E4158" t="s">
        <v>12</v>
      </c>
      <c r="F4158" t="s">
        <v>26</v>
      </c>
      <c r="L4158" t="s">
        <v>19096</v>
      </c>
      <c r="N4158" t="s">
        <v>19096</v>
      </c>
      <c r="T4158" t="s">
        <v>19097</v>
      </c>
      <c r="U4158" t="s">
        <v>19098</v>
      </c>
      <c r="V4158" t="s">
        <v>19096</v>
      </c>
      <c r="W4158" t="s">
        <v>851</v>
      </c>
      <c r="X4158" t="s">
        <v>19099</v>
      </c>
      <c r="Y4158">
        <v>132.95833333333329</v>
      </c>
      <c r="Z4158">
        <v>370.95833333333331</v>
      </c>
    </row>
    <row r="4159" spans="1:26">
      <c r="A4159" s="1">
        <v>4157</v>
      </c>
      <c r="B4159" t="str">
        <f>HYPERLINK("https://bugs.eclipse.org/bugs/show_bug.cgi?id=339867", "339867")</f>
        <v>339867</v>
      </c>
      <c r="C4159" t="s">
        <v>140</v>
      </c>
      <c r="D4159" t="s">
        <v>10</v>
      </c>
      <c r="E4159" t="s">
        <v>16</v>
      </c>
      <c r="F4159" t="s">
        <v>26</v>
      </c>
      <c r="L4159" t="s">
        <v>19100</v>
      </c>
      <c r="R4159" t="s">
        <v>19100</v>
      </c>
      <c r="T4159" t="s">
        <v>19101</v>
      </c>
      <c r="U4159" t="s">
        <v>19102</v>
      </c>
      <c r="V4159" t="s">
        <v>19100</v>
      </c>
      <c r="W4159" t="s">
        <v>851</v>
      </c>
      <c r="X4159" t="s">
        <v>19103</v>
      </c>
      <c r="Y4159">
        <v>0</v>
      </c>
      <c r="Z4159">
        <v>1</v>
      </c>
    </row>
    <row r="4160" spans="1:26">
      <c r="A4160" s="1">
        <v>4158</v>
      </c>
      <c r="B4160" t="str">
        <f>HYPERLINK("https://bugs.eclipse.org/bugs/show_bug.cgi?id=339980", "339980")</f>
        <v>339980</v>
      </c>
      <c r="C4160" t="s">
        <v>149</v>
      </c>
      <c r="D4160" t="s">
        <v>10</v>
      </c>
      <c r="E4160" t="s">
        <v>12</v>
      </c>
      <c r="F4160" t="s">
        <v>150</v>
      </c>
      <c r="L4160" t="s">
        <v>19104</v>
      </c>
      <c r="N4160" t="s">
        <v>19104</v>
      </c>
      <c r="S4160" t="s">
        <v>19105</v>
      </c>
      <c r="T4160" t="s">
        <v>19106</v>
      </c>
      <c r="U4160" t="s">
        <v>19107</v>
      </c>
      <c r="V4160" t="s">
        <v>19104</v>
      </c>
      <c r="W4160" t="s">
        <v>851</v>
      </c>
      <c r="X4160" t="s">
        <v>19108</v>
      </c>
      <c r="Y4160">
        <v>0</v>
      </c>
      <c r="Z4160">
        <v>411</v>
      </c>
    </row>
    <row r="4161" spans="1:26">
      <c r="A4161" s="1">
        <v>4159</v>
      </c>
      <c r="B4161" t="str">
        <f>HYPERLINK("https://bugs.eclipse.org/bugs/show_bug.cgi?id=339993", "339993")</f>
        <v>339993</v>
      </c>
      <c r="C4161" t="s">
        <v>191</v>
      </c>
      <c r="D4161" t="s">
        <v>192</v>
      </c>
      <c r="E4161" t="s">
        <v>14</v>
      </c>
      <c r="F4161" t="s">
        <v>26</v>
      </c>
      <c r="T4161" t="s">
        <v>19109</v>
      </c>
      <c r="U4161" t="s">
        <v>19110</v>
      </c>
      <c r="V4161" t="s">
        <v>19111</v>
      </c>
      <c r="W4161" t="s">
        <v>65</v>
      </c>
      <c r="X4161" t="s">
        <v>19112</v>
      </c>
      <c r="Y4161">
        <v>0</v>
      </c>
      <c r="Z4161">
        <v>3213.041666666667</v>
      </c>
    </row>
    <row r="4162" spans="1:26">
      <c r="A4162" s="1">
        <v>4160</v>
      </c>
      <c r="B4162" t="str">
        <f>HYPERLINK("https://bugs.eclipse.org/bugs/show_bug.cgi?id=340145", "340145")</f>
        <v>340145</v>
      </c>
      <c r="C4162" t="s">
        <v>25</v>
      </c>
      <c r="D4162" t="s">
        <v>25</v>
      </c>
      <c r="F4162" t="s">
        <v>26</v>
      </c>
      <c r="G4162" t="s">
        <v>19047</v>
      </c>
      <c r="T4162" t="s">
        <v>19113</v>
      </c>
      <c r="U4162" t="s">
        <v>19114</v>
      </c>
      <c r="V4162" t="s">
        <v>19115</v>
      </c>
      <c r="W4162" t="s">
        <v>143</v>
      </c>
      <c r="X4162" t="s">
        <v>19116</v>
      </c>
      <c r="Y4162">
        <v>0</v>
      </c>
    </row>
    <row r="4163" spans="1:26">
      <c r="A4163" s="1">
        <v>4161</v>
      </c>
      <c r="B4163" t="str">
        <f>HYPERLINK("https://bugs.eclipse.org/bugs/show_bug.cgi?id=340440", "340440")</f>
        <v>340440</v>
      </c>
      <c r="C4163" t="s">
        <v>56</v>
      </c>
      <c r="D4163" t="s">
        <v>10</v>
      </c>
      <c r="E4163" t="s">
        <v>14</v>
      </c>
      <c r="F4163" t="s">
        <v>26</v>
      </c>
      <c r="L4163" t="s">
        <v>19117</v>
      </c>
      <c r="P4163" t="s">
        <v>19117</v>
      </c>
      <c r="T4163" t="s">
        <v>19118</v>
      </c>
      <c r="U4163" t="s">
        <v>19117</v>
      </c>
      <c r="V4163" t="s">
        <v>19117</v>
      </c>
      <c r="W4163" t="s">
        <v>851</v>
      </c>
      <c r="X4163" t="s">
        <v>19119</v>
      </c>
      <c r="Y4163">
        <v>6</v>
      </c>
      <c r="Z4163">
        <v>6</v>
      </c>
    </row>
    <row r="4164" spans="1:26">
      <c r="A4164" s="1">
        <v>4162</v>
      </c>
      <c r="B4164" t="str">
        <f>HYPERLINK("https://bugs.eclipse.org/bugs/show_bug.cgi?id=341065", "341065")</f>
        <v>341065</v>
      </c>
      <c r="C4164" t="s">
        <v>191</v>
      </c>
      <c r="D4164" t="s">
        <v>192</v>
      </c>
      <c r="E4164" t="s">
        <v>14</v>
      </c>
      <c r="F4164" t="s">
        <v>26</v>
      </c>
      <c r="T4164" t="s">
        <v>19120</v>
      </c>
      <c r="U4164" t="s">
        <v>19121</v>
      </c>
      <c r="V4164" t="s">
        <v>19122</v>
      </c>
      <c r="W4164" t="s">
        <v>65</v>
      </c>
      <c r="X4164" t="s">
        <v>19123</v>
      </c>
      <c r="Y4164">
        <v>0</v>
      </c>
      <c r="Z4164">
        <v>3171.041666666667</v>
      </c>
    </row>
    <row r="4165" spans="1:26">
      <c r="A4165" s="1">
        <v>4163</v>
      </c>
      <c r="B4165" t="str">
        <f>HYPERLINK("https://bugs.eclipse.org/bugs/show_bug.cgi?id=341375", "341375")</f>
        <v>341375</v>
      </c>
      <c r="C4165" t="s">
        <v>25</v>
      </c>
      <c r="D4165" t="s">
        <v>25</v>
      </c>
      <c r="F4165" t="s">
        <v>26</v>
      </c>
      <c r="T4165" t="s">
        <v>19124</v>
      </c>
      <c r="U4165" t="s">
        <v>19125</v>
      </c>
      <c r="V4165" t="s">
        <v>19126</v>
      </c>
      <c r="W4165" t="s">
        <v>19127</v>
      </c>
      <c r="X4165" t="s">
        <v>19128</v>
      </c>
      <c r="Y4165">
        <v>0</v>
      </c>
    </row>
    <row r="4166" spans="1:26">
      <c r="A4166" s="1">
        <v>4164</v>
      </c>
      <c r="B4166" t="str">
        <f>HYPERLINK("https://bugs.eclipse.org/bugs/show_bug.cgi?id=341650", "341650")</f>
        <v>341650</v>
      </c>
      <c r="C4166" t="s">
        <v>191</v>
      </c>
      <c r="D4166" t="s">
        <v>192</v>
      </c>
      <c r="E4166" t="s">
        <v>14</v>
      </c>
      <c r="F4166" t="s">
        <v>26</v>
      </c>
      <c r="L4166" t="s">
        <v>19129</v>
      </c>
      <c r="P4166" t="s">
        <v>19130</v>
      </c>
      <c r="R4166" t="s">
        <v>19129</v>
      </c>
      <c r="S4166" t="s">
        <v>19131</v>
      </c>
      <c r="T4166" t="s">
        <v>19132</v>
      </c>
      <c r="U4166" t="s">
        <v>19133</v>
      </c>
      <c r="V4166" t="s">
        <v>19130</v>
      </c>
      <c r="W4166" t="s">
        <v>65</v>
      </c>
      <c r="X4166" t="s">
        <v>19134</v>
      </c>
      <c r="Y4166">
        <v>0</v>
      </c>
      <c r="Z4166">
        <v>3252.041666666667</v>
      </c>
    </row>
    <row r="4167" spans="1:26">
      <c r="A4167" s="1">
        <v>4165</v>
      </c>
      <c r="B4167" t="str">
        <f>HYPERLINK("https://bugs.eclipse.org/bugs/show_bug.cgi?id=341851", "341851")</f>
        <v>341851</v>
      </c>
      <c r="C4167" t="s">
        <v>149</v>
      </c>
      <c r="D4167" t="s">
        <v>10</v>
      </c>
      <c r="E4167" t="s">
        <v>12</v>
      </c>
      <c r="F4167" t="s">
        <v>26</v>
      </c>
      <c r="L4167" t="s">
        <v>19135</v>
      </c>
      <c r="N4167" t="s">
        <v>19135</v>
      </c>
      <c r="T4167" t="s">
        <v>19136</v>
      </c>
      <c r="U4167" t="s">
        <v>19137</v>
      </c>
      <c r="V4167" t="s">
        <v>19138</v>
      </c>
      <c r="W4167" t="s">
        <v>19127</v>
      </c>
      <c r="X4167" t="s">
        <v>19139</v>
      </c>
      <c r="Y4167">
        <v>317.04166666666669</v>
      </c>
      <c r="Z4167">
        <v>323.04166666666669</v>
      </c>
    </row>
    <row r="4168" spans="1:26">
      <c r="A4168" s="1">
        <v>4166</v>
      </c>
      <c r="B4168" t="str">
        <f>HYPERLINK("https://bugs.eclipse.org/bugs/show_bug.cgi?id=342053", "342053")</f>
        <v>342053</v>
      </c>
      <c r="C4168" t="s">
        <v>19140</v>
      </c>
      <c r="D4168" t="s">
        <v>192</v>
      </c>
      <c r="E4168" t="s">
        <v>15</v>
      </c>
      <c r="F4168" t="s">
        <v>26</v>
      </c>
      <c r="H4168" t="s">
        <v>19141</v>
      </c>
      <c r="Q4168" t="s">
        <v>19142</v>
      </c>
      <c r="T4168" t="s">
        <v>19143</v>
      </c>
      <c r="U4168" t="s">
        <v>19144</v>
      </c>
      <c r="V4168" t="s">
        <v>19145</v>
      </c>
      <c r="W4168" t="s">
        <v>2777</v>
      </c>
      <c r="X4168" t="s">
        <v>19146</v>
      </c>
      <c r="Y4168">
        <v>0</v>
      </c>
      <c r="Z4168">
        <v>46</v>
      </c>
    </row>
    <row r="4169" spans="1:26">
      <c r="A4169" s="1">
        <v>4167</v>
      </c>
      <c r="B4169" t="str">
        <f>HYPERLINK("https://bugs.eclipse.org/bugs/show_bug.cgi?id=342074", "342074")</f>
        <v>342074</v>
      </c>
      <c r="C4169" t="s">
        <v>149</v>
      </c>
      <c r="D4169" t="s">
        <v>10</v>
      </c>
      <c r="E4169" t="s">
        <v>12</v>
      </c>
      <c r="F4169" t="s">
        <v>26</v>
      </c>
      <c r="L4169" t="s">
        <v>19147</v>
      </c>
      <c r="N4169" t="s">
        <v>19147</v>
      </c>
      <c r="T4169" t="s">
        <v>19148</v>
      </c>
      <c r="U4169" t="s">
        <v>19149</v>
      </c>
      <c r="V4169" t="s">
        <v>19147</v>
      </c>
      <c r="W4169" t="s">
        <v>851</v>
      </c>
      <c r="X4169" t="s">
        <v>19150</v>
      </c>
      <c r="Y4169">
        <v>0</v>
      </c>
      <c r="Z4169">
        <v>1</v>
      </c>
    </row>
    <row r="4170" spans="1:26">
      <c r="A4170" s="1">
        <v>4168</v>
      </c>
      <c r="B4170" t="str">
        <f>HYPERLINK("https://bugs.eclipse.org/bugs/show_bug.cgi?id=342123", "342123")</f>
        <v>342123</v>
      </c>
      <c r="C4170" t="s">
        <v>88</v>
      </c>
      <c r="D4170" t="s">
        <v>10</v>
      </c>
      <c r="E4170" t="s">
        <v>13</v>
      </c>
      <c r="F4170" t="s">
        <v>26</v>
      </c>
      <c r="L4170" t="s">
        <v>19151</v>
      </c>
      <c r="O4170" t="s">
        <v>19151</v>
      </c>
      <c r="T4170" t="s">
        <v>19152</v>
      </c>
      <c r="U4170" t="s">
        <v>19153</v>
      </c>
      <c r="V4170" t="s">
        <v>19151</v>
      </c>
      <c r="W4170" t="s">
        <v>2777</v>
      </c>
      <c r="X4170" t="s">
        <v>19154</v>
      </c>
      <c r="Y4170">
        <v>0</v>
      </c>
      <c r="Z4170">
        <v>0</v>
      </c>
    </row>
    <row r="4171" spans="1:26">
      <c r="A4171" s="1">
        <v>4169</v>
      </c>
      <c r="B4171" t="str">
        <f>HYPERLINK("https://bugs.eclipse.org/bugs/show_bug.cgi?id=342601", "342601")</f>
        <v>342601</v>
      </c>
      <c r="C4171" t="s">
        <v>191</v>
      </c>
      <c r="D4171" t="s">
        <v>192</v>
      </c>
      <c r="E4171" t="s">
        <v>14</v>
      </c>
      <c r="F4171" t="s">
        <v>26</v>
      </c>
      <c r="L4171" t="s">
        <v>19155</v>
      </c>
      <c r="R4171" t="s">
        <v>19155</v>
      </c>
      <c r="S4171" t="s">
        <v>19156</v>
      </c>
      <c r="T4171" t="s">
        <v>19157</v>
      </c>
      <c r="U4171" t="s">
        <v>19158</v>
      </c>
      <c r="V4171" t="s">
        <v>19159</v>
      </c>
      <c r="W4171" t="s">
        <v>65</v>
      </c>
      <c r="X4171" t="s">
        <v>19160</v>
      </c>
      <c r="Y4171">
        <v>1</v>
      </c>
      <c r="Z4171">
        <v>2816.041666666667</v>
      </c>
    </row>
    <row r="4172" spans="1:26">
      <c r="A4172" s="1">
        <v>4170</v>
      </c>
      <c r="B4172" t="str">
        <f>HYPERLINK("https://bugs.eclipse.org/bugs/show_bug.cgi?id=342687", "342687")</f>
        <v>342687</v>
      </c>
      <c r="C4172" t="s">
        <v>140</v>
      </c>
      <c r="D4172" t="s">
        <v>10</v>
      </c>
      <c r="E4172" t="s">
        <v>16</v>
      </c>
      <c r="F4172" t="s">
        <v>26</v>
      </c>
      <c r="L4172" t="s">
        <v>19161</v>
      </c>
      <c r="R4172" t="s">
        <v>19161</v>
      </c>
      <c r="T4172" t="s">
        <v>19162</v>
      </c>
      <c r="U4172" t="s">
        <v>19163</v>
      </c>
      <c r="V4172" t="s">
        <v>19164</v>
      </c>
      <c r="W4172" t="s">
        <v>143</v>
      </c>
      <c r="X4172" t="s">
        <v>19165</v>
      </c>
      <c r="Y4172">
        <v>0</v>
      </c>
      <c r="Z4172">
        <v>1000.041666666667</v>
      </c>
    </row>
    <row r="4173" spans="1:26">
      <c r="A4173" s="1">
        <v>4171</v>
      </c>
      <c r="B4173" t="str">
        <f>HYPERLINK("https://bugs.eclipse.org/bugs/show_bug.cgi?id=342858", "342858")</f>
        <v>342858</v>
      </c>
      <c r="C4173" t="s">
        <v>149</v>
      </c>
      <c r="D4173" t="s">
        <v>10</v>
      </c>
      <c r="E4173" t="s">
        <v>12</v>
      </c>
      <c r="F4173" t="s">
        <v>26</v>
      </c>
      <c r="G4173" t="s">
        <v>19166</v>
      </c>
      <c r="L4173" t="s">
        <v>19167</v>
      </c>
      <c r="N4173" t="s">
        <v>19167</v>
      </c>
      <c r="T4173" t="s">
        <v>19168</v>
      </c>
      <c r="U4173" t="s">
        <v>19169</v>
      </c>
      <c r="V4173" t="s">
        <v>19167</v>
      </c>
      <c r="W4173" t="s">
        <v>851</v>
      </c>
      <c r="X4173" t="s">
        <v>19170</v>
      </c>
      <c r="Y4173">
        <v>0</v>
      </c>
      <c r="Z4173">
        <v>1110</v>
      </c>
    </row>
    <row r="4174" spans="1:26">
      <c r="A4174" s="1">
        <v>4172</v>
      </c>
      <c r="B4174" t="str">
        <f>HYPERLINK("https://bugs.eclipse.org/bugs/show_bug.cgi?id=343584", "343584")</f>
        <v>343584</v>
      </c>
      <c r="C4174" t="s">
        <v>35</v>
      </c>
      <c r="D4174" t="s">
        <v>11</v>
      </c>
      <c r="E4174" t="s">
        <v>12</v>
      </c>
      <c r="F4174" t="s">
        <v>26</v>
      </c>
      <c r="G4174" t="s">
        <v>19171</v>
      </c>
      <c r="L4174" t="s">
        <v>19172</v>
      </c>
      <c r="M4174" t="s">
        <v>19173</v>
      </c>
      <c r="N4174" t="s">
        <v>19172</v>
      </c>
      <c r="T4174" t="s">
        <v>19174</v>
      </c>
      <c r="U4174" t="s">
        <v>19175</v>
      </c>
      <c r="V4174" t="s">
        <v>19173</v>
      </c>
      <c r="W4174" t="s">
        <v>143</v>
      </c>
      <c r="X4174" t="s">
        <v>19176</v>
      </c>
      <c r="Y4174">
        <v>0</v>
      </c>
      <c r="Z4174">
        <v>126</v>
      </c>
    </row>
    <row r="4175" spans="1:26">
      <c r="A4175" s="1">
        <v>4173</v>
      </c>
      <c r="B4175" t="str">
        <f>HYPERLINK("https://bugs.eclipse.org/bugs/show_bug.cgi?id=343679", "343679")</f>
        <v>343679</v>
      </c>
      <c r="C4175" t="s">
        <v>4692</v>
      </c>
      <c r="D4175" t="s">
        <v>4692</v>
      </c>
      <c r="F4175" t="s">
        <v>26</v>
      </c>
    </row>
    <row r="4176" spans="1:26">
      <c r="A4176" s="1">
        <v>4174</v>
      </c>
      <c r="B4176" t="str">
        <f>HYPERLINK("https://bugs.eclipse.org/bugs/show_bug.cgi?id=343935", "343935")</f>
        <v>343935</v>
      </c>
      <c r="C4176" t="s">
        <v>149</v>
      </c>
      <c r="D4176" t="s">
        <v>10</v>
      </c>
      <c r="E4176" t="s">
        <v>12</v>
      </c>
      <c r="F4176" t="s">
        <v>26</v>
      </c>
      <c r="L4176" t="s">
        <v>19177</v>
      </c>
      <c r="N4176" t="s">
        <v>19177</v>
      </c>
      <c r="T4176" t="s">
        <v>19178</v>
      </c>
      <c r="U4176" t="s">
        <v>19179</v>
      </c>
      <c r="V4176" t="s">
        <v>19177</v>
      </c>
      <c r="W4176" t="s">
        <v>143</v>
      </c>
      <c r="X4176" t="s">
        <v>19180</v>
      </c>
      <c r="Y4176">
        <v>0</v>
      </c>
      <c r="Z4176">
        <v>1087</v>
      </c>
    </row>
    <row r="4177" spans="1:26">
      <c r="A4177" s="1">
        <v>4175</v>
      </c>
      <c r="B4177" t="str">
        <f>HYPERLINK("https://bugs.eclipse.org/bugs/show_bug.cgi?id=344674", "344674")</f>
        <v>344674</v>
      </c>
      <c r="C4177" t="s">
        <v>149</v>
      </c>
      <c r="D4177" t="s">
        <v>10</v>
      </c>
      <c r="E4177" t="s">
        <v>12</v>
      </c>
      <c r="F4177" t="s">
        <v>26</v>
      </c>
      <c r="L4177" t="s">
        <v>19181</v>
      </c>
      <c r="N4177" t="s">
        <v>19181</v>
      </c>
      <c r="S4177" t="s">
        <v>19182</v>
      </c>
      <c r="T4177" t="s">
        <v>19183</v>
      </c>
      <c r="U4177" t="s">
        <v>19184</v>
      </c>
      <c r="V4177" t="s">
        <v>19181</v>
      </c>
      <c r="W4177" t="s">
        <v>2777</v>
      </c>
      <c r="X4177" t="s">
        <v>19185</v>
      </c>
      <c r="Y4177">
        <v>0</v>
      </c>
      <c r="Z4177">
        <v>152</v>
      </c>
    </row>
    <row r="4178" spans="1:26">
      <c r="A4178" s="1">
        <v>4176</v>
      </c>
      <c r="B4178" t="str">
        <f>HYPERLINK("https://bugs.eclipse.org/bugs/show_bug.cgi?id=346831", "346831")</f>
        <v>346831</v>
      </c>
      <c r="C4178" t="s">
        <v>25</v>
      </c>
      <c r="D4178" t="s">
        <v>25</v>
      </c>
      <c r="F4178" t="s">
        <v>26</v>
      </c>
      <c r="T4178" t="s">
        <v>19186</v>
      </c>
      <c r="U4178" t="s">
        <v>19187</v>
      </c>
      <c r="V4178" t="s">
        <v>19188</v>
      </c>
      <c r="W4178" t="s">
        <v>143</v>
      </c>
      <c r="X4178" t="s">
        <v>19189</v>
      </c>
      <c r="Y4178">
        <v>0</v>
      </c>
    </row>
    <row r="4179" spans="1:26">
      <c r="A4179" s="1">
        <v>4177</v>
      </c>
      <c r="B4179" t="str">
        <f>HYPERLINK("https://bugs.eclipse.org/bugs/show_bug.cgi?id=346872", "346872")</f>
        <v>346872</v>
      </c>
      <c r="C4179" t="s">
        <v>19190</v>
      </c>
      <c r="D4179" t="s">
        <v>192</v>
      </c>
      <c r="E4179" t="s">
        <v>15</v>
      </c>
      <c r="F4179" t="s">
        <v>26</v>
      </c>
      <c r="Q4179" t="s">
        <v>19191</v>
      </c>
      <c r="T4179" t="s">
        <v>19192</v>
      </c>
      <c r="U4179" t="s">
        <v>19191</v>
      </c>
      <c r="V4179" t="s">
        <v>19191</v>
      </c>
      <c r="W4179" t="s">
        <v>851</v>
      </c>
      <c r="X4179" t="s">
        <v>19193</v>
      </c>
      <c r="Y4179">
        <v>0</v>
      </c>
      <c r="Z4179">
        <v>0</v>
      </c>
    </row>
    <row r="4180" spans="1:26">
      <c r="A4180" s="1">
        <v>4178</v>
      </c>
      <c r="B4180" t="str">
        <f>HYPERLINK("https://bugs.eclipse.org/bugs/show_bug.cgi?id=347234", "347234")</f>
        <v>347234</v>
      </c>
      <c r="C4180" t="s">
        <v>140</v>
      </c>
      <c r="D4180" t="s">
        <v>10</v>
      </c>
      <c r="E4180" t="s">
        <v>16</v>
      </c>
      <c r="F4180" t="s">
        <v>26</v>
      </c>
      <c r="L4180" t="s">
        <v>19194</v>
      </c>
      <c r="R4180" t="s">
        <v>19194</v>
      </c>
      <c r="T4180" t="s">
        <v>19195</v>
      </c>
      <c r="U4180" t="s">
        <v>19196</v>
      </c>
      <c r="V4180" t="s">
        <v>19194</v>
      </c>
      <c r="W4180" t="s">
        <v>143</v>
      </c>
      <c r="X4180" t="s">
        <v>19197</v>
      </c>
      <c r="Y4180">
        <v>148</v>
      </c>
      <c r="Z4180">
        <v>149</v>
      </c>
    </row>
    <row r="4181" spans="1:26">
      <c r="A4181" s="1">
        <v>4179</v>
      </c>
      <c r="B4181" t="str">
        <f>HYPERLINK("https://bugs.eclipse.org/bugs/show_bug.cgi?id=347235", "347235")</f>
        <v>347235</v>
      </c>
      <c r="C4181" t="s">
        <v>25</v>
      </c>
      <c r="D4181" t="s">
        <v>25</v>
      </c>
      <c r="F4181" t="s">
        <v>26</v>
      </c>
      <c r="T4181" t="s">
        <v>19198</v>
      </c>
      <c r="U4181" t="s">
        <v>19199</v>
      </c>
      <c r="V4181" t="s">
        <v>19200</v>
      </c>
      <c r="W4181" t="s">
        <v>143</v>
      </c>
      <c r="X4181" t="s">
        <v>19201</v>
      </c>
      <c r="Y4181">
        <v>2</v>
      </c>
    </row>
    <row r="4182" spans="1:26">
      <c r="A4182" s="1">
        <v>4180</v>
      </c>
      <c r="B4182" t="str">
        <f>HYPERLINK("https://bugs.eclipse.org/bugs/show_bug.cgi?id=347338", "347338")</f>
        <v>347338</v>
      </c>
      <c r="C4182" t="s">
        <v>25</v>
      </c>
      <c r="D4182" t="s">
        <v>25</v>
      </c>
      <c r="F4182" t="s">
        <v>26</v>
      </c>
      <c r="T4182" t="s">
        <v>19202</v>
      </c>
      <c r="U4182" t="s">
        <v>19203</v>
      </c>
      <c r="V4182" t="s">
        <v>19204</v>
      </c>
      <c r="W4182" t="s">
        <v>2777</v>
      </c>
      <c r="X4182" t="s">
        <v>19205</v>
      </c>
      <c r="Y4182">
        <v>0</v>
      </c>
    </row>
    <row r="4183" spans="1:26">
      <c r="A4183" s="1">
        <v>4181</v>
      </c>
      <c r="B4183" t="str">
        <f>HYPERLINK("https://bugs.eclipse.org/bugs/show_bug.cgi?id=347389", "347389")</f>
        <v>347389</v>
      </c>
      <c r="C4183" t="s">
        <v>149</v>
      </c>
      <c r="D4183" t="s">
        <v>10</v>
      </c>
      <c r="E4183" t="s">
        <v>12</v>
      </c>
      <c r="F4183" t="s">
        <v>26</v>
      </c>
      <c r="L4183" t="s">
        <v>19206</v>
      </c>
      <c r="N4183" t="s">
        <v>19206</v>
      </c>
      <c r="T4183" t="s">
        <v>19207</v>
      </c>
      <c r="U4183" t="s">
        <v>19208</v>
      </c>
      <c r="V4183" t="s">
        <v>19206</v>
      </c>
      <c r="W4183" t="s">
        <v>851</v>
      </c>
      <c r="X4183" t="s">
        <v>19209</v>
      </c>
      <c r="Y4183">
        <v>0</v>
      </c>
      <c r="Z4183">
        <v>383</v>
      </c>
    </row>
    <row r="4184" spans="1:26">
      <c r="A4184" s="1">
        <v>4182</v>
      </c>
      <c r="B4184" t="str">
        <f>HYPERLINK("https://bugs.eclipse.org/bugs/show_bug.cgi?id=347599", "347599")</f>
        <v>347599</v>
      </c>
      <c r="C4184" t="s">
        <v>149</v>
      </c>
      <c r="D4184" t="s">
        <v>10</v>
      </c>
      <c r="E4184" t="s">
        <v>12</v>
      </c>
      <c r="F4184" t="s">
        <v>150</v>
      </c>
      <c r="H4184" t="s">
        <v>19210</v>
      </c>
      <c r="L4184" t="s">
        <v>19211</v>
      </c>
      <c r="N4184" t="s">
        <v>19211</v>
      </c>
      <c r="T4184" t="s">
        <v>19212</v>
      </c>
      <c r="U4184" t="s">
        <v>19213</v>
      </c>
      <c r="V4184" t="s">
        <v>19214</v>
      </c>
      <c r="W4184" t="s">
        <v>19215</v>
      </c>
      <c r="X4184" t="s">
        <v>19216</v>
      </c>
      <c r="Y4184">
        <v>0</v>
      </c>
      <c r="Z4184">
        <v>1999.041666666667</v>
      </c>
    </row>
    <row r="4185" spans="1:26">
      <c r="A4185" s="1">
        <v>4183</v>
      </c>
      <c r="B4185" t="str">
        <f>HYPERLINK("https://bugs.eclipse.org/bugs/show_bug.cgi?id=348278", "348278")</f>
        <v>348278</v>
      </c>
      <c r="C4185" t="s">
        <v>191</v>
      </c>
      <c r="D4185" t="s">
        <v>192</v>
      </c>
      <c r="E4185" t="s">
        <v>14</v>
      </c>
      <c r="F4185" t="s">
        <v>26</v>
      </c>
      <c r="P4185" t="s">
        <v>19217</v>
      </c>
      <c r="T4185" t="s">
        <v>19218</v>
      </c>
      <c r="U4185" t="s">
        <v>19219</v>
      </c>
      <c r="V4185" t="s">
        <v>19217</v>
      </c>
      <c r="W4185" t="s">
        <v>65</v>
      </c>
      <c r="X4185" t="s">
        <v>19220</v>
      </c>
      <c r="Y4185">
        <v>0</v>
      </c>
      <c r="Z4185">
        <v>3178.041666666667</v>
      </c>
    </row>
    <row r="4186" spans="1:26">
      <c r="A4186" s="1">
        <v>4184</v>
      </c>
      <c r="B4186" t="str">
        <f>HYPERLINK("https://bugs.eclipse.org/bugs/show_bug.cgi?id=348704", "348704")</f>
        <v>348704</v>
      </c>
      <c r="C4186" t="s">
        <v>19066</v>
      </c>
      <c r="D4186" t="s">
        <v>192</v>
      </c>
      <c r="E4186" t="s">
        <v>15</v>
      </c>
      <c r="F4186" t="s">
        <v>26</v>
      </c>
      <c r="Q4186" t="s">
        <v>4969</v>
      </c>
      <c r="T4186" t="s">
        <v>19221</v>
      </c>
      <c r="U4186" t="s">
        <v>4969</v>
      </c>
      <c r="V4186" t="s">
        <v>4969</v>
      </c>
      <c r="W4186" t="s">
        <v>851</v>
      </c>
      <c r="X4186" t="s">
        <v>19222</v>
      </c>
      <c r="Y4186">
        <v>1</v>
      </c>
      <c r="Z4186">
        <v>1</v>
      </c>
    </row>
    <row r="4187" spans="1:26">
      <c r="A4187" s="1">
        <v>4185</v>
      </c>
      <c r="B4187" t="str">
        <f>HYPERLINK("https://bugs.eclipse.org/bugs/show_bug.cgi?id=348883", "348883")</f>
        <v>348883</v>
      </c>
      <c r="C4187" t="s">
        <v>35</v>
      </c>
      <c r="D4187" t="s">
        <v>11</v>
      </c>
      <c r="E4187" t="s">
        <v>12</v>
      </c>
      <c r="F4187" t="s">
        <v>26</v>
      </c>
      <c r="L4187" t="s">
        <v>19223</v>
      </c>
      <c r="M4187" t="s">
        <v>19224</v>
      </c>
      <c r="N4187" t="s">
        <v>19223</v>
      </c>
      <c r="T4187" t="s">
        <v>19225</v>
      </c>
      <c r="U4187" t="s">
        <v>19226</v>
      </c>
      <c r="V4187" t="s">
        <v>19227</v>
      </c>
      <c r="W4187" t="s">
        <v>851</v>
      </c>
      <c r="X4187" t="s">
        <v>19228</v>
      </c>
      <c r="Y4187">
        <v>0</v>
      </c>
      <c r="Z4187">
        <v>54</v>
      </c>
    </row>
    <row r="4188" spans="1:26">
      <c r="A4188" s="1">
        <v>4186</v>
      </c>
      <c r="B4188" t="str">
        <f>HYPERLINK("https://bugs.eclipse.org/bugs/show_bug.cgi?id=348944", "348944")</f>
        <v>348944</v>
      </c>
      <c r="C4188" t="s">
        <v>35</v>
      </c>
      <c r="D4188" t="s">
        <v>11</v>
      </c>
      <c r="E4188" t="s">
        <v>12</v>
      </c>
      <c r="F4188" t="s">
        <v>26</v>
      </c>
      <c r="L4188" t="s">
        <v>19229</v>
      </c>
      <c r="M4188" t="s">
        <v>19230</v>
      </c>
      <c r="N4188" t="s">
        <v>19229</v>
      </c>
      <c r="T4188" t="s">
        <v>19231</v>
      </c>
      <c r="U4188" t="s">
        <v>19232</v>
      </c>
      <c r="V4188" t="s">
        <v>19233</v>
      </c>
      <c r="W4188" t="s">
        <v>851</v>
      </c>
      <c r="X4188" t="s">
        <v>19234</v>
      </c>
      <c r="Y4188">
        <v>0</v>
      </c>
      <c r="Z4188">
        <v>54</v>
      </c>
    </row>
    <row r="4189" spans="1:26">
      <c r="A4189" s="1">
        <v>4187</v>
      </c>
      <c r="B4189" t="str">
        <f>HYPERLINK("https://bugs.eclipse.org/bugs/show_bug.cgi?id=349276", "349276")</f>
        <v>349276</v>
      </c>
      <c r="C4189" t="s">
        <v>191</v>
      </c>
      <c r="D4189" t="s">
        <v>192</v>
      </c>
      <c r="E4189" t="s">
        <v>14</v>
      </c>
      <c r="F4189" t="s">
        <v>26</v>
      </c>
      <c r="G4189" t="s">
        <v>19235</v>
      </c>
      <c r="T4189" t="s">
        <v>19236</v>
      </c>
      <c r="U4189" t="s">
        <v>19237</v>
      </c>
      <c r="V4189" t="s">
        <v>19238</v>
      </c>
      <c r="W4189" t="s">
        <v>65</v>
      </c>
      <c r="X4189" t="s">
        <v>19239</v>
      </c>
      <c r="Y4189">
        <v>0</v>
      </c>
      <c r="Z4189">
        <v>3131.041666666667</v>
      </c>
    </row>
    <row r="4190" spans="1:26">
      <c r="A4190" s="1">
        <v>4188</v>
      </c>
      <c r="B4190" t="str">
        <f>HYPERLINK("https://bugs.eclipse.org/bugs/show_bug.cgi?id=349308", "349308")</f>
        <v>349308</v>
      </c>
      <c r="C4190" t="s">
        <v>18915</v>
      </c>
      <c r="D4190" t="s">
        <v>192</v>
      </c>
      <c r="E4190" t="s">
        <v>15</v>
      </c>
      <c r="F4190" t="s">
        <v>26</v>
      </c>
      <c r="Q4190" t="s">
        <v>19240</v>
      </c>
      <c r="T4190" t="s">
        <v>19241</v>
      </c>
      <c r="U4190" t="s">
        <v>19242</v>
      </c>
      <c r="V4190" t="s">
        <v>19240</v>
      </c>
      <c r="W4190" t="s">
        <v>851</v>
      </c>
      <c r="X4190" t="s">
        <v>19243</v>
      </c>
      <c r="Y4190">
        <v>0</v>
      </c>
      <c r="Z4190">
        <v>0</v>
      </c>
    </row>
    <row r="4191" spans="1:26">
      <c r="A4191" s="1">
        <v>4189</v>
      </c>
      <c r="B4191" t="str">
        <f>HYPERLINK("https://bugs.eclipse.org/bugs/show_bug.cgi?id=349390", "349390")</f>
        <v>349390</v>
      </c>
      <c r="C4191" t="s">
        <v>25</v>
      </c>
      <c r="D4191" t="s">
        <v>25</v>
      </c>
      <c r="F4191" t="s">
        <v>26</v>
      </c>
      <c r="G4191" t="s">
        <v>19244</v>
      </c>
      <c r="T4191" t="s">
        <v>19245</v>
      </c>
      <c r="U4191" t="s">
        <v>19246</v>
      </c>
      <c r="V4191" t="s">
        <v>19247</v>
      </c>
      <c r="W4191" t="s">
        <v>143</v>
      </c>
      <c r="X4191" t="s">
        <v>19248</v>
      </c>
      <c r="Y4191">
        <v>0</v>
      </c>
    </row>
    <row r="4192" spans="1:26">
      <c r="A4192" s="1">
        <v>4190</v>
      </c>
      <c r="B4192" t="str">
        <f>HYPERLINK("https://bugs.eclipse.org/bugs/show_bug.cgi?id=349405", "349405")</f>
        <v>349405</v>
      </c>
      <c r="C4192" t="s">
        <v>35</v>
      </c>
      <c r="D4192" t="s">
        <v>11</v>
      </c>
      <c r="E4192" t="s">
        <v>12</v>
      </c>
      <c r="F4192" t="s">
        <v>26</v>
      </c>
      <c r="L4192" t="s">
        <v>19249</v>
      </c>
      <c r="M4192" t="s">
        <v>19250</v>
      </c>
      <c r="N4192" t="s">
        <v>19249</v>
      </c>
      <c r="T4192" t="s">
        <v>19251</v>
      </c>
      <c r="U4192" t="s">
        <v>19252</v>
      </c>
      <c r="V4192" t="s">
        <v>19253</v>
      </c>
      <c r="W4192" t="s">
        <v>851</v>
      </c>
      <c r="X4192" t="s">
        <v>19254</v>
      </c>
      <c r="Y4192">
        <v>6</v>
      </c>
      <c r="Z4192">
        <v>48</v>
      </c>
    </row>
    <row r="4193" spans="1:26">
      <c r="A4193" s="1">
        <v>4191</v>
      </c>
      <c r="B4193" t="str">
        <f>HYPERLINK("https://bugs.eclipse.org/bugs/show_bug.cgi?id=349517", "349517")</f>
        <v>349517</v>
      </c>
      <c r="C4193" t="s">
        <v>149</v>
      </c>
      <c r="D4193" t="s">
        <v>10</v>
      </c>
      <c r="E4193" t="s">
        <v>12</v>
      </c>
      <c r="F4193" t="s">
        <v>150</v>
      </c>
      <c r="L4193" t="s">
        <v>19255</v>
      </c>
      <c r="N4193" t="s">
        <v>19255</v>
      </c>
      <c r="T4193" t="s">
        <v>19256</v>
      </c>
      <c r="U4193" t="s">
        <v>19257</v>
      </c>
      <c r="V4193" t="s">
        <v>19255</v>
      </c>
      <c r="W4193" t="s">
        <v>851</v>
      </c>
      <c r="X4193" t="s">
        <v>19258</v>
      </c>
      <c r="Y4193">
        <v>6</v>
      </c>
      <c r="Z4193">
        <v>203.04166666666671</v>
      </c>
    </row>
    <row r="4194" spans="1:26">
      <c r="A4194" s="1">
        <v>4192</v>
      </c>
      <c r="B4194" t="str">
        <f>HYPERLINK("https://bugs.eclipse.org/bugs/show_bug.cgi?id=349665", "349665")</f>
        <v>349665</v>
      </c>
      <c r="C4194" t="s">
        <v>35</v>
      </c>
      <c r="D4194" t="s">
        <v>11</v>
      </c>
      <c r="E4194" t="s">
        <v>12</v>
      </c>
      <c r="F4194" t="s">
        <v>150</v>
      </c>
      <c r="L4194" t="s">
        <v>19259</v>
      </c>
      <c r="M4194" t="s">
        <v>19260</v>
      </c>
      <c r="N4194" t="s">
        <v>19259</v>
      </c>
      <c r="S4194" t="s">
        <v>19261</v>
      </c>
      <c r="T4194" t="s">
        <v>19262</v>
      </c>
      <c r="U4194" t="s">
        <v>19263</v>
      </c>
      <c r="V4194" t="s">
        <v>19253</v>
      </c>
      <c r="W4194" t="s">
        <v>851</v>
      </c>
      <c r="X4194" t="s">
        <v>19264</v>
      </c>
      <c r="Y4194">
        <v>0</v>
      </c>
      <c r="Z4194">
        <v>46</v>
      </c>
    </row>
    <row r="4195" spans="1:26">
      <c r="A4195" s="1">
        <v>4193</v>
      </c>
      <c r="B4195" t="str">
        <f>HYPERLINK("https://bugs.eclipse.org/bugs/show_bug.cgi?id=349782", "349782")</f>
        <v>349782</v>
      </c>
      <c r="C4195" t="s">
        <v>149</v>
      </c>
      <c r="D4195" t="s">
        <v>10</v>
      </c>
      <c r="E4195" t="s">
        <v>12</v>
      </c>
      <c r="F4195" t="s">
        <v>26</v>
      </c>
      <c r="L4195" t="s">
        <v>19265</v>
      </c>
      <c r="N4195" t="s">
        <v>19265</v>
      </c>
      <c r="T4195" t="s">
        <v>19266</v>
      </c>
      <c r="U4195" t="s">
        <v>19267</v>
      </c>
      <c r="V4195" t="s">
        <v>19265</v>
      </c>
      <c r="W4195" t="s">
        <v>2777</v>
      </c>
      <c r="X4195" t="s">
        <v>19268</v>
      </c>
      <c r="Y4195">
        <v>0</v>
      </c>
      <c r="Z4195">
        <v>102</v>
      </c>
    </row>
    <row r="4196" spans="1:26">
      <c r="A4196" s="1">
        <v>4194</v>
      </c>
      <c r="B4196" t="str">
        <f>HYPERLINK("https://bugs.eclipse.org/bugs/show_bug.cgi?id=349875", "349875")</f>
        <v>349875</v>
      </c>
      <c r="C4196" t="s">
        <v>191</v>
      </c>
      <c r="D4196" t="s">
        <v>192</v>
      </c>
      <c r="E4196" t="s">
        <v>14</v>
      </c>
      <c r="F4196" t="s">
        <v>26</v>
      </c>
      <c r="G4196" t="s">
        <v>19269</v>
      </c>
      <c r="P4196" t="s">
        <v>19270</v>
      </c>
      <c r="T4196" t="s">
        <v>19271</v>
      </c>
      <c r="U4196" t="s">
        <v>19272</v>
      </c>
      <c r="V4196" t="s">
        <v>19270</v>
      </c>
      <c r="W4196" t="s">
        <v>65</v>
      </c>
      <c r="X4196" t="s">
        <v>19273</v>
      </c>
      <c r="Y4196">
        <v>1</v>
      </c>
      <c r="Z4196">
        <v>3155.041666666667</v>
      </c>
    </row>
    <row r="4197" spans="1:26">
      <c r="A4197" s="1">
        <v>4195</v>
      </c>
      <c r="B4197" t="str">
        <f>HYPERLINK("https://bugs.eclipse.org/bugs/show_bug.cgi?id=349880", "349880")</f>
        <v>349880</v>
      </c>
      <c r="C4197" t="s">
        <v>191</v>
      </c>
      <c r="D4197" t="s">
        <v>192</v>
      </c>
      <c r="E4197" t="s">
        <v>14</v>
      </c>
      <c r="F4197" t="s">
        <v>51</v>
      </c>
      <c r="G4197" t="s">
        <v>19269</v>
      </c>
      <c r="P4197" t="s">
        <v>19274</v>
      </c>
      <c r="T4197" t="s">
        <v>19275</v>
      </c>
      <c r="U4197" t="s">
        <v>19276</v>
      </c>
      <c r="V4197" t="s">
        <v>19274</v>
      </c>
      <c r="W4197" t="s">
        <v>65</v>
      </c>
      <c r="X4197" t="s">
        <v>19277</v>
      </c>
      <c r="Y4197">
        <v>1</v>
      </c>
      <c r="Z4197">
        <v>3238</v>
      </c>
    </row>
    <row r="4198" spans="1:26">
      <c r="A4198" s="1">
        <v>4196</v>
      </c>
      <c r="B4198" t="str">
        <f>HYPERLINK("https://bugs.eclipse.org/bugs/show_bug.cgi?id=350037", "350037")</f>
        <v>350037</v>
      </c>
      <c r="C4198" t="s">
        <v>88</v>
      </c>
      <c r="D4198" t="s">
        <v>10</v>
      </c>
      <c r="E4198" t="s">
        <v>13</v>
      </c>
      <c r="F4198" t="s">
        <v>51</v>
      </c>
      <c r="L4198" t="s">
        <v>19278</v>
      </c>
      <c r="O4198" t="s">
        <v>19278</v>
      </c>
      <c r="T4198" t="s">
        <v>19279</v>
      </c>
      <c r="U4198" t="s">
        <v>19280</v>
      </c>
      <c r="V4198" t="s">
        <v>19281</v>
      </c>
      <c r="W4198" t="s">
        <v>2777</v>
      </c>
      <c r="X4198" t="s">
        <v>19282</v>
      </c>
      <c r="Y4198">
        <v>2</v>
      </c>
      <c r="Z4198">
        <v>146.04166666666671</v>
      </c>
    </row>
    <row r="4199" spans="1:26">
      <c r="A4199" s="1">
        <v>4197</v>
      </c>
      <c r="B4199" t="str">
        <f>HYPERLINK("https://bugs.eclipse.org/bugs/show_bug.cgi?id=350347", "350347")</f>
        <v>350347</v>
      </c>
      <c r="C4199" t="s">
        <v>149</v>
      </c>
      <c r="D4199" t="s">
        <v>10</v>
      </c>
      <c r="E4199" t="s">
        <v>12</v>
      </c>
      <c r="F4199" t="s">
        <v>26</v>
      </c>
      <c r="L4199" t="s">
        <v>19283</v>
      </c>
      <c r="N4199" t="s">
        <v>19283</v>
      </c>
      <c r="T4199" t="s">
        <v>19284</v>
      </c>
      <c r="U4199" t="s">
        <v>19285</v>
      </c>
      <c r="V4199" t="s">
        <v>19286</v>
      </c>
      <c r="W4199" t="s">
        <v>851</v>
      </c>
      <c r="X4199" t="s">
        <v>19287</v>
      </c>
      <c r="Y4199">
        <v>0</v>
      </c>
      <c r="Z4199">
        <v>202.04166666666671</v>
      </c>
    </row>
    <row r="4200" spans="1:26">
      <c r="A4200" s="1">
        <v>4198</v>
      </c>
      <c r="B4200" t="str">
        <f>HYPERLINK("https://bugs.eclipse.org/bugs/show_bug.cgi?id=350375", "350375")</f>
        <v>350375</v>
      </c>
      <c r="C4200" t="s">
        <v>35</v>
      </c>
      <c r="D4200" t="s">
        <v>11</v>
      </c>
      <c r="E4200" t="s">
        <v>12</v>
      </c>
      <c r="F4200" t="s">
        <v>26</v>
      </c>
      <c r="G4200" t="s">
        <v>19288</v>
      </c>
      <c r="L4200" t="s">
        <v>19289</v>
      </c>
      <c r="M4200" t="s">
        <v>19290</v>
      </c>
      <c r="N4200" t="s">
        <v>19289</v>
      </c>
      <c r="T4200" t="s">
        <v>19291</v>
      </c>
      <c r="U4200" t="s">
        <v>19292</v>
      </c>
      <c r="V4200" t="s">
        <v>19290</v>
      </c>
      <c r="W4200" t="s">
        <v>143</v>
      </c>
      <c r="X4200" t="s">
        <v>19293</v>
      </c>
      <c r="Y4200">
        <v>2</v>
      </c>
      <c r="Z4200">
        <v>60</v>
      </c>
    </row>
    <row r="4201" spans="1:26">
      <c r="A4201" s="1">
        <v>4199</v>
      </c>
      <c r="B4201" t="str">
        <f>HYPERLINK("https://bugs.eclipse.org/bugs/show_bug.cgi?id=350396", "350396")</f>
        <v>350396</v>
      </c>
      <c r="C4201" t="s">
        <v>19294</v>
      </c>
      <c r="D4201" t="s">
        <v>192</v>
      </c>
      <c r="E4201" t="s">
        <v>15</v>
      </c>
      <c r="F4201" t="s">
        <v>26</v>
      </c>
      <c r="Q4201" t="s">
        <v>19295</v>
      </c>
      <c r="T4201" t="s">
        <v>19296</v>
      </c>
      <c r="U4201" t="s">
        <v>19297</v>
      </c>
      <c r="V4201" t="s">
        <v>19295</v>
      </c>
      <c r="W4201" t="s">
        <v>851</v>
      </c>
      <c r="X4201" t="s">
        <v>19298</v>
      </c>
      <c r="Y4201">
        <v>0</v>
      </c>
      <c r="Z4201">
        <v>487</v>
      </c>
    </row>
    <row r="4202" spans="1:26">
      <c r="A4202" s="1">
        <v>4200</v>
      </c>
      <c r="B4202" t="str">
        <f>HYPERLINK("https://bugs.eclipse.org/bugs/show_bug.cgi?id=350413", "350413")</f>
        <v>350413</v>
      </c>
      <c r="C4202" t="s">
        <v>19299</v>
      </c>
      <c r="D4202" t="s">
        <v>192</v>
      </c>
      <c r="E4202" t="s">
        <v>15</v>
      </c>
      <c r="F4202" t="s">
        <v>26</v>
      </c>
      <c r="Q4202" t="s">
        <v>19300</v>
      </c>
      <c r="T4202" t="s">
        <v>19301</v>
      </c>
      <c r="U4202" t="s">
        <v>19302</v>
      </c>
      <c r="V4202" t="s">
        <v>19300</v>
      </c>
      <c r="W4202" t="s">
        <v>143</v>
      </c>
      <c r="X4202" t="s">
        <v>19303</v>
      </c>
      <c r="Y4202">
        <v>0</v>
      </c>
      <c r="Z4202">
        <v>8</v>
      </c>
    </row>
    <row r="4203" spans="1:26">
      <c r="A4203" s="1">
        <v>4201</v>
      </c>
      <c r="B4203" t="str">
        <f>HYPERLINK("https://bugs.eclipse.org/bugs/show_bug.cgi?id=350523", "350523")</f>
        <v>350523</v>
      </c>
      <c r="C4203" t="s">
        <v>19299</v>
      </c>
      <c r="D4203" t="s">
        <v>192</v>
      </c>
      <c r="E4203" t="s">
        <v>15</v>
      </c>
      <c r="F4203" t="s">
        <v>26</v>
      </c>
      <c r="Q4203" t="s">
        <v>19304</v>
      </c>
      <c r="T4203" t="s">
        <v>19305</v>
      </c>
      <c r="U4203" t="s">
        <v>19306</v>
      </c>
      <c r="V4203" t="s">
        <v>19304</v>
      </c>
      <c r="W4203" t="s">
        <v>143</v>
      </c>
      <c r="X4203" t="s">
        <v>19307</v>
      </c>
      <c r="Y4203">
        <v>6</v>
      </c>
      <c r="Z4203">
        <v>7</v>
      </c>
    </row>
    <row r="4204" spans="1:26">
      <c r="A4204" s="1">
        <v>4202</v>
      </c>
      <c r="B4204" t="str">
        <f>HYPERLINK("https://bugs.eclipse.org/bugs/show_bug.cgi?id=350614", "350614")</f>
        <v>350614</v>
      </c>
      <c r="C4204" t="s">
        <v>35</v>
      </c>
      <c r="D4204" t="s">
        <v>11</v>
      </c>
      <c r="E4204" t="s">
        <v>12</v>
      </c>
      <c r="F4204" t="s">
        <v>26</v>
      </c>
      <c r="L4204" t="s">
        <v>19308</v>
      </c>
      <c r="M4204" t="s">
        <v>19309</v>
      </c>
      <c r="N4204" t="s">
        <v>19308</v>
      </c>
      <c r="T4204" t="s">
        <v>19310</v>
      </c>
      <c r="U4204" t="s">
        <v>19311</v>
      </c>
      <c r="V4204" t="s">
        <v>19312</v>
      </c>
      <c r="W4204" t="s">
        <v>851</v>
      </c>
      <c r="X4204" t="s">
        <v>19313</v>
      </c>
      <c r="Y4204">
        <v>6</v>
      </c>
      <c r="Z4204">
        <v>35</v>
      </c>
    </row>
    <row r="4205" spans="1:26">
      <c r="A4205" s="1">
        <v>4203</v>
      </c>
      <c r="B4205" t="str">
        <f>HYPERLINK("https://bugs.eclipse.org/bugs/show_bug.cgi?id=350766", "350766")</f>
        <v>350766</v>
      </c>
      <c r="C4205" t="s">
        <v>25</v>
      </c>
      <c r="D4205" t="s">
        <v>25</v>
      </c>
      <c r="F4205" t="s">
        <v>26</v>
      </c>
      <c r="T4205" t="s">
        <v>19314</v>
      </c>
      <c r="U4205" t="s">
        <v>19315</v>
      </c>
      <c r="V4205" t="s">
        <v>19316</v>
      </c>
      <c r="W4205" t="s">
        <v>16632</v>
      </c>
      <c r="X4205" t="s">
        <v>19317</v>
      </c>
      <c r="Y4205">
        <v>0</v>
      </c>
    </row>
    <row r="4206" spans="1:26">
      <c r="A4206" s="1">
        <v>4204</v>
      </c>
      <c r="B4206" t="str">
        <f>HYPERLINK("https://bugs.eclipse.org/bugs/show_bug.cgi?id=351071", "351071")</f>
        <v>351071</v>
      </c>
      <c r="C4206" t="s">
        <v>88</v>
      </c>
      <c r="D4206" t="s">
        <v>10</v>
      </c>
      <c r="E4206" t="s">
        <v>13</v>
      </c>
      <c r="F4206" t="s">
        <v>26</v>
      </c>
      <c r="L4206" t="s">
        <v>19318</v>
      </c>
      <c r="O4206" t="s">
        <v>19318</v>
      </c>
      <c r="S4206" t="s">
        <v>19319</v>
      </c>
      <c r="T4206" t="s">
        <v>19320</v>
      </c>
      <c r="U4206" t="s">
        <v>19321</v>
      </c>
      <c r="V4206" t="s">
        <v>19318</v>
      </c>
      <c r="W4206" t="s">
        <v>143</v>
      </c>
      <c r="X4206" t="s">
        <v>19322</v>
      </c>
      <c r="Y4206">
        <v>0</v>
      </c>
      <c r="Z4206">
        <v>1</v>
      </c>
    </row>
    <row r="4207" spans="1:26">
      <c r="A4207" s="1">
        <v>4205</v>
      </c>
      <c r="B4207" t="str">
        <f>HYPERLINK("https://bugs.eclipse.org/bugs/show_bug.cgi?id=351381", "351381")</f>
        <v>351381</v>
      </c>
      <c r="C4207" t="s">
        <v>191</v>
      </c>
      <c r="D4207" t="s">
        <v>192</v>
      </c>
      <c r="E4207" t="s">
        <v>14</v>
      </c>
      <c r="F4207" t="s">
        <v>26</v>
      </c>
      <c r="T4207" t="s">
        <v>19323</v>
      </c>
      <c r="U4207" t="s">
        <v>19324</v>
      </c>
      <c r="V4207" t="s">
        <v>19325</v>
      </c>
      <c r="W4207" t="s">
        <v>65</v>
      </c>
      <c r="X4207" t="s">
        <v>19326</v>
      </c>
      <c r="Y4207">
        <v>0</v>
      </c>
      <c r="Z4207">
        <v>3096.041666666667</v>
      </c>
    </row>
    <row r="4208" spans="1:26">
      <c r="A4208" s="1">
        <v>4206</v>
      </c>
      <c r="B4208" t="str">
        <f>HYPERLINK("https://bugs.eclipse.org/bugs/show_bug.cgi?id=351383", "351383")</f>
        <v>351383</v>
      </c>
      <c r="C4208" t="s">
        <v>18770</v>
      </c>
      <c r="D4208" t="s">
        <v>192</v>
      </c>
      <c r="E4208" t="s">
        <v>15</v>
      </c>
      <c r="F4208" t="s">
        <v>26</v>
      </c>
      <c r="Q4208" t="s">
        <v>19327</v>
      </c>
      <c r="T4208" t="s">
        <v>19328</v>
      </c>
      <c r="U4208" t="s">
        <v>19329</v>
      </c>
      <c r="V4208" t="s">
        <v>19327</v>
      </c>
      <c r="W4208" t="s">
        <v>2777</v>
      </c>
      <c r="X4208" t="s">
        <v>19330</v>
      </c>
      <c r="Y4208">
        <v>0</v>
      </c>
      <c r="Z4208">
        <v>103</v>
      </c>
    </row>
    <row r="4209" spans="1:26">
      <c r="A4209" s="1">
        <v>4207</v>
      </c>
      <c r="B4209" t="str">
        <f>HYPERLINK("https://bugs.eclipse.org/bugs/show_bug.cgi?id=351410", "351410")</f>
        <v>351410</v>
      </c>
      <c r="C4209" t="s">
        <v>25</v>
      </c>
      <c r="D4209" t="s">
        <v>25</v>
      </c>
      <c r="F4209" t="s">
        <v>26</v>
      </c>
      <c r="G4209" t="s">
        <v>19331</v>
      </c>
      <c r="H4209" t="s">
        <v>19332</v>
      </c>
      <c r="T4209" t="s">
        <v>19333</v>
      </c>
      <c r="U4209" t="s">
        <v>19334</v>
      </c>
      <c r="V4209" t="s">
        <v>19335</v>
      </c>
      <c r="W4209" t="s">
        <v>65</v>
      </c>
      <c r="X4209" t="s">
        <v>19336</v>
      </c>
      <c r="Y4209">
        <v>0</v>
      </c>
    </row>
    <row r="4210" spans="1:26">
      <c r="A4210" s="1">
        <v>4208</v>
      </c>
      <c r="B4210" t="str">
        <f>HYPERLINK("https://bugs.eclipse.org/bugs/show_bug.cgi?id=351506", "351506")</f>
        <v>351506</v>
      </c>
      <c r="C4210" t="s">
        <v>4692</v>
      </c>
      <c r="D4210" t="s">
        <v>4692</v>
      </c>
      <c r="F4210" t="s">
        <v>26</v>
      </c>
      <c r="L4210" t="s">
        <v>19337</v>
      </c>
      <c r="R4210" t="s">
        <v>19337</v>
      </c>
      <c r="S4210" t="s">
        <v>19338</v>
      </c>
      <c r="T4210" t="s">
        <v>19339</v>
      </c>
      <c r="U4210" t="s">
        <v>19340</v>
      </c>
      <c r="V4210" t="s">
        <v>19341</v>
      </c>
      <c r="W4210" t="s">
        <v>65</v>
      </c>
      <c r="X4210" t="s">
        <v>19342</v>
      </c>
      <c r="Y4210">
        <v>0</v>
      </c>
    </row>
    <row r="4211" spans="1:26">
      <c r="A4211" s="1">
        <v>4209</v>
      </c>
      <c r="B4211" t="str">
        <f>HYPERLINK("https://bugs.eclipse.org/bugs/show_bug.cgi?id=351915", "351915")</f>
        <v>351915</v>
      </c>
      <c r="C4211" t="s">
        <v>19299</v>
      </c>
      <c r="D4211" t="s">
        <v>192</v>
      </c>
      <c r="E4211" t="s">
        <v>15</v>
      </c>
      <c r="F4211" t="s">
        <v>26</v>
      </c>
      <c r="Q4211" t="s">
        <v>19343</v>
      </c>
      <c r="T4211" t="s">
        <v>19344</v>
      </c>
      <c r="U4211" t="s">
        <v>19345</v>
      </c>
      <c r="V4211" t="s">
        <v>19343</v>
      </c>
      <c r="W4211" t="s">
        <v>143</v>
      </c>
      <c r="X4211" t="s">
        <v>19346</v>
      </c>
      <c r="Y4211">
        <v>0</v>
      </c>
      <c r="Z4211">
        <v>8</v>
      </c>
    </row>
    <row r="4212" spans="1:26">
      <c r="A4212" s="1">
        <v>4210</v>
      </c>
      <c r="B4212" t="str">
        <f>HYPERLINK("https://bugs.eclipse.org/bugs/show_bug.cgi?id=351956", "351956")</f>
        <v>351956</v>
      </c>
      <c r="C4212" t="s">
        <v>35</v>
      </c>
      <c r="D4212" t="s">
        <v>11</v>
      </c>
      <c r="E4212" t="s">
        <v>12</v>
      </c>
      <c r="F4212" t="s">
        <v>150</v>
      </c>
      <c r="G4212" t="s">
        <v>19347</v>
      </c>
      <c r="L4212" t="s">
        <v>19348</v>
      </c>
      <c r="M4212" t="s">
        <v>19349</v>
      </c>
      <c r="N4212" t="s">
        <v>19348</v>
      </c>
      <c r="T4212" t="s">
        <v>19350</v>
      </c>
      <c r="U4212" t="s">
        <v>19351</v>
      </c>
      <c r="V4212" t="s">
        <v>19349</v>
      </c>
      <c r="W4212" t="s">
        <v>4846</v>
      </c>
      <c r="X4212" t="s">
        <v>19352</v>
      </c>
      <c r="Y4212">
        <v>0</v>
      </c>
      <c r="Z4212">
        <v>1041</v>
      </c>
    </row>
    <row r="4213" spans="1:26">
      <c r="A4213" s="1">
        <v>4211</v>
      </c>
      <c r="B4213" t="str">
        <f>HYPERLINK("https://bugs.eclipse.org/bugs/show_bug.cgi?id=352444", "352444")</f>
        <v>352444</v>
      </c>
      <c r="C4213" t="s">
        <v>19353</v>
      </c>
      <c r="D4213" t="s">
        <v>192</v>
      </c>
      <c r="E4213" t="s">
        <v>15</v>
      </c>
      <c r="F4213" t="s">
        <v>26</v>
      </c>
      <c r="Q4213" t="s">
        <v>19354</v>
      </c>
      <c r="T4213" t="s">
        <v>19355</v>
      </c>
      <c r="U4213" t="s">
        <v>19356</v>
      </c>
      <c r="V4213" t="s">
        <v>19357</v>
      </c>
      <c r="W4213" t="s">
        <v>143</v>
      </c>
      <c r="X4213" t="s">
        <v>19358</v>
      </c>
      <c r="Y4213">
        <v>0</v>
      </c>
      <c r="Z4213">
        <v>0</v>
      </c>
    </row>
    <row r="4214" spans="1:26">
      <c r="A4214" s="1">
        <v>4212</v>
      </c>
      <c r="B4214" t="str">
        <f>HYPERLINK("https://bugs.eclipse.org/bugs/show_bug.cgi?id=352445", "352445")</f>
        <v>352445</v>
      </c>
      <c r="C4214" t="s">
        <v>35</v>
      </c>
      <c r="D4214" t="s">
        <v>11</v>
      </c>
      <c r="E4214" t="s">
        <v>12</v>
      </c>
      <c r="F4214" t="s">
        <v>150</v>
      </c>
      <c r="L4214" t="s">
        <v>19359</v>
      </c>
      <c r="M4214" t="s">
        <v>19360</v>
      </c>
      <c r="N4214" t="s">
        <v>19359</v>
      </c>
      <c r="T4214" t="s">
        <v>19355</v>
      </c>
      <c r="U4214" t="s">
        <v>19361</v>
      </c>
      <c r="V4214" t="s">
        <v>19360</v>
      </c>
      <c r="W4214" t="s">
        <v>14114</v>
      </c>
      <c r="X4214" t="s">
        <v>19362</v>
      </c>
      <c r="Y4214">
        <v>0</v>
      </c>
      <c r="Z4214">
        <v>15</v>
      </c>
    </row>
    <row r="4215" spans="1:26">
      <c r="A4215" s="1">
        <v>4213</v>
      </c>
      <c r="B4215" t="str">
        <f>HYPERLINK("https://bugs.eclipse.org/bugs/show_bug.cgi?id=352446", "352446")</f>
        <v>352446</v>
      </c>
      <c r="C4215" t="s">
        <v>19363</v>
      </c>
      <c r="D4215" t="s">
        <v>192</v>
      </c>
      <c r="E4215" t="s">
        <v>15</v>
      </c>
      <c r="F4215" t="s">
        <v>26</v>
      </c>
      <c r="Q4215" t="s">
        <v>19364</v>
      </c>
      <c r="T4215" t="s">
        <v>19365</v>
      </c>
      <c r="U4215" t="s">
        <v>19366</v>
      </c>
      <c r="V4215" t="s">
        <v>19364</v>
      </c>
      <c r="W4215" t="s">
        <v>2777</v>
      </c>
      <c r="X4215" t="s">
        <v>19367</v>
      </c>
      <c r="Y4215">
        <v>0</v>
      </c>
      <c r="Z4215">
        <v>0</v>
      </c>
    </row>
    <row r="4216" spans="1:26">
      <c r="A4216" s="1">
        <v>4214</v>
      </c>
      <c r="B4216" t="str">
        <f>HYPERLINK("https://bugs.eclipse.org/bugs/show_bug.cgi?id=352447", "352447")</f>
        <v>352447</v>
      </c>
      <c r="C4216" t="s">
        <v>35</v>
      </c>
      <c r="D4216" t="s">
        <v>11</v>
      </c>
      <c r="E4216" t="s">
        <v>12</v>
      </c>
      <c r="F4216" t="s">
        <v>150</v>
      </c>
      <c r="L4216" t="s">
        <v>19368</v>
      </c>
      <c r="M4216" t="s">
        <v>19369</v>
      </c>
      <c r="N4216" t="s">
        <v>19368</v>
      </c>
      <c r="T4216" t="s">
        <v>19370</v>
      </c>
      <c r="U4216" t="s">
        <v>19371</v>
      </c>
      <c r="V4216" t="s">
        <v>19369</v>
      </c>
      <c r="W4216" t="s">
        <v>143</v>
      </c>
      <c r="X4216" t="s">
        <v>19372</v>
      </c>
      <c r="Y4216">
        <v>0</v>
      </c>
      <c r="Z4216">
        <v>15</v>
      </c>
    </row>
    <row r="4217" spans="1:26">
      <c r="A4217" s="1">
        <v>4215</v>
      </c>
      <c r="B4217" t="str">
        <f>HYPERLINK("https://bugs.eclipse.org/bugs/show_bug.cgi?id=352448", "352448")</f>
        <v>352448</v>
      </c>
      <c r="C4217" t="s">
        <v>35</v>
      </c>
      <c r="D4217" t="s">
        <v>11</v>
      </c>
      <c r="E4217" t="s">
        <v>12</v>
      </c>
      <c r="F4217" t="s">
        <v>150</v>
      </c>
      <c r="L4217" t="s">
        <v>19373</v>
      </c>
      <c r="M4217" t="s">
        <v>19374</v>
      </c>
      <c r="N4217" t="s">
        <v>19373</v>
      </c>
      <c r="T4217" t="s">
        <v>19375</v>
      </c>
      <c r="U4217" t="s">
        <v>19376</v>
      </c>
      <c r="V4217" t="s">
        <v>19253</v>
      </c>
      <c r="W4217" t="s">
        <v>851</v>
      </c>
      <c r="X4217" t="s">
        <v>19377</v>
      </c>
      <c r="Y4217">
        <v>0</v>
      </c>
      <c r="Z4217">
        <v>14</v>
      </c>
    </row>
    <row r="4218" spans="1:26">
      <c r="A4218" s="1">
        <v>4216</v>
      </c>
      <c r="B4218" t="str">
        <f>HYPERLINK("https://bugs.eclipse.org/bugs/show_bug.cgi?id=352465", "352465")</f>
        <v>352465</v>
      </c>
      <c r="C4218" t="s">
        <v>35</v>
      </c>
      <c r="D4218" t="s">
        <v>11</v>
      </c>
      <c r="E4218" t="s">
        <v>12</v>
      </c>
      <c r="F4218" t="s">
        <v>26</v>
      </c>
      <c r="L4218" t="s">
        <v>19378</v>
      </c>
      <c r="M4218" t="s">
        <v>19379</v>
      </c>
      <c r="N4218" t="s">
        <v>19378</v>
      </c>
      <c r="T4218" t="s">
        <v>19380</v>
      </c>
      <c r="U4218" t="s">
        <v>19381</v>
      </c>
      <c r="V4218" t="s">
        <v>19379</v>
      </c>
      <c r="W4218" t="s">
        <v>143</v>
      </c>
      <c r="X4218" t="s">
        <v>19382</v>
      </c>
      <c r="Y4218">
        <v>0</v>
      </c>
      <c r="Z4218">
        <v>15</v>
      </c>
    </row>
    <row r="4219" spans="1:26">
      <c r="A4219" s="1">
        <v>4217</v>
      </c>
      <c r="B4219" t="str">
        <f>HYPERLINK("https://bugs.eclipse.org/bugs/show_bug.cgi?id=352785", "352785")</f>
        <v>352785</v>
      </c>
      <c r="C4219" t="s">
        <v>149</v>
      </c>
      <c r="D4219" t="s">
        <v>10</v>
      </c>
      <c r="E4219" t="s">
        <v>12</v>
      </c>
      <c r="F4219" t="s">
        <v>26</v>
      </c>
      <c r="L4219" t="s">
        <v>19383</v>
      </c>
      <c r="N4219" t="s">
        <v>19383</v>
      </c>
      <c r="T4219" t="s">
        <v>19384</v>
      </c>
      <c r="U4219" t="s">
        <v>19385</v>
      </c>
      <c r="V4219" t="s">
        <v>19383</v>
      </c>
      <c r="W4219" t="s">
        <v>851</v>
      </c>
      <c r="X4219" t="s">
        <v>19386</v>
      </c>
      <c r="Y4219">
        <v>0</v>
      </c>
      <c r="Z4219">
        <v>270</v>
      </c>
    </row>
    <row r="4220" spans="1:26">
      <c r="A4220" s="1">
        <v>4218</v>
      </c>
      <c r="B4220" t="str">
        <f>HYPERLINK("https://bugs.eclipse.org/bugs/show_bug.cgi?id=353727", "353727")</f>
        <v>353727</v>
      </c>
      <c r="C4220" t="s">
        <v>12200</v>
      </c>
      <c r="D4220" t="s">
        <v>192</v>
      </c>
      <c r="E4220" t="s">
        <v>15</v>
      </c>
      <c r="F4220" t="s">
        <v>26</v>
      </c>
      <c r="Q4220" t="s">
        <v>19387</v>
      </c>
      <c r="T4220" t="s">
        <v>19388</v>
      </c>
      <c r="U4220" t="s">
        <v>19389</v>
      </c>
      <c r="V4220" t="s">
        <v>19387</v>
      </c>
      <c r="W4220" t="s">
        <v>143</v>
      </c>
      <c r="X4220" t="s">
        <v>19390</v>
      </c>
      <c r="Y4220">
        <v>29</v>
      </c>
      <c r="Z4220">
        <v>244</v>
      </c>
    </row>
    <row r="4221" spans="1:26">
      <c r="A4221" s="1">
        <v>4219</v>
      </c>
      <c r="B4221" t="str">
        <f>HYPERLINK("https://bugs.eclipse.org/bugs/show_bug.cgi?id=353759", "353759")</f>
        <v>353759</v>
      </c>
      <c r="C4221" t="s">
        <v>25</v>
      </c>
      <c r="D4221" t="s">
        <v>25</v>
      </c>
      <c r="F4221" t="s">
        <v>26</v>
      </c>
      <c r="H4221" t="s">
        <v>19391</v>
      </c>
      <c r="T4221" t="s">
        <v>19392</v>
      </c>
      <c r="U4221" t="s">
        <v>19393</v>
      </c>
      <c r="V4221" t="s">
        <v>19394</v>
      </c>
      <c r="W4221" t="s">
        <v>851</v>
      </c>
      <c r="X4221" t="s">
        <v>19395</v>
      </c>
      <c r="Y4221">
        <v>0</v>
      </c>
    </row>
    <row r="4222" spans="1:26">
      <c r="A4222" s="1">
        <v>4220</v>
      </c>
      <c r="B4222" t="str">
        <f>HYPERLINK("https://bugs.eclipse.org/bugs/show_bug.cgi?id=354147", "354147")</f>
        <v>354147</v>
      </c>
      <c r="C4222" t="s">
        <v>25</v>
      </c>
      <c r="D4222" t="s">
        <v>25</v>
      </c>
      <c r="F4222" t="s">
        <v>26</v>
      </c>
      <c r="T4222" t="s">
        <v>19396</v>
      </c>
      <c r="U4222" t="s">
        <v>19397</v>
      </c>
      <c r="V4222" t="s">
        <v>19398</v>
      </c>
      <c r="W4222" t="s">
        <v>6576</v>
      </c>
      <c r="X4222" t="s">
        <v>19399</v>
      </c>
      <c r="Y4222">
        <v>1</v>
      </c>
    </row>
    <row r="4223" spans="1:26">
      <c r="A4223" s="1">
        <v>4221</v>
      </c>
      <c r="B4223" t="str">
        <f>HYPERLINK("https://bugs.eclipse.org/bugs/show_bug.cgi?id=355283", "355283")</f>
        <v>355283</v>
      </c>
      <c r="C4223" t="s">
        <v>15663</v>
      </c>
      <c r="D4223" t="s">
        <v>192</v>
      </c>
      <c r="E4223" t="s">
        <v>15</v>
      </c>
      <c r="F4223" t="s">
        <v>26</v>
      </c>
      <c r="Q4223" t="s">
        <v>19400</v>
      </c>
      <c r="T4223" t="s">
        <v>19401</v>
      </c>
      <c r="U4223" t="s">
        <v>19402</v>
      </c>
      <c r="V4223" t="s">
        <v>19403</v>
      </c>
      <c r="W4223" t="s">
        <v>2777</v>
      </c>
      <c r="X4223" t="s">
        <v>19404</v>
      </c>
      <c r="Y4223">
        <v>0</v>
      </c>
      <c r="Z4223">
        <v>60</v>
      </c>
    </row>
    <row r="4224" spans="1:26">
      <c r="A4224" s="1">
        <v>4222</v>
      </c>
      <c r="B4224" t="str">
        <f>HYPERLINK("https://bugs.eclipse.org/bugs/show_bug.cgi?id=355326", "355326")</f>
        <v>355326</v>
      </c>
      <c r="C4224" t="s">
        <v>18241</v>
      </c>
      <c r="D4224" t="s">
        <v>192</v>
      </c>
      <c r="E4224" t="s">
        <v>15</v>
      </c>
      <c r="F4224" t="s">
        <v>26</v>
      </c>
      <c r="Q4224" t="s">
        <v>19405</v>
      </c>
      <c r="T4224" t="s">
        <v>19406</v>
      </c>
      <c r="U4224" t="s">
        <v>19407</v>
      </c>
      <c r="V4224" t="s">
        <v>19405</v>
      </c>
      <c r="W4224" t="s">
        <v>14114</v>
      </c>
      <c r="X4224" t="s">
        <v>19408</v>
      </c>
      <c r="Y4224">
        <v>64</v>
      </c>
      <c r="Z4224">
        <v>64</v>
      </c>
    </row>
    <row r="4225" spans="1:26">
      <c r="A4225" s="1">
        <v>4223</v>
      </c>
      <c r="B4225" t="str">
        <f>HYPERLINK("https://bugs.eclipse.org/bugs/show_bug.cgi?id=355329", "355329")</f>
        <v>355329</v>
      </c>
      <c r="C4225" t="s">
        <v>19409</v>
      </c>
      <c r="D4225" t="s">
        <v>192</v>
      </c>
      <c r="E4225" t="s">
        <v>15</v>
      </c>
      <c r="F4225" t="s">
        <v>26</v>
      </c>
      <c r="Q4225" t="s">
        <v>19410</v>
      </c>
      <c r="T4225" t="s">
        <v>19411</v>
      </c>
      <c r="U4225" t="s">
        <v>19410</v>
      </c>
      <c r="V4225" t="s">
        <v>19410</v>
      </c>
      <c r="W4225" t="s">
        <v>851</v>
      </c>
      <c r="X4225" t="s">
        <v>19412</v>
      </c>
      <c r="Y4225">
        <v>15</v>
      </c>
      <c r="Z4225">
        <v>15</v>
      </c>
    </row>
    <row r="4226" spans="1:26">
      <c r="A4226" s="1">
        <v>4224</v>
      </c>
      <c r="B4226" t="str">
        <f>HYPERLINK("https://bugs.eclipse.org/bugs/show_bug.cgi?id=355568", "355568")</f>
        <v>355568</v>
      </c>
      <c r="C4226" t="s">
        <v>19413</v>
      </c>
      <c r="D4226" t="s">
        <v>192</v>
      </c>
      <c r="E4226" t="s">
        <v>15</v>
      </c>
      <c r="F4226" t="s">
        <v>26</v>
      </c>
      <c r="O4226" t="s">
        <v>19414</v>
      </c>
      <c r="Q4226" t="s">
        <v>4227</v>
      </c>
      <c r="T4226" t="s">
        <v>19415</v>
      </c>
      <c r="U4226" t="s">
        <v>19416</v>
      </c>
      <c r="V4226" t="s">
        <v>4227</v>
      </c>
      <c r="W4226" t="s">
        <v>143</v>
      </c>
      <c r="X4226" t="s">
        <v>19417</v>
      </c>
      <c r="Y4226">
        <v>0</v>
      </c>
      <c r="Z4226">
        <v>63</v>
      </c>
    </row>
    <row r="4227" spans="1:26">
      <c r="A4227" s="1">
        <v>4225</v>
      </c>
      <c r="B4227" t="str">
        <f>HYPERLINK("https://bugs.eclipse.org/bugs/show_bug.cgi?id=356677", "356677")</f>
        <v>356677</v>
      </c>
      <c r="C4227" t="s">
        <v>35</v>
      </c>
      <c r="D4227" t="s">
        <v>11</v>
      </c>
      <c r="E4227" t="s">
        <v>12</v>
      </c>
      <c r="F4227" t="s">
        <v>26</v>
      </c>
      <c r="G4227" t="s">
        <v>19418</v>
      </c>
      <c r="L4227" t="s">
        <v>19419</v>
      </c>
      <c r="M4227" t="s">
        <v>19420</v>
      </c>
      <c r="N4227" t="s">
        <v>19419</v>
      </c>
      <c r="T4227" t="s">
        <v>19421</v>
      </c>
      <c r="U4227" t="s">
        <v>19422</v>
      </c>
      <c r="V4227" t="s">
        <v>19420</v>
      </c>
      <c r="W4227" t="s">
        <v>2777</v>
      </c>
      <c r="X4227" t="s">
        <v>19423</v>
      </c>
      <c r="Y4227">
        <v>1</v>
      </c>
      <c r="Z4227">
        <v>9</v>
      </c>
    </row>
    <row r="4228" spans="1:26">
      <c r="A4228" s="1">
        <v>4226</v>
      </c>
      <c r="B4228" t="str">
        <f>HYPERLINK("https://bugs.eclipse.org/bugs/show_bug.cgi?id=356678", "356678")</f>
        <v>356678</v>
      </c>
      <c r="C4228" t="s">
        <v>19424</v>
      </c>
      <c r="D4228" t="s">
        <v>192</v>
      </c>
      <c r="E4228" t="s">
        <v>15</v>
      </c>
      <c r="F4228" t="s">
        <v>26</v>
      </c>
      <c r="Q4228" t="s">
        <v>19425</v>
      </c>
      <c r="T4228" t="s">
        <v>19426</v>
      </c>
      <c r="U4228" t="s">
        <v>19425</v>
      </c>
      <c r="V4228" t="s">
        <v>19425</v>
      </c>
      <c r="W4228" t="s">
        <v>851</v>
      </c>
      <c r="X4228" t="s">
        <v>19427</v>
      </c>
      <c r="Y4228">
        <v>1</v>
      </c>
      <c r="Z4228">
        <v>1</v>
      </c>
    </row>
    <row r="4229" spans="1:26">
      <c r="A4229" s="1">
        <v>4227</v>
      </c>
      <c r="B4229" t="str">
        <f>HYPERLINK("https://bugs.eclipse.org/bugs/show_bug.cgi?id=356679", "356679")</f>
        <v>356679</v>
      </c>
      <c r="C4229" t="s">
        <v>19424</v>
      </c>
      <c r="D4229" t="s">
        <v>192</v>
      </c>
      <c r="E4229" t="s">
        <v>15</v>
      </c>
      <c r="F4229" t="s">
        <v>26</v>
      </c>
      <c r="Q4229" t="s">
        <v>19428</v>
      </c>
      <c r="T4229" t="s">
        <v>19429</v>
      </c>
      <c r="U4229" t="s">
        <v>19428</v>
      </c>
      <c r="V4229" t="s">
        <v>19428</v>
      </c>
      <c r="W4229" t="s">
        <v>851</v>
      </c>
      <c r="X4229" t="s">
        <v>19430</v>
      </c>
      <c r="Y4229">
        <v>1</v>
      </c>
      <c r="Z4229">
        <v>1</v>
      </c>
    </row>
    <row r="4230" spans="1:26">
      <c r="A4230" s="1">
        <v>4228</v>
      </c>
      <c r="B4230" t="str">
        <f>HYPERLINK("https://bugs.eclipse.org/bugs/show_bug.cgi?id=356685", "356685")</f>
        <v>356685</v>
      </c>
      <c r="C4230" t="s">
        <v>191</v>
      </c>
      <c r="D4230" t="s">
        <v>192</v>
      </c>
      <c r="E4230" t="s">
        <v>14</v>
      </c>
      <c r="F4230" t="s">
        <v>26</v>
      </c>
      <c r="T4230" t="s">
        <v>19431</v>
      </c>
      <c r="U4230" t="s">
        <v>19432</v>
      </c>
      <c r="V4230" t="s">
        <v>19433</v>
      </c>
      <c r="W4230" t="s">
        <v>65</v>
      </c>
      <c r="X4230" t="s">
        <v>19434</v>
      </c>
      <c r="Y4230">
        <v>1</v>
      </c>
      <c r="Z4230">
        <v>3013.041666666667</v>
      </c>
    </row>
    <row r="4231" spans="1:26">
      <c r="A4231" s="1">
        <v>4229</v>
      </c>
      <c r="B4231" t="str">
        <f>HYPERLINK("https://bugs.eclipse.org/bugs/show_bug.cgi?id=356687", "356687")</f>
        <v>356687</v>
      </c>
      <c r="C4231" t="s">
        <v>149</v>
      </c>
      <c r="D4231" t="s">
        <v>10</v>
      </c>
      <c r="E4231" t="s">
        <v>12</v>
      </c>
      <c r="F4231" t="s">
        <v>26</v>
      </c>
      <c r="G4231" t="s">
        <v>19435</v>
      </c>
      <c r="L4231" t="s">
        <v>19436</v>
      </c>
      <c r="N4231" t="s">
        <v>19436</v>
      </c>
      <c r="T4231" t="s">
        <v>19437</v>
      </c>
      <c r="U4231" t="s">
        <v>19438</v>
      </c>
      <c r="V4231" t="s">
        <v>19436</v>
      </c>
      <c r="W4231" t="s">
        <v>4846</v>
      </c>
      <c r="X4231" t="s">
        <v>19439</v>
      </c>
      <c r="Y4231">
        <v>1</v>
      </c>
      <c r="Z4231">
        <v>723</v>
      </c>
    </row>
    <row r="4232" spans="1:26">
      <c r="A4232" s="1">
        <v>4230</v>
      </c>
      <c r="B4232" t="str">
        <f>HYPERLINK("https://bugs.eclipse.org/bugs/show_bug.cgi?id=356688", "356688")</f>
        <v>356688</v>
      </c>
      <c r="C4232" t="s">
        <v>191</v>
      </c>
      <c r="D4232" t="s">
        <v>192</v>
      </c>
      <c r="E4232" t="s">
        <v>14</v>
      </c>
      <c r="F4232" t="s">
        <v>26</v>
      </c>
      <c r="T4232" t="s">
        <v>19440</v>
      </c>
      <c r="U4232" t="s">
        <v>19441</v>
      </c>
      <c r="V4232" t="s">
        <v>19442</v>
      </c>
      <c r="W4232" t="s">
        <v>65</v>
      </c>
      <c r="X4232" t="s">
        <v>19443</v>
      </c>
      <c r="Y4232">
        <v>1</v>
      </c>
      <c r="Z4232">
        <v>3014.041666666667</v>
      </c>
    </row>
    <row r="4233" spans="1:26">
      <c r="A4233" s="1">
        <v>4231</v>
      </c>
      <c r="B4233" t="str">
        <f>HYPERLINK("https://bugs.eclipse.org/bugs/show_bug.cgi?id=356689", "356689")</f>
        <v>356689</v>
      </c>
      <c r="C4233" t="s">
        <v>191</v>
      </c>
      <c r="D4233" t="s">
        <v>192</v>
      </c>
      <c r="E4233" t="s">
        <v>14</v>
      </c>
      <c r="F4233" t="s">
        <v>26</v>
      </c>
      <c r="P4233" t="s">
        <v>19444</v>
      </c>
      <c r="T4233" t="s">
        <v>19445</v>
      </c>
      <c r="U4233" t="s">
        <v>19446</v>
      </c>
      <c r="V4233" t="s">
        <v>19444</v>
      </c>
      <c r="W4233" t="s">
        <v>65</v>
      </c>
      <c r="X4233" t="s">
        <v>19447</v>
      </c>
      <c r="Y4233">
        <v>1</v>
      </c>
      <c r="Z4233">
        <v>3145</v>
      </c>
    </row>
    <row r="4234" spans="1:26">
      <c r="A4234" s="1">
        <v>4232</v>
      </c>
      <c r="B4234" t="str">
        <f>HYPERLINK("https://bugs.eclipse.org/bugs/show_bug.cgi?id=356694", "356694")</f>
        <v>356694</v>
      </c>
      <c r="C4234" t="s">
        <v>19448</v>
      </c>
      <c r="D4234" t="s">
        <v>192</v>
      </c>
      <c r="E4234" t="s">
        <v>15</v>
      </c>
      <c r="F4234" t="s">
        <v>26</v>
      </c>
      <c r="Q4234" t="s">
        <v>19449</v>
      </c>
      <c r="T4234" t="s">
        <v>19450</v>
      </c>
      <c r="U4234" t="s">
        <v>19451</v>
      </c>
      <c r="V4234" t="s">
        <v>19449</v>
      </c>
      <c r="W4234" t="s">
        <v>851</v>
      </c>
      <c r="X4234" t="s">
        <v>19452</v>
      </c>
      <c r="Y4234">
        <v>1</v>
      </c>
      <c r="Z4234">
        <v>1</v>
      </c>
    </row>
    <row r="4235" spans="1:26">
      <c r="A4235" s="1">
        <v>4233</v>
      </c>
      <c r="B4235" t="str">
        <f>HYPERLINK("https://bugs.eclipse.org/bugs/show_bug.cgi?id=356696", "356696")</f>
        <v>356696</v>
      </c>
      <c r="C4235" t="s">
        <v>19448</v>
      </c>
      <c r="D4235" t="s">
        <v>192</v>
      </c>
      <c r="E4235" t="s">
        <v>15</v>
      </c>
      <c r="F4235" t="s">
        <v>26</v>
      </c>
      <c r="Q4235" t="s">
        <v>19453</v>
      </c>
      <c r="T4235" t="s">
        <v>19454</v>
      </c>
      <c r="U4235" t="s">
        <v>19453</v>
      </c>
      <c r="V4235" t="s">
        <v>19453</v>
      </c>
      <c r="W4235" t="s">
        <v>851</v>
      </c>
      <c r="X4235" t="s">
        <v>19455</v>
      </c>
      <c r="Y4235">
        <v>1</v>
      </c>
      <c r="Z4235">
        <v>1</v>
      </c>
    </row>
    <row r="4236" spans="1:26">
      <c r="A4236" s="1">
        <v>4234</v>
      </c>
      <c r="B4236" t="str">
        <f>HYPERLINK("https://bugs.eclipse.org/bugs/show_bug.cgi?id=356697", "356697")</f>
        <v>356697</v>
      </c>
      <c r="C4236" t="s">
        <v>19448</v>
      </c>
      <c r="D4236" t="s">
        <v>192</v>
      </c>
      <c r="E4236" t="s">
        <v>15</v>
      </c>
      <c r="F4236" t="s">
        <v>26</v>
      </c>
      <c r="Q4236" t="s">
        <v>19456</v>
      </c>
      <c r="T4236" t="s">
        <v>19457</v>
      </c>
      <c r="U4236" t="s">
        <v>19456</v>
      </c>
      <c r="V4236" t="s">
        <v>19456</v>
      </c>
      <c r="W4236" t="s">
        <v>851</v>
      </c>
      <c r="X4236" t="s">
        <v>19458</v>
      </c>
      <c r="Y4236">
        <v>1</v>
      </c>
      <c r="Z4236">
        <v>1</v>
      </c>
    </row>
    <row r="4237" spans="1:26">
      <c r="A4237" s="1">
        <v>4235</v>
      </c>
      <c r="B4237" t="str">
        <f>HYPERLINK("https://bugs.eclipse.org/bugs/show_bug.cgi?id=357419", "357419")</f>
        <v>357419</v>
      </c>
      <c r="C4237" t="s">
        <v>19459</v>
      </c>
      <c r="D4237" t="s">
        <v>192</v>
      </c>
      <c r="E4237" t="s">
        <v>15</v>
      </c>
      <c r="F4237" t="s">
        <v>26</v>
      </c>
      <c r="Q4237" t="s">
        <v>19460</v>
      </c>
      <c r="T4237" t="s">
        <v>19461</v>
      </c>
      <c r="U4237" t="s">
        <v>19460</v>
      </c>
      <c r="V4237" t="s">
        <v>19460</v>
      </c>
      <c r="W4237" t="s">
        <v>14114</v>
      </c>
      <c r="X4237" t="s">
        <v>19462</v>
      </c>
      <c r="Y4237">
        <v>42</v>
      </c>
      <c r="Z4237">
        <v>42</v>
      </c>
    </row>
    <row r="4238" spans="1:26">
      <c r="A4238" s="1">
        <v>4236</v>
      </c>
      <c r="B4238" t="str">
        <f>HYPERLINK("https://bugs.eclipse.org/bugs/show_bug.cgi?id=357450", "357450")</f>
        <v>357450</v>
      </c>
      <c r="C4238" t="s">
        <v>35</v>
      </c>
      <c r="D4238" t="s">
        <v>11</v>
      </c>
      <c r="E4238" t="s">
        <v>12</v>
      </c>
      <c r="F4238" t="s">
        <v>26</v>
      </c>
      <c r="L4238" t="s">
        <v>19463</v>
      </c>
      <c r="M4238" t="s">
        <v>19464</v>
      </c>
      <c r="N4238" t="s">
        <v>19463</v>
      </c>
      <c r="T4238" t="s">
        <v>19465</v>
      </c>
      <c r="U4238" t="s">
        <v>19466</v>
      </c>
      <c r="V4238" t="s">
        <v>19467</v>
      </c>
      <c r="W4238" t="s">
        <v>4846</v>
      </c>
      <c r="X4238" t="s">
        <v>19468</v>
      </c>
      <c r="Y4238">
        <v>29</v>
      </c>
      <c r="Z4238">
        <v>975</v>
      </c>
    </row>
    <row r="4239" spans="1:26">
      <c r="A4239" s="1">
        <v>4237</v>
      </c>
      <c r="B4239" t="str">
        <f>HYPERLINK("https://bugs.eclipse.org/bugs/show_bug.cgi?id=357649", "357649")</f>
        <v>357649</v>
      </c>
      <c r="C4239" t="s">
        <v>25</v>
      </c>
      <c r="D4239" t="s">
        <v>25</v>
      </c>
      <c r="F4239" t="s">
        <v>51</v>
      </c>
      <c r="T4239" t="s">
        <v>19469</v>
      </c>
      <c r="U4239" t="s">
        <v>19470</v>
      </c>
      <c r="V4239" t="s">
        <v>19471</v>
      </c>
      <c r="W4239" t="s">
        <v>65</v>
      </c>
      <c r="X4239" t="s">
        <v>19472</v>
      </c>
      <c r="Y4239">
        <v>0</v>
      </c>
    </row>
    <row r="4240" spans="1:26">
      <c r="A4240" s="1">
        <v>4238</v>
      </c>
      <c r="B4240" t="str">
        <f>HYPERLINK("https://bugs.eclipse.org/bugs/show_bug.cgi?id=357998", "357998")</f>
        <v>357998</v>
      </c>
      <c r="C4240" t="s">
        <v>191</v>
      </c>
      <c r="D4240" t="s">
        <v>192</v>
      </c>
      <c r="E4240" t="s">
        <v>14</v>
      </c>
      <c r="F4240" t="s">
        <v>26</v>
      </c>
      <c r="P4240" t="s">
        <v>19473</v>
      </c>
      <c r="T4240" t="s">
        <v>19474</v>
      </c>
      <c r="U4240" t="s">
        <v>19475</v>
      </c>
      <c r="V4240" t="s">
        <v>19473</v>
      </c>
      <c r="W4240" t="s">
        <v>65</v>
      </c>
      <c r="X4240" t="s">
        <v>19476</v>
      </c>
      <c r="Y4240">
        <v>0</v>
      </c>
      <c r="Z4240">
        <v>3090.041666666667</v>
      </c>
    </row>
    <row r="4241" spans="1:26">
      <c r="A4241" s="1">
        <v>4239</v>
      </c>
      <c r="B4241" t="str">
        <f>HYPERLINK("https://bugs.eclipse.org/bugs/show_bug.cgi?id=361045", "361045")</f>
        <v>361045</v>
      </c>
      <c r="C4241" t="s">
        <v>140</v>
      </c>
      <c r="D4241" t="s">
        <v>10</v>
      </c>
      <c r="E4241" t="s">
        <v>16</v>
      </c>
      <c r="F4241" t="s">
        <v>26</v>
      </c>
      <c r="L4241" t="s">
        <v>19477</v>
      </c>
      <c r="R4241" t="s">
        <v>19477</v>
      </c>
      <c r="T4241" t="s">
        <v>19478</v>
      </c>
      <c r="U4241" t="s">
        <v>19479</v>
      </c>
      <c r="V4241" t="s">
        <v>19477</v>
      </c>
      <c r="W4241" t="s">
        <v>2777</v>
      </c>
      <c r="X4241" t="s">
        <v>19480</v>
      </c>
      <c r="Y4241">
        <v>2</v>
      </c>
      <c r="Z4241">
        <v>24.041666666666671</v>
      </c>
    </row>
    <row r="4242" spans="1:26">
      <c r="A4242" s="1">
        <v>4240</v>
      </c>
      <c r="B4242" t="str">
        <f>HYPERLINK("https://bugs.eclipse.org/bugs/show_bug.cgi?id=361079", "361079")</f>
        <v>361079</v>
      </c>
      <c r="C4242" t="s">
        <v>17700</v>
      </c>
      <c r="D4242" t="s">
        <v>10</v>
      </c>
      <c r="E4242" t="s">
        <v>17701</v>
      </c>
      <c r="F4242" t="s">
        <v>26</v>
      </c>
      <c r="L4242" t="s">
        <v>19481</v>
      </c>
      <c r="T4242" t="s">
        <v>19482</v>
      </c>
      <c r="U4242" t="s">
        <v>19483</v>
      </c>
      <c r="V4242" t="s">
        <v>19481</v>
      </c>
      <c r="W4242" t="s">
        <v>851</v>
      </c>
      <c r="X4242" t="s">
        <v>19484</v>
      </c>
      <c r="Y4242">
        <v>1</v>
      </c>
      <c r="Z4242">
        <v>2</v>
      </c>
    </row>
    <row r="4243" spans="1:26">
      <c r="A4243" s="1">
        <v>4241</v>
      </c>
      <c r="B4243" t="str">
        <f>HYPERLINK("https://bugs.eclipse.org/bugs/show_bug.cgi?id=361339", "361339")</f>
        <v>361339</v>
      </c>
      <c r="C4243" t="s">
        <v>149</v>
      </c>
      <c r="D4243" t="s">
        <v>10</v>
      </c>
      <c r="E4243" t="s">
        <v>12</v>
      </c>
      <c r="F4243" t="s">
        <v>26</v>
      </c>
      <c r="L4243" t="s">
        <v>19485</v>
      </c>
      <c r="N4243" t="s">
        <v>19485</v>
      </c>
      <c r="T4243" t="s">
        <v>19486</v>
      </c>
      <c r="U4243" t="s">
        <v>19487</v>
      </c>
      <c r="V4243" t="s">
        <v>19488</v>
      </c>
      <c r="W4243" t="s">
        <v>851</v>
      </c>
      <c r="X4243" t="s">
        <v>19489</v>
      </c>
      <c r="Y4243">
        <v>0</v>
      </c>
      <c r="Z4243">
        <v>0</v>
      </c>
    </row>
    <row r="4244" spans="1:26">
      <c r="A4244" s="1">
        <v>4242</v>
      </c>
      <c r="B4244" t="str">
        <f>HYPERLINK("https://bugs.eclipse.org/bugs/show_bug.cgi?id=361559", "361559")</f>
        <v>361559</v>
      </c>
      <c r="C4244" t="s">
        <v>149</v>
      </c>
      <c r="D4244" t="s">
        <v>10</v>
      </c>
      <c r="E4244" t="s">
        <v>12</v>
      </c>
      <c r="F4244" t="s">
        <v>26</v>
      </c>
      <c r="H4244" t="s">
        <v>19490</v>
      </c>
      <c r="L4244" t="s">
        <v>19491</v>
      </c>
      <c r="N4244" t="s">
        <v>19491</v>
      </c>
      <c r="T4244" t="s">
        <v>19492</v>
      </c>
      <c r="U4244" t="s">
        <v>19493</v>
      </c>
      <c r="V4244" t="s">
        <v>19491</v>
      </c>
      <c r="W4244" t="s">
        <v>851</v>
      </c>
      <c r="X4244" t="s">
        <v>19494</v>
      </c>
      <c r="Y4244">
        <v>0</v>
      </c>
      <c r="Z4244">
        <v>4</v>
      </c>
    </row>
    <row r="4245" spans="1:26">
      <c r="A4245" s="1">
        <v>4243</v>
      </c>
      <c r="B4245" t="str">
        <f>HYPERLINK("https://bugs.eclipse.org/bugs/show_bug.cgi?id=361869", "361869")</f>
        <v>361869</v>
      </c>
      <c r="C4245" t="s">
        <v>191</v>
      </c>
      <c r="D4245" t="s">
        <v>192</v>
      </c>
      <c r="E4245" t="s">
        <v>14</v>
      </c>
      <c r="F4245" t="s">
        <v>26</v>
      </c>
      <c r="P4245" t="s">
        <v>19495</v>
      </c>
      <c r="T4245" t="s">
        <v>19496</v>
      </c>
      <c r="U4245" t="s">
        <v>19497</v>
      </c>
      <c r="V4245" t="s">
        <v>19495</v>
      </c>
      <c r="W4245" t="s">
        <v>65</v>
      </c>
      <c r="X4245" t="s">
        <v>19498</v>
      </c>
      <c r="Y4245">
        <v>0</v>
      </c>
      <c r="Z4245">
        <v>3071</v>
      </c>
    </row>
    <row r="4246" spans="1:26">
      <c r="A4246" s="1">
        <v>4244</v>
      </c>
      <c r="B4246" t="str">
        <f>HYPERLINK("https://bugs.eclipse.org/bugs/show_bug.cgi?id=362049", "362049")</f>
        <v>362049</v>
      </c>
      <c r="C4246" t="s">
        <v>88</v>
      </c>
      <c r="D4246" t="s">
        <v>10</v>
      </c>
      <c r="E4246" t="s">
        <v>13</v>
      </c>
      <c r="F4246" t="s">
        <v>26</v>
      </c>
      <c r="L4246" t="s">
        <v>19499</v>
      </c>
      <c r="O4246" t="s">
        <v>19500</v>
      </c>
      <c r="R4246" t="s">
        <v>19499</v>
      </c>
      <c r="S4246" t="s">
        <v>19501</v>
      </c>
      <c r="T4246" t="s">
        <v>19502</v>
      </c>
      <c r="U4246" t="s">
        <v>19503</v>
      </c>
      <c r="V4246" t="s">
        <v>19500</v>
      </c>
      <c r="W4246" t="s">
        <v>19504</v>
      </c>
      <c r="X4246" t="s">
        <v>19505</v>
      </c>
      <c r="Y4246">
        <v>0</v>
      </c>
      <c r="Z4246">
        <v>0</v>
      </c>
    </row>
    <row r="4247" spans="1:26">
      <c r="A4247" s="1">
        <v>4245</v>
      </c>
      <c r="B4247" t="str">
        <f>HYPERLINK("https://bugs.eclipse.org/bugs/show_bug.cgi?id=362743", "362743")</f>
        <v>362743</v>
      </c>
      <c r="C4247" t="s">
        <v>149</v>
      </c>
      <c r="D4247" t="s">
        <v>10</v>
      </c>
      <c r="E4247" t="s">
        <v>12</v>
      </c>
      <c r="F4247" t="s">
        <v>26</v>
      </c>
      <c r="L4247" t="s">
        <v>19506</v>
      </c>
      <c r="N4247" t="s">
        <v>19506</v>
      </c>
      <c r="T4247" t="s">
        <v>19507</v>
      </c>
      <c r="U4247" t="s">
        <v>19508</v>
      </c>
      <c r="V4247" t="s">
        <v>19506</v>
      </c>
      <c r="W4247" t="s">
        <v>851</v>
      </c>
      <c r="X4247" t="s">
        <v>19509</v>
      </c>
      <c r="Y4247">
        <v>0</v>
      </c>
      <c r="Z4247">
        <v>12.04166666666667</v>
      </c>
    </row>
    <row r="4248" spans="1:26">
      <c r="A4248" s="1">
        <v>4246</v>
      </c>
      <c r="B4248" t="str">
        <f>HYPERLINK("https://bugs.eclipse.org/bugs/show_bug.cgi?id=363242", "363242")</f>
        <v>363242</v>
      </c>
      <c r="C4248" t="s">
        <v>191</v>
      </c>
      <c r="D4248" t="s">
        <v>192</v>
      </c>
      <c r="E4248" t="s">
        <v>14</v>
      </c>
      <c r="F4248" t="s">
        <v>26</v>
      </c>
      <c r="P4248" t="s">
        <v>19510</v>
      </c>
      <c r="T4248" t="s">
        <v>19511</v>
      </c>
      <c r="U4248" t="s">
        <v>19512</v>
      </c>
      <c r="V4248" t="s">
        <v>19510</v>
      </c>
      <c r="W4248" t="s">
        <v>65</v>
      </c>
      <c r="X4248" t="s">
        <v>19513</v>
      </c>
      <c r="Y4248">
        <v>0</v>
      </c>
      <c r="Z4248">
        <v>2993</v>
      </c>
    </row>
    <row r="4249" spans="1:26">
      <c r="A4249" s="1">
        <v>4247</v>
      </c>
      <c r="B4249" t="str">
        <f>HYPERLINK("https://bugs.eclipse.org/bugs/show_bug.cgi?id=363257", "363257")</f>
        <v>363257</v>
      </c>
      <c r="C4249" t="s">
        <v>17007</v>
      </c>
      <c r="D4249" t="s">
        <v>192</v>
      </c>
      <c r="E4249" t="s">
        <v>15</v>
      </c>
      <c r="F4249" t="s">
        <v>26</v>
      </c>
      <c r="Q4249" t="s">
        <v>19514</v>
      </c>
      <c r="T4249" t="s">
        <v>19515</v>
      </c>
      <c r="U4249" t="s">
        <v>19516</v>
      </c>
      <c r="V4249" t="s">
        <v>19514</v>
      </c>
      <c r="W4249" t="s">
        <v>2777</v>
      </c>
      <c r="X4249" t="s">
        <v>19517</v>
      </c>
      <c r="Y4249">
        <v>0</v>
      </c>
      <c r="Z4249">
        <v>0</v>
      </c>
    </row>
    <row r="4250" spans="1:26">
      <c r="A4250" s="1">
        <v>4248</v>
      </c>
      <c r="B4250" t="str">
        <f>HYPERLINK("https://bugs.eclipse.org/bugs/show_bug.cgi?id=364463", "364463")</f>
        <v>364463</v>
      </c>
      <c r="C4250" t="s">
        <v>56</v>
      </c>
      <c r="D4250" t="s">
        <v>10</v>
      </c>
      <c r="E4250" t="s">
        <v>14</v>
      </c>
      <c r="F4250" t="s">
        <v>26</v>
      </c>
      <c r="L4250" t="s">
        <v>19518</v>
      </c>
      <c r="P4250" t="s">
        <v>19518</v>
      </c>
      <c r="T4250" t="s">
        <v>19519</v>
      </c>
      <c r="U4250" t="s">
        <v>19520</v>
      </c>
      <c r="V4250" t="s">
        <v>19518</v>
      </c>
      <c r="W4250" t="s">
        <v>143</v>
      </c>
      <c r="X4250" t="s">
        <v>19521</v>
      </c>
      <c r="Y4250">
        <v>0</v>
      </c>
      <c r="Z4250">
        <v>91</v>
      </c>
    </row>
    <row r="4251" spans="1:26">
      <c r="A4251" s="1">
        <v>4249</v>
      </c>
      <c r="B4251" t="str">
        <f>HYPERLINK("https://bugs.eclipse.org/bugs/show_bug.cgi?id=364539", "364539")</f>
        <v>364539</v>
      </c>
      <c r="C4251" t="s">
        <v>149</v>
      </c>
      <c r="D4251" t="s">
        <v>10</v>
      </c>
      <c r="E4251" t="s">
        <v>12</v>
      </c>
      <c r="F4251" t="s">
        <v>26</v>
      </c>
      <c r="L4251" t="s">
        <v>19522</v>
      </c>
      <c r="N4251" t="s">
        <v>19522</v>
      </c>
      <c r="T4251" t="s">
        <v>19523</v>
      </c>
      <c r="U4251" t="s">
        <v>19524</v>
      </c>
      <c r="V4251" t="s">
        <v>19522</v>
      </c>
      <c r="W4251" t="s">
        <v>851</v>
      </c>
      <c r="X4251" t="s">
        <v>19525</v>
      </c>
      <c r="Y4251">
        <v>0</v>
      </c>
      <c r="Z4251">
        <v>272.95833333333331</v>
      </c>
    </row>
    <row r="4252" spans="1:26">
      <c r="A4252" s="1">
        <v>4250</v>
      </c>
      <c r="B4252" t="str">
        <f>HYPERLINK("https://bugs.eclipse.org/bugs/show_bug.cgi?id=364947", "364947")</f>
        <v>364947</v>
      </c>
      <c r="C4252" t="s">
        <v>149</v>
      </c>
      <c r="D4252" t="s">
        <v>10</v>
      </c>
      <c r="E4252" t="s">
        <v>12</v>
      </c>
      <c r="F4252" t="s">
        <v>26</v>
      </c>
      <c r="L4252" t="s">
        <v>19526</v>
      </c>
      <c r="N4252" t="s">
        <v>19526</v>
      </c>
      <c r="T4252" t="s">
        <v>19527</v>
      </c>
      <c r="U4252" t="s">
        <v>19528</v>
      </c>
      <c r="V4252" t="s">
        <v>19526</v>
      </c>
      <c r="W4252" t="s">
        <v>2777</v>
      </c>
      <c r="X4252" t="s">
        <v>19529</v>
      </c>
      <c r="Y4252">
        <v>0</v>
      </c>
      <c r="Z4252">
        <v>3</v>
      </c>
    </row>
    <row r="4253" spans="1:26">
      <c r="A4253" s="1">
        <v>4251</v>
      </c>
      <c r="B4253" t="str">
        <f>HYPERLINK("https://bugs.eclipse.org/bugs/show_bug.cgi?id=365010", "365010")</f>
        <v>365010</v>
      </c>
      <c r="C4253" t="s">
        <v>191</v>
      </c>
      <c r="D4253" t="s">
        <v>192</v>
      </c>
      <c r="E4253" t="s">
        <v>14</v>
      </c>
      <c r="F4253" t="s">
        <v>26</v>
      </c>
      <c r="T4253" t="s">
        <v>19530</v>
      </c>
      <c r="U4253" t="s">
        <v>19531</v>
      </c>
      <c r="V4253" t="s">
        <v>19532</v>
      </c>
      <c r="W4253" t="s">
        <v>65</v>
      </c>
      <c r="X4253" t="s">
        <v>19533</v>
      </c>
      <c r="Y4253">
        <v>0</v>
      </c>
      <c r="Z4253">
        <v>2895.958333333333</v>
      </c>
    </row>
    <row r="4254" spans="1:26">
      <c r="A4254" s="1">
        <v>4252</v>
      </c>
      <c r="B4254" t="str">
        <f>HYPERLINK("https://bugs.eclipse.org/bugs/show_bug.cgi?id=365041", "365041")</f>
        <v>365041</v>
      </c>
      <c r="C4254" t="s">
        <v>35</v>
      </c>
      <c r="D4254" t="s">
        <v>11</v>
      </c>
      <c r="E4254" t="s">
        <v>12</v>
      </c>
      <c r="F4254" t="s">
        <v>26</v>
      </c>
      <c r="L4254" t="s">
        <v>19534</v>
      </c>
      <c r="M4254" t="s">
        <v>19535</v>
      </c>
      <c r="N4254" t="s">
        <v>19534</v>
      </c>
      <c r="T4254" t="s">
        <v>19536</v>
      </c>
      <c r="U4254" t="s">
        <v>19537</v>
      </c>
      <c r="V4254" t="s">
        <v>19535</v>
      </c>
      <c r="W4254" t="s">
        <v>143</v>
      </c>
      <c r="X4254" t="s">
        <v>19538</v>
      </c>
      <c r="Y4254">
        <v>0</v>
      </c>
      <c r="Z4254">
        <v>37</v>
      </c>
    </row>
    <row r="4255" spans="1:26">
      <c r="A4255" s="1">
        <v>4253</v>
      </c>
      <c r="B4255" t="str">
        <f>HYPERLINK("https://bugs.eclipse.org/bugs/show_bug.cgi?id=365129", "365129")</f>
        <v>365129</v>
      </c>
      <c r="C4255" t="s">
        <v>191</v>
      </c>
      <c r="D4255" t="s">
        <v>192</v>
      </c>
      <c r="E4255" t="s">
        <v>14</v>
      </c>
      <c r="F4255" t="s">
        <v>26</v>
      </c>
      <c r="T4255" t="s">
        <v>19539</v>
      </c>
      <c r="U4255" t="s">
        <v>19540</v>
      </c>
      <c r="V4255" t="s">
        <v>19541</v>
      </c>
      <c r="W4255" t="s">
        <v>65</v>
      </c>
      <c r="X4255" t="s">
        <v>19542</v>
      </c>
      <c r="Y4255">
        <v>0</v>
      </c>
      <c r="Z4255">
        <v>2887.958333333333</v>
      </c>
    </row>
    <row r="4256" spans="1:26">
      <c r="A4256" s="1">
        <v>4254</v>
      </c>
      <c r="B4256" t="str">
        <f>HYPERLINK("https://bugs.eclipse.org/bugs/show_bug.cgi?id=365233", "365233")</f>
        <v>365233</v>
      </c>
      <c r="C4256" t="s">
        <v>191</v>
      </c>
      <c r="D4256" t="s">
        <v>192</v>
      </c>
      <c r="E4256" t="s">
        <v>14</v>
      </c>
      <c r="F4256" t="s">
        <v>26</v>
      </c>
      <c r="P4256" t="s">
        <v>19543</v>
      </c>
      <c r="T4256" t="s">
        <v>19544</v>
      </c>
      <c r="U4256" t="s">
        <v>19545</v>
      </c>
      <c r="V4256" t="s">
        <v>19543</v>
      </c>
      <c r="W4256" t="s">
        <v>65</v>
      </c>
      <c r="X4256" t="s">
        <v>19546</v>
      </c>
      <c r="Y4256">
        <v>0</v>
      </c>
      <c r="Z4256">
        <v>3088.958333333333</v>
      </c>
    </row>
    <row r="4257" spans="1:26">
      <c r="A4257" s="1">
        <v>4255</v>
      </c>
      <c r="B4257" t="str">
        <f>HYPERLINK("https://bugs.eclipse.org/bugs/show_bug.cgi?id=365264", "365264")</f>
        <v>365264</v>
      </c>
      <c r="C4257" t="s">
        <v>25</v>
      </c>
      <c r="D4257" t="s">
        <v>25</v>
      </c>
      <c r="F4257" t="s">
        <v>26</v>
      </c>
      <c r="G4257" t="s">
        <v>19547</v>
      </c>
      <c r="T4257" t="s">
        <v>19548</v>
      </c>
      <c r="U4257" t="s">
        <v>19549</v>
      </c>
      <c r="V4257" t="s">
        <v>19550</v>
      </c>
      <c r="W4257" t="s">
        <v>143</v>
      </c>
      <c r="X4257" t="s">
        <v>19551</v>
      </c>
      <c r="Y4257">
        <v>0</v>
      </c>
    </row>
    <row r="4258" spans="1:26">
      <c r="A4258" s="1">
        <v>4256</v>
      </c>
      <c r="B4258" t="str">
        <f>HYPERLINK("https://bugs.eclipse.org/bugs/show_bug.cgi?id=365286", "365286")</f>
        <v>365286</v>
      </c>
      <c r="C4258" t="s">
        <v>25</v>
      </c>
      <c r="D4258" t="s">
        <v>25</v>
      </c>
      <c r="F4258" t="s">
        <v>51</v>
      </c>
      <c r="T4258" t="s">
        <v>19552</v>
      </c>
      <c r="U4258" t="s">
        <v>19553</v>
      </c>
      <c r="V4258" t="s">
        <v>19554</v>
      </c>
      <c r="W4258" t="s">
        <v>6576</v>
      </c>
      <c r="X4258" t="s">
        <v>19555</v>
      </c>
      <c r="Y4258">
        <v>0</v>
      </c>
    </row>
    <row r="4259" spans="1:26">
      <c r="A4259" s="1">
        <v>4257</v>
      </c>
      <c r="B4259" t="str">
        <f>HYPERLINK("https://bugs.eclipse.org/bugs/show_bug.cgi?id=365372", "365372")</f>
        <v>365372</v>
      </c>
      <c r="C4259" t="s">
        <v>191</v>
      </c>
      <c r="D4259" t="s">
        <v>192</v>
      </c>
      <c r="E4259" t="s">
        <v>14</v>
      </c>
      <c r="F4259" t="s">
        <v>460</v>
      </c>
      <c r="T4259" t="s">
        <v>19556</v>
      </c>
      <c r="U4259" t="s">
        <v>19557</v>
      </c>
      <c r="V4259" t="s">
        <v>19558</v>
      </c>
      <c r="W4259" t="s">
        <v>65</v>
      </c>
      <c r="X4259" t="s">
        <v>19559</v>
      </c>
      <c r="Y4259">
        <v>0</v>
      </c>
      <c r="Z4259">
        <v>2941</v>
      </c>
    </row>
    <row r="4260" spans="1:26">
      <c r="A4260" s="1">
        <v>4258</v>
      </c>
      <c r="B4260" t="str">
        <f>HYPERLINK("https://bugs.eclipse.org/bugs/show_bug.cgi?id=365380", "365380")</f>
        <v>365380</v>
      </c>
      <c r="C4260" t="s">
        <v>35</v>
      </c>
      <c r="D4260" t="s">
        <v>11</v>
      </c>
      <c r="E4260" t="s">
        <v>12</v>
      </c>
      <c r="F4260" t="s">
        <v>26</v>
      </c>
      <c r="G4260" t="s">
        <v>19560</v>
      </c>
      <c r="L4260" t="s">
        <v>19561</v>
      </c>
      <c r="M4260" t="s">
        <v>19562</v>
      </c>
      <c r="N4260" t="s">
        <v>19561</v>
      </c>
      <c r="S4260" t="s">
        <v>19563</v>
      </c>
      <c r="T4260" t="s">
        <v>19564</v>
      </c>
      <c r="U4260" t="s">
        <v>19565</v>
      </c>
      <c r="V4260" t="s">
        <v>19562</v>
      </c>
      <c r="W4260" t="s">
        <v>851</v>
      </c>
      <c r="X4260" t="s">
        <v>19566</v>
      </c>
      <c r="Y4260">
        <v>2</v>
      </c>
      <c r="Z4260">
        <v>47</v>
      </c>
    </row>
    <row r="4261" spans="1:26">
      <c r="A4261" s="1">
        <v>4259</v>
      </c>
      <c r="B4261" t="str">
        <f>HYPERLINK("https://bugs.eclipse.org/bugs/show_bug.cgi?id=365664", "365664")</f>
        <v>365664</v>
      </c>
      <c r="C4261" t="s">
        <v>149</v>
      </c>
      <c r="D4261" t="s">
        <v>10</v>
      </c>
      <c r="E4261" t="s">
        <v>12</v>
      </c>
      <c r="F4261" t="s">
        <v>26</v>
      </c>
      <c r="L4261" t="s">
        <v>19567</v>
      </c>
      <c r="N4261" t="s">
        <v>19567</v>
      </c>
      <c r="T4261" t="s">
        <v>19568</v>
      </c>
      <c r="U4261" t="s">
        <v>19569</v>
      </c>
      <c r="V4261" t="s">
        <v>19567</v>
      </c>
      <c r="W4261" t="s">
        <v>2777</v>
      </c>
      <c r="X4261" t="s">
        <v>19570</v>
      </c>
      <c r="Y4261">
        <v>0</v>
      </c>
      <c r="Z4261">
        <v>11</v>
      </c>
    </row>
    <row r="4262" spans="1:26">
      <c r="A4262" s="1">
        <v>4260</v>
      </c>
      <c r="B4262" t="str">
        <f>HYPERLINK("https://bugs.eclipse.org/bugs/show_bug.cgi?id=365692", "365692")</f>
        <v>365692</v>
      </c>
      <c r="C4262" t="s">
        <v>140</v>
      </c>
      <c r="D4262" t="s">
        <v>10</v>
      </c>
      <c r="E4262" t="s">
        <v>16</v>
      </c>
      <c r="F4262" t="s">
        <v>26</v>
      </c>
      <c r="L4262" t="s">
        <v>19571</v>
      </c>
      <c r="R4262" t="s">
        <v>19571</v>
      </c>
      <c r="T4262" t="s">
        <v>19572</v>
      </c>
      <c r="U4262" t="s">
        <v>19573</v>
      </c>
      <c r="V4262" t="s">
        <v>19571</v>
      </c>
      <c r="W4262" t="s">
        <v>143</v>
      </c>
      <c r="X4262" t="s">
        <v>19574</v>
      </c>
      <c r="Y4262">
        <v>0</v>
      </c>
      <c r="Z4262">
        <v>77</v>
      </c>
    </row>
    <row r="4263" spans="1:26">
      <c r="A4263" s="1">
        <v>4261</v>
      </c>
      <c r="B4263" t="str">
        <f>HYPERLINK("https://bugs.eclipse.org/bugs/show_bug.cgi?id=365820", "365820")</f>
        <v>365820</v>
      </c>
      <c r="C4263" t="s">
        <v>191</v>
      </c>
      <c r="D4263" t="s">
        <v>192</v>
      </c>
      <c r="E4263" t="s">
        <v>14</v>
      </c>
      <c r="F4263" t="s">
        <v>26</v>
      </c>
      <c r="G4263" t="s">
        <v>19575</v>
      </c>
      <c r="P4263" t="s">
        <v>19576</v>
      </c>
      <c r="T4263" t="s">
        <v>19577</v>
      </c>
      <c r="U4263" t="s">
        <v>19578</v>
      </c>
      <c r="V4263" t="s">
        <v>19576</v>
      </c>
      <c r="W4263" t="s">
        <v>65</v>
      </c>
      <c r="X4263" t="s">
        <v>19579</v>
      </c>
      <c r="Y4263">
        <v>0</v>
      </c>
      <c r="Z4263">
        <v>3029.958333333333</v>
      </c>
    </row>
    <row r="4264" spans="1:26">
      <c r="A4264" s="1">
        <v>4262</v>
      </c>
      <c r="B4264" t="str">
        <f>HYPERLINK("https://bugs.eclipse.org/bugs/show_bug.cgi?id=366280", "366280")</f>
        <v>366280</v>
      </c>
      <c r="C4264" t="s">
        <v>191</v>
      </c>
      <c r="D4264" t="s">
        <v>192</v>
      </c>
      <c r="E4264" t="s">
        <v>14</v>
      </c>
      <c r="F4264" t="s">
        <v>26</v>
      </c>
      <c r="T4264" t="s">
        <v>19580</v>
      </c>
      <c r="U4264" t="s">
        <v>19581</v>
      </c>
      <c r="V4264" t="s">
        <v>19582</v>
      </c>
      <c r="W4264" t="s">
        <v>65</v>
      </c>
      <c r="X4264" t="s">
        <v>19583</v>
      </c>
      <c r="Y4264">
        <v>0</v>
      </c>
      <c r="Z4264">
        <v>2846.958333333333</v>
      </c>
    </row>
    <row r="4265" spans="1:26">
      <c r="A4265" s="1">
        <v>4263</v>
      </c>
      <c r="B4265" t="str">
        <f>HYPERLINK("https://bugs.eclipse.org/bugs/show_bug.cgi?id=366281", "366281")</f>
        <v>366281</v>
      </c>
      <c r="C4265" t="s">
        <v>149</v>
      </c>
      <c r="D4265" t="s">
        <v>10</v>
      </c>
      <c r="E4265" t="s">
        <v>12</v>
      </c>
      <c r="F4265" t="s">
        <v>26</v>
      </c>
      <c r="L4265" t="s">
        <v>19584</v>
      </c>
      <c r="N4265" t="s">
        <v>19584</v>
      </c>
      <c r="T4265" t="s">
        <v>19585</v>
      </c>
      <c r="U4265" t="s">
        <v>19586</v>
      </c>
      <c r="V4265" t="s">
        <v>19584</v>
      </c>
      <c r="W4265" t="s">
        <v>2777</v>
      </c>
      <c r="X4265" t="s">
        <v>19587</v>
      </c>
      <c r="Y4265">
        <v>0</v>
      </c>
      <c r="Z4265">
        <v>43</v>
      </c>
    </row>
    <row r="4266" spans="1:26">
      <c r="A4266" s="1">
        <v>4264</v>
      </c>
      <c r="B4266" t="str">
        <f>HYPERLINK("https://bugs.eclipse.org/bugs/show_bug.cgi?id=366330", "366330")</f>
        <v>366330</v>
      </c>
      <c r="C4266" t="s">
        <v>191</v>
      </c>
      <c r="D4266" t="s">
        <v>192</v>
      </c>
      <c r="E4266" t="s">
        <v>14</v>
      </c>
      <c r="F4266" t="s">
        <v>26</v>
      </c>
      <c r="P4266" t="s">
        <v>19588</v>
      </c>
      <c r="T4266" t="s">
        <v>19589</v>
      </c>
      <c r="U4266" t="s">
        <v>19590</v>
      </c>
      <c r="V4266" t="s">
        <v>19591</v>
      </c>
      <c r="W4266" t="s">
        <v>16518</v>
      </c>
      <c r="X4266" t="s">
        <v>19592</v>
      </c>
      <c r="Y4266">
        <v>0</v>
      </c>
      <c r="Z4266">
        <v>3070.958333333333</v>
      </c>
    </row>
    <row r="4267" spans="1:26">
      <c r="A4267" s="1">
        <v>4265</v>
      </c>
      <c r="B4267" t="str">
        <f>HYPERLINK("https://bugs.eclipse.org/bugs/show_bug.cgi?id=366453", "366453")</f>
        <v>366453</v>
      </c>
      <c r="C4267" t="s">
        <v>35</v>
      </c>
      <c r="D4267" t="s">
        <v>11</v>
      </c>
      <c r="E4267" t="s">
        <v>12</v>
      </c>
      <c r="F4267" t="s">
        <v>26</v>
      </c>
      <c r="L4267" t="s">
        <v>19593</v>
      </c>
      <c r="M4267" t="s">
        <v>19594</v>
      </c>
      <c r="N4267" t="s">
        <v>19593</v>
      </c>
      <c r="T4267" t="s">
        <v>19595</v>
      </c>
      <c r="U4267" t="s">
        <v>19596</v>
      </c>
      <c r="V4267" t="s">
        <v>19594</v>
      </c>
      <c r="W4267" t="s">
        <v>19597</v>
      </c>
      <c r="X4267" t="s">
        <v>19598</v>
      </c>
      <c r="Y4267">
        <v>1</v>
      </c>
      <c r="Z4267">
        <v>3267</v>
      </c>
    </row>
    <row r="4268" spans="1:26">
      <c r="A4268" s="1">
        <v>4266</v>
      </c>
      <c r="B4268" t="str">
        <f>HYPERLINK("https://bugs.eclipse.org/bugs/show_bug.cgi?id=366960", "366960")</f>
        <v>366960</v>
      </c>
      <c r="C4268" t="s">
        <v>19599</v>
      </c>
      <c r="D4268" t="s">
        <v>192</v>
      </c>
      <c r="E4268" t="s">
        <v>15</v>
      </c>
      <c r="F4268" t="s">
        <v>26</v>
      </c>
      <c r="Q4268" t="s">
        <v>19600</v>
      </c>
      <c r="T4268" t="s">
        <v>19601</v>
      </c>
      <c r="U4268" t="s">
        <v>19602</v>
      </c>
      <c r="V4268" t="s">
        <v>19600</v>
      </c>
      <c r="W4268" t="s">
        <v>2777</v>
      </c>
      <c r="X4268" t="s">
        <v>19603</v>
      </c>
      <c r="Y4268">
        <v>1</v>
      </c>
      <c r="Z4268">
        <v>4</v>
      </c>
    </row>
    <row r="4269" spans="1:26">
      <c r="A4269" s="1">
        <v>4267</v>
      </c>
      <c r="B4269" t="str">
        <f>HYPERLINK("https://bugs.eclipse.org/bugs/show_bug.cgi?id=367231", "367231")</f>
        <v>367231</v>
      </c>
      <c r="C4269" t="s">
        <v>56</v>
      </c>
      <c r="D4269" t="s">
        <v>10</v>
      </c>
      <c r="E4269" t="s">
        <v>14</v>
      </c>
      <c r="F4269" t="s">
        <v>26</v>
      </c>
      <c r="L4269" t="s">
        <v>19604</v>
      </c>
      <c r="P4269" t="s">
        <v>19604</v>
      </c>
      <c r="T4269" t="s">
        <v>19605</v>
      </c>
      <c r="U4269" t="s">
        <v>19606</v>
      </c>
      <c r="V4269" t="s">
        <v>19604</v>
      </c>
      <c r="W4269" t="s">
        <v>2777</v>
      </c>
      <c r="X4269" t="s">
        <v>19607</v>
      </c>
      <c r="Y4269">
        <v>0</v>
      </c>
      <c r="Z4269">
        <v>43</v>
      </c>
    </row>
    <row r="4270" spans="1:26">
      <c r="A4270" s="1">
        <v>4268</v>
      </c>
      <c r="B4270" t="str">
        <f>HYPERLINK("https://bugs.eclipse.org/bugs/show_bug.cgi?id=367536", "367536")</f>
        <v>367536</v>
      </c>
      <c r="C4270" t="s">
        <v>191</v>
      </c>
      <c r="D4270" t="s">
        <v>192</v>
      </c>
      <c r="E4270" t="s">
        <v>14</v>
      </c>
      <c r="F4270" t="s">
        <v>26</v>
      </c>
      <c r="G4270" t="s">
        <v>19608</v>
      </c>
      <c r="P4270" t="s">
        <v>19609</v>
      </c>
      <c r="T4270" t="s">
        <v>19610</v>
      </c>
      <c r="U4270" t="s">
        <v>19611</v>
      </c>
      <c r="V4270" t="s">
        <v>19609</v>
      </c>
      <c r="W4270" t="s">
        <v>65</v>
      </c>
      <c r="X4270" t="s">
        <v>19612</v>
      </c>
      <c r="Y4270">
        <v>0</v>
      </c>
      <c r="Z4270">
        <v>3029.958333333333</v>
      </c>
    </row>
    <row r="4271" spans="1:26">
      <c r="A4271" s="1">
        <v>4269</v>
      </c>
      <c r="B4271" t="str">
        <f>HYPERLINK("https://bugs.eclipse.org/bugs/show_bug.cgi?id=367587", "367587")</f>
        <v>367587</v>
      </c>
      <c r="C4271" t="s">
        <v>56</v>
      </c>
      <c r="D4271" t="s">
        <v>10</v>
      </c>
      <c r="E4271" t="s">
        <v>14</v>
      </c>
      <c r="F4271" t="s">
        <v>26</v>
      </c>
      <c r="L4271" t="s">
        <v>19613</v>
      </c>
      <c r="P4271" t="s">
        <v>19613</v>
      </c>
      <c r="S4271" t="s">
        <v>19614</v>
      </c>
      <c r="T4271" t="s">
        <v>19615</v>
      </c>
      <c r="U4271" t="s">
        <v>19616</v>
      </c>
      <c r="V4271" t="s">
        <v>19617</v>
      </c>
      <c r="W4271" t="s">
        <v>143</v>
      </c>
      <c r="X4271" t="s">
        <v>19618</v>
      </c>
      <c r="Y4271">
        <v>2</v>
      </c>
      <c r="Z4271">
        <v>7</v>
      </c>
    </row>
    <row r="4272" spans="1:26">
      <c r="A4272" s="1">
        <v>4270</v>
      </c>
      <c r="B4272" t="str">
        <f>HYPERLINK("https://bugs.eclipse.org/bugs/show_bug.cgi?id=367671", "367671")</f>
        <v>367671</v>
      </c>
      <c r="C4272" t="s">
        <v>56</v>
      </c>
      <c r="D4272" t="s">
        <v>10</v>
      </c>
      <c r="E4272" t="s">
        <v>14</v>
      </c>
      <c r="F4272" t="s">
        <v>26</v>
      </c>
      <c r="L4272" t="s">
        <v>19619</v>
      </c>
      <c r="P4272" t="s">
        <v>19619</v>
      </c>
      <c r="T4272" t="s">
        <v>19620</v>
      </c>
      <c r="U4272" t="s">
        <v>19621</v>
      </c>
      <c r="V4272" t="s">
        <v>19619</v>
      </c>
      <c r="W4272" t="s">
        <v>851</v>
      </c>
      <c r="X4272" t="s">
        <v>19622</v>
      </c>
      <c r="Y4272">
        <v>0</v>
      </c>
      <c r="Z4272">
        <v>104.9583333333333</v>
      </c>
    </row>
    <row r="4273" spans="1:26">
      <c r="A4273" s="1">
        <v>4271</v>
      </c>
      <c r="B4273" t="str">
        <f>HYPERLINK("https://bugs.eclipse.org/bugs/show_bug.cgi?id=367672", "367672")</f>
        <v>367672</v>
      </c>
      <c r="C4273" t="s">
        <v>56</v>
      </c>
      <c r="D4273" t="s">
        <v>10</v>
      </c>
      <c r="E4273" t="s">
        <v>14</v>
      </c>
      <c r="F4273" t="s">
        <v>26</v>
      </c>
      <c r="L4273" t="s">
        <v>19623</v>
      </c>
      <c r="P4273" t="s">
        <v>19623</v>
      </c>
      <c r="T4273" t="s">
        <v>19624</v>
      </c>
      <c r="U4273" t="s">
        <v>19625</v>
      </c>
      <c r="V4273" t="s">
        <v>19623</v>
      </c>
      <c r="W4273" t="s">
        <v>851</v>
      </c>
      <c r="X4273" t="s">
        <v>19626</v>
      </c>
      <c r="Y4273">
        <v>0</v>
      </c>
      <c r="Z4273">
        <v>104.9583333333333</v>
      </c>
    </row>
    <row r="4274" spans="1:26">
      <c r="A4274" s="1">
        <v>4272</v>
      </c>
      <c r="B4274" t="str">
        <f>HYPERLINK("https://bugs.eclipse.org/bugs/show_bug.cgi?id=368625", "368625")</f>
        <v>368625</v>
      </c>
      <c r="C4274" t="s">
        <v>19627</v>
      </c>
      <c r="D4274" t="s">
        <v>192</v>
      </c>
      <c r="E4274" t="s">
        <v>15</v>
      </c>
      <c r="F4274" t="s">
        <v>26</v>
      </c>
      <c r="Q4274" t="s">
        <v>19628</v>
      </c>
      <c r="T4274" t="s">
        <v>19629</v>
      </c>
      <c r="U4274" t="s">
        <v>19628</v>
      </c>
      <c r="V4274" t="s">
        <v>19628</v>
      </c>
      <c r="W4274" t="s">
        <v>851</v>
      </c>
      <c r="X4274" t="s">
        <v>19630</v>
      </c>
      <c r="Y4274">
        <v>1</v>
      </c>
      <c r="Z4274">
        <v>1</v>
      </c>
    </row>
    <row r="4275" spans="1:26">
      <c r="A4275" s="1">
        <v>4273</v>
      </c>
      <c r="B4275" t="str">
        <f>HYPERLINK("https://bugs.eclipse.org/bugs/show_bug.cgi?id=368895", "368895")</f>
        <v>368895</v>
      </c>
      <c r="C4275" t="s">
        <v>56</v>
      </c>
      <c r="D4275" t="s">
        <v>10</v>
      </c>
      <c r="E4275" t="s">
        <v>14</v>
      </c>
      <c r="F4275" t="s">
        <v>26</v>
      </c>
      <c r="L4275" t="s">
        <v>19631</v>
      </c>
      <c r="P4275" t="s">
        <v>19631</v>
      </c>
      <c r="T4275" t="s">
        <v>19632</v>
      </c>
      <c r="U4275" t="s">
        <v>19633</v>
      </c>
      <c r="V4275" t="s">
        <v>19634</v>
      </c>
      <c r="W4275" t="s">
        <v>19635</v>
      </c>
      <c r="X4275" t="s">
        <v>19636</v>
      </c>
      <c r="Y4275">
        <v>0</v>
      </c>
      <c r="Z4275">
        <v>173.95833333333329</v>
      </c>
    </row>
    <row r="4276" spans="1:26">
      <c r="A4276" s="1">
        <v>4274</v>
      </c>
      <c r="B4276" t="str">
        <f>HYPERLINK("https://bugs.eclipse.org/bugs/show_bug.cgi?id=368917", "368917")</f>
        <v>368917</v>
      </c>
      <c r="C4276" t="s">
        <v>19637</v>
      </c>
      <c r="D4276" t="s">
        <v>192</v>
      </c>
      <c r="E4276" t="s">
        <v>15</v>
      </c>
      <c r="F4276" t="s">
        <v>26</v>
      </c>
      <c r="Q4276" t="s">
        <v>19638</v>
      </c>
      <c r="T4276" t="s">
        <v>19639</v>
      </c>
      <c r="U4276" t="s">
        <v>19640</v>
      </c>
      <c r="V4276" t="s">
        <v>19638</v>
      </c>
      <c r="W4276" t="s">
        <v>143</v>
      </c>
      <c r="X4276" t="s">
        <v>19641</v>
      </c>
      <c r="Y4276">
        <v>0</v>
      </c>
      <c r="Z4276">
        <v>0</v>
      </c>
    </row>
    <row r="4277" spans="1:26">
      <c r="A4277" s="1">
        <v>4275</v>
      </c>
      <c r="B4277" t="str">
        <f>HYPERLINK("https://bugs.eclipse.org/bugs/show_bug.cgi?id=369294", "369294")</f>
        <v>369294</v>
      </c>
      <c r="C4277" t="s">
        <v>191</v>
      </c>
      <c r="D4277" t="s">
        <v>192</v>
      </c>
      <c r="E4277" t="s">
        <v>14</v>
      </c>
      <c r="F4277" t="s">
        <v>26</v>
      </c>
      <c r="T4277" t="s">
        <v>19642</v>
      </c>
      <c r="U4277" t="s">
        <v>19643</v>
      </c>
      <c r="V4277" t="s">
        <v>19644</v>
      </c>
      <c r="W4277" t="s">
        <v>65</v>
      </c>
      <c r="X4277" t="s">
        <v>19645</v>
      </c>
      <c r="Y4277">
        <v>0</v>
      </c>
      <c r="Z4277">
        <v>2490</v>
      </c>
    </row>
    <row r="4278" spans="1:26">
      <c r="A4278" s="1">
        <v>4276</v>
      </c>
      <c r="B4278" t="str">
        <f>HYPERLINK("https://bugs.eclipse.org/bugs/show_bug.cgi?id=369295", "369295")</f>
        <v>369295</v>
      </c>
      <c r="C4278" t="s">
        <v>149</v>
      </c>
      <c r="D4278" t="s">
        <v>10</v>
      </c>
      <c r="E4278" t="s">
        <v>12</v>
      </c>
      <c r="F4278" t="s">
        <v>26</v>
      </c>
      <c r="L4278" t="s">
        <v>19646</v>
      </c>
      <c r="N4278" t="s">
        <v>19646</v>
      </c>
      <c r="T4278" t="s">
        <v>19647</v>
      </c>
      <c r="U4278" t="s">
        <v>19648</v>
      </c>
      <c r="V4278" t="s">
        <v>19646</v>
      </c>
      <c r="W4278" t="s">
        <v>2777</v>
      </c>
      <c r="X4278" t="s">
        <v>19649</v>
      </c>
      <c r="Y4278">
        <v>0</v>
      </c>
      <c r="Z4278">
        <v>1</v>
      </c>
    </row>
    <row r="4279" spans="1:26">
      <c r="A4279" s="1">
        <v>4277</v>
      </c>
      <c r="B4279" t="str">
        <f>HYPERLINK("https://bugs.eclipse.org/bugs/show_bug.cgi?id=369474", "369474")</f>
        <v>369474</v>
      </c>
      <c r="C4279" t="s">
        <v>25</v>
      </c>
      <c r="D4279" t="s">
        <v>25</v>
      </c>
      <c r="F4279" t="s">
        <v>26</v>
      </c>
      <c r="T4279" t="s">
        <v>19650</v>
      </c>
      <c r="U4279" t="s">
        <v>19651</v>
      </c>
      <c r="V4279" t="s">
        <v>19652</v>
      </c>
      <c r="W4279" t="s">
        <v>143</v>
      </c>
      <c r="X4279" t="s">
        <v>19653</v>
      </c>
      <c r="Y4279">
        <v>0</v>
      </c>
    </row>
    <row r="4280" spans="1:26">
      <c r="A4280" s="1">
        <v>4278</v>
      </c>
      <c r="B4280" t="str">
        <f>HYPERLINK("https://bugs.eclipse.org/bugs/show_bug.cgi?id=369527", "369527")</f>
        <v>369527</v>
      </c>
      <c r="C4280" t="s">
        <v>149</v>
      </c>
      <c r="D4280" t="s">
        <v>10</v>
      </c>
      <c r="E4280" t="s">
        <v>12</v>
      </c>
      <c r="F4280" t="s">
        <v>26</v>
      </c>
      <c r="L4280" t="s">
        <v>19654</v>
      </c>
      <c r="N4280" t="s">
        <v>19654</v>
      </c>
      <c r="T4280" t="s">
        <v>19655</v>
      </c>
      <c r="U4280" t="s">
        <v>19656</v>
      </c>
      <c r="V4280" t="s">
        <v>19654</v>
      </c>
      <c r="W4280" t="s">
        <v>851</v>
      </c>
      <c r="X4280" t="s">
        <v>19657</v>
      </c>
      <c r="Y4280">
        <v>0</v>
      </c>
      <c r="Z4280">
        <v>0</v>
      </c>
    </row>
    <row r="4281" spans="1:26">
      <c r="A4281" s="1">
        <v>4279</v>
      </c>
      <c r="B4281" t="str">
        <f>HYPERLINK("https://bugs.eclipse.org/bugs/show_bug.cgi?id=369654", "369654")</f>
        <v>369654</v>
      </c>
      <c r="C4281" t="s">
        <v>19658</v>
      </c>
      <c r="D4281" t="s">
        <v>192</v>
      </c>
      <c r="E4281" t="s">
        <v>15</v>
      </c>
      <c r="F4281" t="s">
        <v>26</v>
      </c>
      <c r="Q4281" t="s">
        <v>18127</v>
      </c>
      <c r="T4281" t="s">
        <v>19659</v>
      </c>
      <c r="U4281" t="s">
        <v>19660</v>
      </c>
      <c r="V4281" t="s">
        <v>18127</v>
      </c>
      <c r="W4281" t="s">
        <v>143</v>
      </c>
      <c r="X4281" t="s">
        <v>19661</v>
      </c>
      <c r="Y4281">
        <v>0</v>
      </c>
      <c r="Z4281">
        <v>0</v>
      </c>
    </row>
    <row r="4282" spans="1:26">
      <c r="A4282" s="1">
        <v>4280</v>
      </c>
      <c r="B4282" t="str">
        <f>HYPERLINK("https://bugs.eclipse.org/bugs/show_bug.cgi?id=372568", "372568")</f>
        <v>372568</v>
      </c>
      <c r="C4282" t="s">
        <v>25</v>
      </c>
      <c r="D4282" t="s">
        <v>25</v>
      </c>
      <c r="F4282" t="s">
        <v>26</v>
      </c>
      <c r="T4282" t="s">
        <v>19662</v>
      </c>
      <c r="U4282" t="s">
        <v>19663</v>
      </c>
      <c r="V4282" t="s">
        <v>19664</v>
      </c>
      <c r="W4282" t="s">
        <v>19665</v>
      </c>
      <c r="X4282" t="s">
        <v>19666</v>
      </c>
      <c r="Y4282">
        <v>1</v>
      </c>
    </row>
    <row r="4283" spans="1:26">
      <c r="A4283" s="1">
        <v>4281</v>
      </c>
      <c r="B4283" t="str">
        <f>HYPERLINK("https://bugs.eclipse.org/bugs/show_bug.cgi?id=372588", "372588")</f>
        <v>372588</v>
      </c>
      <c r="C4283" t="s">
        <v>25</v>
      </c>
      <c r="D4283" t="s">
        <v>25</v>
      </c>
      <c r="F4283" t="s">
        <v>26</v>
      </c>
      <c r="T4283" t="s">
        <v>19667</v>
      </c>
      <c r="U4283" t="s">
        <v>19668</v>
      </c>
      <c r="V4283" t="s">
        <v>19669</v>
      </c>
      <c r="W4283" t="s">
        <v>18080</v>
      </c>
      <c r="X4283" t="s">
        <v>19670</v>
      </c>
      <c r="Y4283">
        <v>0</v>
      </c>
    </row>
    <row r="4284" spans="1:26">
      <c r="A4284" s="1">
        <v>4282</v>
      </c>
      <c r="B4284" t="str">
        <f>HYPERLINK("https://bugs.eclipse.org/bugs/show_bug.cgi?id=372948", "372948")</f>
        <v>372948</v>
      </c>
      <c r="C4284" t="s">
        <v>140</v>
      </c>
      <c r="D4284" t="s">
        <v>10</v>
      </c>
      <c r="E4284" t="s">
        <v>16</v>
      </c>
      <c r="F4284" t="s">
        <v>26</v>
      </c>
      <c r="L4284" t="s">
        <v>19671</v>
      </c>
      <c r="R4284" t="s">
        <v>19671</v>
      </c>
      <c r="T4284" t="s">
        <v>19672</v>
      </c>
      <c r="U4284" t="s">
        <v>19671</v>
      </c>
      <c r="V4284" t="s">
        <v>19671</v>
      </c>
      <c r="W4284" t="s">
        <v>9181</v>
      </c>
      <c r="X4284" t="s">
        <v>19673</v>
      </c>
      <c r="Y4284">
        <v>481.95833333333331</v>
      </c>
      <c r="Z4284">
        <v>481.95833333333331</v>
      </c>
    </row>
    <row r="4285" spans="1:26">
      <c r="A4285" s="1">
        <v>4283</v>
      </c>
      <c r="B4285" t="str">
        <f>HYPERLINK("https://bugs.eclipse.org/bugs/show_bug.cgi?id=373863", "373863")</f>
        <v>373863</v>
      </c>
      <c r="C4285" t="s">
        <v>4692</v>
      </c>
      <c r="D4285" t="s">
        <v>4692</v>
      </c>
      <c r="F4285" t="s">
        <v>26</v>
      </c>
    </row>
    <row r="4286" spans="1:26">
      <c r="A4286" s="1">
        <v>4284</v>
      </c>
      <c r="B4286" t="str">
        <f>HYPERLINK("https://bugs.eclipse.org/bugs/show_bug.cgi?id=374271", "374271")</f>
        <v>374271</v>
      </c>
      <c r="C4286" t="s">
        <v>25</v>
      </c>
      <c r="D4286" t="s">
        <v>25</v>
      </c>
      <c r="F4286" t="s">
        <v>26</v>
      </c>
      <c r="T4286" t="s">
        <v>19674</v>
      </c>
      <c r="U4286" t="s">
        <v>19675</v>
      </c>
      <c r="V4286" t="s">
        <v>19675</v>
      </c>
      <c r="W4286" t="s">
        <v>2777</v>
      </c>
      <c r="X4286" t="s">
        <v>19676</v>
      </c>
      <c r="Y4286">
        <v>26</v>
      </c>
    </row>
    <row r="4287" spans="1:26">
      <c r="A4287" s="1">
        <v>4285</v>
      </c>
      <c r="B4287" t="str">
        <f>HYPERLINK("https://bugs.eclipse.org/bugs/show_bug.cgi?id=374286", "374286")</f>
        <v>374286</v>
      </c>
      <c r="C4287" t="s">
        <v>19677</v>
      </c>
      <c r="D4287" t="s">
        <v>192</v>
      </c>
      <c r="E4287" t="s">
        <v>15</v>
      </c>
      <c r="F4287" t="s">
        <v>26</v>
      </c>
      <c r="Q4287" t="s">
        <v>2776</v>
      </c>
      <c r="T4287" t="s">
        <v>19678</v>
      </c>
      <c r="U4287" t="s">
        <v>19679</v>
      </c>
      <c r="V4287" t="s">
        <v>2776</v>
      </c>
      <c r="W4287" t="s">
        <v>2777</v>
      </c>
      <c r="X4287" t="s">
        <v>19680</v>
      </c>
      <c r="Y4287">
        <v>0</v>
      </c>
      <c r="Z4287">
        <v>27</v>
      </c>
    </row>
    <row r="4288" spans="1:26">
      <c r="A4288" s="1">
        <v>4286</v>
      </c>
      <c r="B4288" t="str">
        <f>HYPERLINK("https://bugs.eclipse.org/bugs/show_bug.cgi?id=377287", "377287")</f>
        <v>377287</v>
      </c>
      <c r="C4288" t="s">
        <v>19363</v>
      </c>
      <c r="D4288" t="s">
        <v>192</v>
      </c>
      <c r="E4288" t="s">
        <v>15</v>
      </c>
      <c r="F4288" t="s">
        <v>26</v>
      </c>
      <c r="Q4288" t="s">
        <v>16764</v>
      </c>
      <c r="T4288" t="s">
        <v>19681</v>
      </c>
      <c r="U4288" t="s">
        <v>19682</v>
      </c>
      <c r="V4288" t="s">
        <v>16764</v>
      </c>
      <c r="W4288" t="s">
        <v>2777</v>
      </c>
      <c r="X4288" t="s">
        <v>19683</v>
      </c>
      <c r="Y4288">
        <v>0</v>
      </c>
      <c r="Z4288">
        <v>0</v>
      </c>
    </row>
    <row r="4289" spans="1:26">
      <c r="A4289" s="1">
        <v>4287</v>
      </c>
      <c r="B4289" t="str">
        <f>HYPERLINK("https://bugs.eclipse.org/bugs/show_bug.cgi?id=377288", "377288")</f>
        <v>377288</v>
      </c>
      <c r="C4289" t="s">
        <v>35</v>
      </c>
      <c r="D4289" t="s">
        <v>11</v>
      </c>
      <c r="E4289" t="s">
        <v>12</v>
      </c>
      <c r="F4289" t="s">
        <v>26</v>
      </c>
      <c r="L4289" t="s">
        <v>19684</v>
      </c>
      <c r="M4289" t="s">
        <v>19685</v>
      </c>
      <c r="N4289" t="s">
        <v>19684</v>
      </c>
      <c r="T4289" t="s">
        <v>19686</v>
      </c>
      <c r="U4289" t="s">
        <v>19687</v>
      </c>
      <c r="V4289" t="s">
        <v>19685</v>
      </c>
      <c r="W4289" t="s">
        <v>9266</v>
      </c>
      <c r="X4289" t="s">
        <v>19688</v>
      </c>
      <c r="Y4289">
        <v>0</v>
      </c>
      <c r="Z4289">
        <v>3043</v>
      </c>
    </row>
    <row r="4290" spans="1:26">
      <c r="A4290" s="1">
        <v>4288</v>
      </c>
      <c r="B4290" t="str">
        <f>HYPERLINK("https://bugs.eclipse.org/bugs/show_bug.cgi?id=377318", "377318")</f>
        <v>377318</v>
      </c>
      <c r="C4290" t="s">
        <v>149</v>
      </c>
      <c r="D4290" t="s">
        <v>10</v>
      </c>
      <c r="E4290" t="s">
        <v>12</v>
      </c>
      <c r="F4290" t="s">
        <v>26</v>
      </c>
      <c r="G4290" t="s">
        <v>19689</v>
      </c>
      <c r="L4290" t="s">
        <v>19690</v>
      </c>
      <c r="N4290" t="s">
        <v>19690</v>
      </c>
      <c r="T4290" t="s">
        <v>19691</v>
      </c>
      <c r="U4290" t="s">
        <v>19692</v>
      </c>
      <c r="V4290" t="s">
        <v>4412</v>
      </c>
      <c r="W4290" t="s">
        <v>851</v>
      </c>
      <c r="X4290" t="s">
        <v>19693</v>
      </c>
      <c r="Y4290">
        <v>0</v>
      </c>
      <c r="Z4290">
        <v>105</v>
      </c>
    </row>
    <row r="4291" spans="1:26">
      <c r="A4291" s="1">
        <v>4289</v>
      </c>
      <c r="B4291" t="str">
        <f>HYPERLINK("https://bugs.eclipse.org/bugs/show_bug.cgi?id=377324", "377324")</f>
        <v>377324</v>
      </c>
      <c r="C4291" t="s">
        <v>140</v>
      </c>
      <c r="D4291" t="s">
        <v>10</v>
      </c>
      <c r="E4291" t="s">
        <v>16</v>
      </c>
      <c r="F4291" t="s">
        <v>26</v>
      </c>
      <c r="L4291" t="s">
        <v>19694</v>
      </c>
      <c r="R4291" t="s">
        <v>19694</v>
      </c>
      <c r="T4291" t="s">
        <v>19695</v>
      </c>
      <c r="U4291" t="s">
        <v>19696</v>
      </c>
      <c r="V4291" t="s">
        <v>19694</v>
      </c>
      <c r="W4291" t="s">
        <v>9181</v>
      </c>
      <c r="X4291" t="s">
        <v>19697</v>
      </c>
      <c r="Y4291">
        <v>0</v>
      </c>
      <c r="Z4291">
        <v>682.04166666666663</v>
      </c>
    </row>
    <row r="4292" spans="1:26">
      <c r="A4292" s="1">
        <v>4290</v>
      </c>
      <c r="B4292" t="str">
        <f>HYPERLINK("https://bugs.eclipse.org/bugs/show_bug.cgi?id=378028", "378028")</f>
        <v>378028</v>
      </c>
      <c r="C4292" t="s">
        <v>19698</v>
      </c>
      <c r="D4292" t="s">
        <v>192</v>
      </c>
      <c r="E4292" t="s">
        <v>15</v>
      </c>
      <c r="F4292" t="s">
        <v>26</v>
      </c>
      <c r="Q4292" t="s">
        <v>19699</v>
      </c>
      <c r="T4292" t="s">
        <v>19700</v>
      </c>
      <c r="U4292" t="s">
        <v>19701</v>
      </c>
      <c r="V4292" t="s">
        <v>19699</v>
      </c>
      <c r="W4292" t="s">
        <v>143</v>
      </c>
      <c r="X4292" t="s">
        <v>19702</v>
      </c>
      <c r="Y4292">
        <v>0</v>
      </c>
      <c r="Z4292">
        <v>1811</v>
      </c>
    </row>
    <row r="4293" spans="1:26">
      <c r="A4293" s="1">
        <v>4291</v>
      </c>
      <c r="B4293" t="str">
        <f>HYPERLINK("https://bugs.eclipse.org/bugs/show_bug.cgi?id=378724", "378724")</f>
        <v>378724</v>
      </c>
      <c r="C4293" t="s">
        <v>17</v>
      </c>
      <c r="D4293" t="s">
        <v>17</v>
      </c>
      <c r="F4293" t="s">
        <v>26</v>
      </c>
      <c r="P4293" t="s">
        <v>19703</v>
      </c>
      <c r="S4293" t="s">
        <v>19704</v>
      </c>
      <c r="T4293" t="s">
        <v>19705</v>
      </c>
      <c r="U4293" t="s">
        <v>19706</v>
      </c>
      <c r="V4293" t="s">
        <v>19704</v>
      </c>
      <c r="W4293" t="s">
        <v>16518</v>
      </c>
      <c r="X4293" t="s">
        <v>19707</v>
      </c>
      <c r="Y4293">
        <v>0</v>
      </c>
    </row>
    <row r="4294" spans="1:26">
      <c r="A4294" s="1">
        <v>4292</v>
      </c>
      <c r="B4294" t="str">
        <f>HYPERLINK("https://bugs.eclipse.org/bugs/show_bug.cgi?id=379095", "379095")</f>
        <v>379095</v>
      </c>
      <c r="C4294" t="s">
        <v>149</v>
      </c>
      <c r="D4294" t="s">
        <v>10</v>
      </c>
      <c r="E4294" t="s">
        <v>12</v>
      </c>
      <c r="F4294" t="s">
        <v>26</v>
      </c>
      <c r="L4294" t="s">
        <v>19708</v>
      </c>
      <c r="N4294" t="s">
        <v>19708</v>
      </c>
      <c r="T4294" t="s">
        <v>19709</v>
      </c>
      <c r="U4294" t="s">
        <v>19710</v>
      </c>
      <c r="V4294" t="s">
        <v>19708</v>
      </c>
      <c r="W4294" t="s">
        <v>143</v>
      </c>
      <c r="X4294" t="s">
        <v>19711</v>
      </c>
      <c r="Y4294">
        <v>0</v>
      </c>
      <c r="Z4294">
        <v>0</v>
      </c>
    </row>
    <row r="4295" spans="1:26">
      <c r="A4295" s="1">
        <v>4293</v>
      </c>
      <c r="B4295" t="str">
        <f>HYPERLINK("https://bugs.eclipse.org/bugs/show_bug.cgi?id=380114", "380114")</f>
        <v>380114</v>
      </c>
      <c r="C4295" t="s">
        <v>25</v>
      </c>
      <c r="D4295" t="s">
        <v>25</v>
      </c>
      <c r="F4295" t="s">
        <v>26</v>
      </c>
      <c r="G4295" t="s">
        <v>19712</v>
      </c>
      <c r="Q4295" t="s">
        <v>19713</v>
      </c>
      <c r="S4295" t="s">
        <v>19714</v>
      </c>
      <c r="T4295" t="s">
        <v>19715</v>
      </c>
      <c r="U4295" t="s">
        <v>19713</v>
      </c>
      <c r="V4295" t="s">
        <v>19716</v>
      </c>
      <c r="W4295" t="s">
        <v>65</v>
      </c>
      <c r="X4295" t="s">
        <v>19717</v>
      </c>
      <c r="Y4295">
        <v>0</v>
      </c>
    </row>
    <row r="4296" spans="1:26">
      <c r="A4296" s="1">
        <v>4294</v>
      </c>
      <c r="B4296" t="str">
        <f>HYPERLINK("https://bugs.eclipse.org/bugs/show_bug.cgi?id=381015", "381015")</f>
        <v>381015</v>
      </c>
      <c r="C4296" t="s">
        <v>191</v>
      </c>
      <c r="D4296" t="s">
        <v>192</v>
      </c>
      <c r="E4296" t="s">
        <v>14</v>
      </c>
      <c r="F4296" t="s">
        <v>26</v>
      </c>
      <c r="T4296" t="s">
        <v>19718</v>
      </c>
      <c r="U4296" t="s">
        <v>19719</v>
      </c>
      <c r="V4296" t="s">
        <v>19720</v>
      </c>
      <c r="W4296" t="s">
        <v>65</v>
      </c>
      <c r="X4296" t="s">
        <v>19721</v>
      </c>
      <c r="Y4296">
        <v>0</v>
      </c>
      <c r="Z4296">
        <v>2665</v>
      </c>
    </row>
    <row r="4297" spans="1:26">
      <c r="A4297" s="1">
        <v>4295</v>
      </c>
      <c r="B4297" t="str">
        <f>HYPERLINK("https://bugs.eclipse.org/bugs/show_bug.cgi?id=381449", "381449")</f>
        <v>381449</v>
      </c>
      <c r="C4297" t="s">
        <v>25</v>
      </c>
      <c r="D4297" t="s">
        <v>25</v>
      </c>
      <c r="F4297" t="s">
        <v>26</v>
      </c>
      <c r="T4297" t="s">
        <v>19722</v>
      </c>
      <c r="U4297" t="s">
        <v>19723</v>
      </c>
      <c r="V4297" t="s">
        <v>19723</v>
      </c>
      <c r="W4297" t="s">
        <v>851</v>
      </c>
      <c r="X4297" t="s">
        <v>19724</v>
      </c>
      <c r="Y4297">
        <v>5</v>
      </c>
    </row>
    <row r="4298" spans="1:26">
      <c r="A4298" s="1">
        <v>4296</v>
      </c>
      <c r="B4298" t="str">
        <f>HYPERLINK("https://bugs.eclipse.org/bugs/show_bug.cgi?id=381982", "381982")</f>
        <v>381982</v>
      </c>
      <c r="C4298" t="s">
        <v>18531</v>
      </c>
      <c r="D4298" t="s">
        <v>192</v>
      </c>
      <c r="E4298" t="s">
        <v>15</v>
      </c>
      <c r="F4298" t="s">
        <v>26</v>
      </c>
      <c r="L4298" t="s">
        <v>19725</v>
      </c>
      <c r="Q4298" t="s">
        <v>19726</v>
      </c>
      <c r="R4298" t="s">
        <v>19725</v>
      </c>
      <c r="T4298" t="s">
        <v>19727</v>
      </c>
      <c r="U4298" t="s">
        <v>19725</v>
      </c>
      <c r="V4298" t="s">
        <v>19726</v>
      </c>
      <c r="W4298" t="s">
        <v>851</v>
      </c>
      <c r="X4298" t="s">
        <v>19728</v>
      </c>
      <c r="Y4298">
        <v>6</v>
      </c>
      <c r="Z4298">
        <v>8</v>
      </c>
    </row>
    <row r="4299" spans="1:26">
      <c r="A4299" s="1">
        <v>4297</v>
      </c>
      <c r="B4299" t="str">
        <f>HYPERLINK("https://bugs.eclipse.org/bugs/show_bug.cgi?id=382805", "382805")</f>
        <v>382805</v>
      </c>
      <c r="C4299" t="s">
        <v>191</v>
      </c>
      <c r="D4299" t="s">
        <v>192</v>
      </c>
      <c r="E4299" t="s">
        <v>14</v>
      </c>
      <c r="F4299" t="s">
        <v>26</v>
      </c>
      <c r="T4299" t="s">
        <v>19729</v>
      </c>
      <c r="U4299" t="s">
        <v>19730</v>
      </c>
      <c r="V4299" t="s">
        <v>19731</v>
      </c>
      <c r="W4299" t="s">
        <v>65</v>
      </c>
      <c r="X4299" t="s">
        <v>19732</v>
      </c>
      <c r="Y4299">
        <v>1</v>
      </c>
      <c r="Z4299">
        <v>2751.041666666667</v>
      </c>
    </row>
    <row r="4300" spans="1:26">
      <c r="A4300" s="1">
        <v>4298</v>
      </c>
      <c r="B4300" t="str">
        <f>HYPERLINK("https://bugs.eclipse.org/bugs/show_bug.cgi?id=383080", "383080")</f>
        <v>383080</v>
      </c>
      <c r="C4300" t="s">
        <v>19733</v>
      </c>
      <c r="D4300" t="s">
        <v>192</v>
      </c>
      <c r="E4300" t="s">
        <v>15</v>
      </c>
      <c r="F4300" t="s">
        <v>26</v>
      </c>
      <c r="Q4300" t="s">
        <v>19734</v>
      </c>
      <c r="T4300" t="s">
        <v>19735</v>
      </c>
      <c r="U4300" t="s">
        <v>19736</v>
      </c>
      <c r="V4300" t="s">
        <v>19734</v>
      </c>
      <c r="W4300" t="s">
        <v>851</v>
      </c>
      <c r="X4300" t="s">
        <v>19737</v>
      </c>
      <c r="Y4300">
        <v>0</v>
      </c>
      <c r="Z4300">
        <v>2</v>
      </c>
    </row>
    <row r="4301" spans="1:26">
      <c r="A4301" s="1">
        <v>4299</v>
      </c>
      <c r="B4301" t="str">
        <f>HYPERLINK("https://bugs.eclipse.org/bugs/show_bug.cgi?id=383110", "383110")</f>
        <v>383110</v>
      </c>
      <c r="C4301" t="s">
        <v>35</v>
      </c>
      <c r="D4301" t="s">
        <v>11</v>
      </c>
      <c r="E4301" t="s">
        <v>12</v>
      </c>
      <c r="F4301" t="s">
        <v>150</v>
      </c>
      <c r="L4301" t="s">
        <v>19738</v>
      </c>
      <c r="M4301" t="s">
        <v>19739</v>
      </c>
      <c r="N4301" t="s">
        <v>19738</v>
      </c>
      <c r="T4301" t="s">
        <v>19740</v>
      </c>
      <c r="U4301" t="s">
        <v>19741</v>
      </c>
      <c r="V4301" t="s">
        <v>19739</v>
      </c>
      <c r="W4301" t="s">
        <v>143</v>
      </c>
      <c r="X4301" t="s">
        <v>19742</v>
      </c>
      <c r="Y4301">
        <v>0</v>
      </c>
      <c r="Z4301">
        <v>48</v>
      </c>
    </row>
    <row r="4302" spans="1:26">
      <c r="A4302" s="1">
        <v>4300</v>
      </c>
      <c r="B4302" t="str">
        <f>HYPERLINK("https://bugs.eclipse.org/bugs/show_bug.cgi?id=383358", "383358")</f>
        <v>383358</v>
      </c>
      <c r="C4302" t="s">
        <v>149</v>
      </c>
      <c r="D4302" t="s">
        <v>10</v>
      </c>
      <c r="E4302" t="s">
        <v>12</v>
      </c>
      <c r="F4302" t="s">
        <v>26</v>
      </c>
      <c r="L4302" t="s">
        <v>19743</v>
      </c>
      <c r="N4302" t="s">
        <v>19743</v>
      </c>
      <c r="T4302" t="s">
        <v>19744</v>
      </c>
      <c r="U4302" t="s">
        <v>19745</v>
      </c>
      <c r="V4302" t="s">
        <v>19743</v>
      </c>
      <c r="W4302" t="s">
        <v>851</v>
      </c>
      <c r="X4302" t="s">
        <v>19746</v>
      </c>
      <c r="Y4302">
        <v>0</v>
      </c>
      <c r="Z4302">
        <v>3</v>
      </c>
    </row>
    <row r="4303" spans="1:26">
      <c r="A4303" s="1">
        <v>4301</v>
      </c>
      <c r="B4303" t="str">
        <f>HYPERLINK("https://bugs.eclipse.org/bugs/show_bug.cgi?id=383787", "383787")</f>
        <v>383787</v>
      </c>
      <c r="C4303" t="s">
        <v>25</v>
      </c>
      <c r="D4303" t="s">
        <v>25</v>
      </c>
      <c r="F4303" t="s">
        <v>26</v>
      </c>
      <c r="T4303" t="s">
        <v>19747</v>
      </c>
      <c r="U4303" t="s">
        <v>19748</v>
      </c>
      <c r="V4303" t="s">
        <v>19749</v>
      </c>
      <c r="W4303" t="s">
        <v>9181</v>
      </c>
      <c r="X4303" t="s">
        <v>19750</v>
      </c>
      <c r="Y4303">
        <v>5</v>
      </c>
    </row>
    <row r="4304" spans="1:26">
      <c r="A4304" s="1">
        <v>4302</v>
      </c>
      <c r="B4304" t="str">
        <f>HYPERLINK("https://bugs.eclipse.org/bugs/show_bug.cgi?id=383789", "383789")</f>
        <v>383789</v>
      </c>
      <c r="C4304" t="s">
        <v>25</v>
      </c>
      <c r="D4304" t="s">
        <v>25</v>
      </c>
      <c r="F4304" t="s">
        <v>26</v>
      </c>
      <c r="T4304" t="s">
        <v>19751</v>
      </c>
      <c r="U4304" t="s">
        <v>19752</v>
      </c>
      <c r="V4304" t="s">
        <v>19753</v>
      </c>
      <c r="W4304" t="s">
        <v>9181</v>
      </c>
      <c r="X4304" t="s">
        <v>19754</v>
      </c>
      <c r="Y4304">
        <v>5</v>
      </c>
    </row>
    <row r="4305" spans="1:26">
      <c r="A4305" s="1">
        <v>4303</v>
      </c>
      <c r="B4305" t="str">
        <f>HYPERLINK("https://bugs.eclipse.org/bugs/show_bug.cgi?id=383899", "383899")</f>
        <v>383899</v>
      </c>
      <c r="C4305" t="s">
        <v>19755</v>
      </c>
      <c r="D4305" t="s">
        <v>192</v>
      </c>
      <c r="E4305" t="s">
        <v>15</v>
      </c>
      <c r="F4305" t="s">
        <v>26</v>
      </c>
      <c r="Q4305" t="s">
        <v>19756</v>
      </c>
      <c r="T4305" t="s">
        <v>19757</v>
      </c>
      <c r="U4305" t="s">
        <v>19758</v>
      </c>
      <c r="V4305" t="s">
        <v>19756</v>
      </c>
      <c r="W4305" t="s">
        <v>143</v>
      </c>
      <c r="X4305" t="s">
        <v>19759</v>
      </c>
      <c r="Y4305">
        <v>0</v>
      </c>
      <c r="Z4305">
        <v>3</v>
      </c>
    </row>
    <row r="4306" spans="1:26">
      <c r="A4306" s="1">
        <v>4304</v>
      </c>
      <c r="B4306" t="str">
        <f>HYPERLINK("https://bugs.eclipse.org/bugs/show_bug.cgi?id=384717", "384717")</f>
        <v>384717</v>
      </c>
      <c r="C4306" t="s">
        <v>191</v>
      </c>
      <c r="D4306" t="s">
        <v>192</v>
      </c>
      <c r="E4306" t="s">
        <v>14</v>
      </c>
      <c r="F4306" t="s">
        <v>26</v>
      </c>
      <c r="P4306" t="s">
        <v>19760</v>
      </c>
      <c r="T4306" t="s">
        <v>19761</v>
      </c>
      <c r="U4306" t="s">
        <v>19762</v>
      </c>
      <c r="V4306" t="s">
        <v>19760</v>
      </c>
      <c r="W4306" t="s">
        <v>65</v>
      </c>
      <c r="X4306" t="s">
        <v>19763</v>
      </c>
      <c r="Y4306">
        <v>7</v>
      </c>
      <c r="Z4306">
        <v>2853</v>
      </c>
    </row>
    <row r="4307" spans="1:26">
      <c r="A4307" s="1">
        <v>4305</v>
      </c>
      <c r="B4307" t="str">
        <f>HYPERLINK("https://bugs.eclipse.org/bugs/show_bug.cgi?id=384803", "384803")</f>
        <v>384803</v>
      </c>
      <c r="C4307" t="s">
        <v>140</v>
      </c>
      <c r="D4307" t="s">
        <v>10</v>
      </c>
      <c r="E4307" t="s">
        <v>16</v>
      </c>
      <c r="F4307" t="s">
        <v>26</v>
      </c>
      <c r="L4307" t="s">
        <v>19764</v>
      </c>
      <c r="R4307" t="s">
        <v>19764</v>
      </c>
      <c r="T4307" t="s">
        <v>19765</v>
      </c>
      <c r="U4307" t="s">
        <v>19766</v>
      </c>
      <c r="V4307" t="s">
        <v>19764</v>
      </c>
      <c r="W4307" t="s">
        <v>143</v>
      </c>
      <c r="X4307" t="s">
        <v>19767</v>
      </c>
      <c r="Y4307">
        <v>153.04166666666671</v>
      </c>
      <c r="Z4307">
        <v>153.04166666666671</v>
      </c>
    </row>
    <row r="4308" spans="1:26">
      <c r="A4308" s="1">
        <v>4306</v>
      </c>
      <c r="B4308" t="str">
        <f>HYPERLINK("https://bugs.eclipse.org/bugs/show_bug.cgi?id=385122", "385122")</f>
        <v>385122</v>
      </c>
      <c r="C4308" t="s">
        <v>191</v>
      </c>
      <c r="D4308" t="s">
        <v>192</v>
      </c>
      <c r="E4308" t="s">
        <v>14</v>
      </c>
      <c r="F4308" t="s">
        <v>26</v>
      </c>
      <c r="G4308" t="s">
        <v>19768</v>
      </c>
      <c r="H4308" t="s">
        <v>19769</v>
      </c>
      <c r="P4308" t="s">
        <v>19770</v>
      </c>
      <c r="T4308" t="s">
        <v>19771</v>
      </c>
      <c r="U4308" t="s">
        <v>19772</v>
      </c>
      <c r="V4308" t="s">
        <v>19770</v>
      </c>
      <c r="W4308" t="s">
        <v>65</v>
      </c>
      <c r="X4308" t="s">
        <v>19773</v>
      </c>
      <c r="Y4308">
        <v>1</v>
      </c>
      <c r="Z4308">
        <v>2773.041666666667</v>
      </c>
    </row>
    <row r="4309" spans="1:26">
      <c r="A4309" s="1">
        <v>4307</v>
      </c>
      <c r="B4309" t="str">
        <f>HYPERLINK("https://bugs.eclipse.org/bugs/show_bug.cgi?id=385237", "385237")</f>
        <v>385237</v>
      </c>
      <c r="C4309" t="s">
        <v>149</v>
      </c>
      <c r="D4309" t="s">
        <v>10</v>
      </c>
      <c r="E4309" t="s">
        <v>12</v>
      </c>
      <c r="F4309" t="s">
        <v>26</v>
      </c>
      <c r="L4309" t="s">
        <v>19774</v>
      </c>
      <c r="N4309" t="s">
        <v>19774</v>
      </c>
      <c r="T4309" t="s">
        <v>19775</v>
      </c>
      <c r="U4309" t="s">
        <v>19776</v>
      </c>
      <c r="V4309" t="s">
        <v>19774</v>
      </c>
      <c r="W4309" t="s">
        <v>9181</v>
      </c>
      <c r="X4309" t="s">
        <v>19777</v>
      </c>
      <c r="Y4309">
        <v>0</v>
      </c>
      <c r="Z4309">
        <v>478.04166666666669</v>
      </c>
    </row>
    <row r="4310" spans="1:26">
      <c r="A4310" s="1">
        <v>4308</v>
      </c>
      <c r="B4310" t="str">
        <f>HYPERLINK("https://bugs.eclipse.org/bugs/show_bug.cgi?id=385284", "385284")</f>
        <v>385284</v>
      </c>
      <c r="C4310" t="s">
        <v>191</v>
      </c>
      <c r="D4310" t="s">
        <v>192</v>
      </c>
      <c r="E4310" t="s">
        <v>14</v>
      </c>
      <c r="F4310" t="s">
        <v>26</v>
      </c>
      <c r="T4310" t="s">
        <v>19778</v>
      </c>
      <c r="U4310" t="s">
        <v>19779</v>
      </c>
      <c r="V4310" t="s">
        <v>19780</v>
      </c>
      <c r="W4310" t="s">
        <v>65</v>
      </c>
      <c r="X4310" t="s">
        <v>19781</v>
      </c>
      <c r="Y4310">
        <v>209.04166666666671</v>
      </c>
      <c r="Z4310">
        <v>2331.041666666667</v>
      </c>
    </row>
    <row r="4311" spans="1:26">
      <c r="A4311" s="1">
        <v>4309</v>
      </c>
      <c r="B4311" t="str">
        <f>HYPERLINK("https://bugs.eclipse.org/bugs/show_bug.cgi?id=385550", "385550")</f>
        <v>385550</v>
      </c>
      <c r="C4311" t="s">
        <v>149</v>
      </c>
      <c r="D4311" t="s">
        <v>10</v>
      </c>
      <c r="E4311" t="s">
        <v>12</v>
      </c>
      <c r="F4311" t="s">
        <v>26</v>
      </c>
      <c r="L4311" t="s">
        <v>19782</v>
      </c>
      <c r="N4311" t="s">
        <v>19782</v>
      </c>
      <c r="T4311" t="s">
        <v>19783</v>
      </c>
      <c r="U4311" t="s">
        <v>19784</v>
      </c>
      <c r="V4311" t="s">
        <v>19782</v>
      </c>
      <c r="W4311" t="s">
        <v>851</v>
      </c>
      <c r="X4311" t="s">
        <v>19785</v>
      </c>
      <c r="Y4311">
        <v>0</v>
      </c>
      <c r="Z4311">
        <v>15</v>
      </c>
    </row>
    <row r="4312" spans="1:26">
      <c r="A4312" s="1">
        <v>4310</v>
      </c>
      <c r="B4312" t="str">
        <f>HYPERLINK("https://bugs.eclipse.org/bugs/show_bug.cgi?id=385989", "385989")</f>
        <v>385989</v>
      </c>
      <c r="C4312" t="s">
        <v>149</v>
      </c>
      <c r="D4312" t="s">
        <v>10</v>
      </c>
      <c r="E4312" t="s">
        <v>12</v>
      </c>
      <c r="F4312" t="s">
        <v>26</v>
      </c>
      <c r="L4312" t="s">
        <v>19786</v>
      </c>
      <c r="N4312" t="s">
        <v>19786</v>
      </c>
      <c r="T4312" t="s">
        <v>19787</v>
      </c>
      <c r="U4312" t="s">
        <v>19788</v>
      </c>
      <c r="V4312" t="s">
        <v>19786</v>
      </c>
      <c r="W4312" t="s">
        <v>851</v>
      </c>
      <c r="X4312" t="s">
        <v>19789</v>
      </c>
      <c r="Y4312">
        <v>1</v>
      </c>
      <c r="Z4312">
        <v>9</v>
      </c>
    </row>
    <row r="4313" spans="1:26">
      <c r="A4313" s="1">
        <v>4311</v>
      </c>
      <c r="B4313" t="str">
        <f>HYPERLINK("https://bugs.eclipse.org/bugs/show_bug.cgi?id=386028", "386028")</f>
        <v>386028</v>
      </c>
      <c r="C4313" t="s">
        <v>140</v>
      </c>
      <c r="D4313" t="s">
        <v>10</v>
      </c>
      <c r="E4313" t="s">
        <v>16</v>
      </c>
      <c r="F4313" t="s">
        <v>26</v>
      </c>
      <c r="L4313" t="s">
        <v>19790</v>
      </c>
      <c r="Q4313" t="s">
        <v>19791</v>
      </c>
      <c r="R4313" t="s">
        <v>19790</v>
      </c>
      <c r="T4313" t="s">
        <v>19792</v>
      </c>
      <c r="U4313" t="s">
        <v>19793</v>
      </c>
      <c r="V4313" t="s">
        <v>19790</v>
      </c>
      <c r="W4313" t="s">
        <v>143</v>
      </c>
      <c r="X4313" t="s">
        <v>19794</v>
      </c>
      <c r="Y4313">
        <v>0</v>
      </c>
      <c r="Z4313">
        <v>259</v>
      </c>
    </row>
    <row r="4314" spans="1:26">
      <c r="A4314" s="1">
        <v>4312</v>
      </c>
      <c r="B4314" t="str">
        <f>HYPERLINK("https://bugs.eclipse.org/bugs/show_bug.cgi?id=386272", "386272")</f>
        <v>386272</v>
      </c>
      <c r="C4314" t="s">
        <v>149</v>
      </c>
      <c r="D4314" t="s">
        <v>10</v>
      </c>
      <c r="E4314" t="s">
        <v>12</v>
      </c>
      <c r="F4314" t="s">
        <v>26</v>
      </c>
      <c r="L4314" t="s">
        <v>19795</v>
      </c>
      <c r="N4314" t="s">
        <v>19795</v>
      </c>
      <c r="T4314" t="s">
        <v>19796</v>
      </c>
      <c r="U4314" t="s">
        <v>19795</v>
      </c>
      <c r="V4314" t="s">
        <v>19795</v>
      </c>
      <c r="W4314" t="s">
        <v>851</v>
      </c>
      <c r="X4314" t="s">
        <v>19797</v>
      </c>
      <c r="Y4314">
        <v>4</v>
      </c>
      <c r="Z4314">
        <v>4</v>
      </c>
    </row>
    <row r="4315" spans="1:26">
      <c r="A4315" s="1">
        <v>4313</v>
      </c>
      <c r="B4315" t="str">
        <f>HYPERLINK("https://bugs.eclipse.org/bugs/show_bug.cgi?id=386453", "386453")</f>
        <v>386453</v>
      </c>
      <c r="C4315" t="s">
        <v>25</v>
      </c>
      <c r="D4315" t="s">
        <v>25</v>
      </c>
      <c r="F4315" t="s">
        <v>460</v>
      </c>
      <c r="Q4315" t="s">
        <v>19798</v>
      </c>
      <c r="S4315" t="s">
        <v>19799</v>
      </c>
      <c r="T4315" t="s">
        <v>19800</v>
      </c>
      <c r="U4315" t="s">
        <v>19798</v>
      </c>
      <c r="V4315" t="s">
        <v>19801</v>
      </c>
      <c r="W4315" t="s">
        <v>19802</v>
      </c>
      <c r="X4315" t="s">
        <v>19803</v>
      </c>
      <c r="Y4315">
        <v>1</v>
      </c>
    </row>
    <row r="4316" spans="1:26">
      <c r="A4316" s="1">
        <v>4314</v>
      </c>
      <c r="B4316" t="str">
        <f>HYPERLINK("https://bugs.eclipse.org/bugs/show_bug.cgi?id=386518", "386518")</f>
        <v>386518</v>
      </c>
      <c r="C4316" t="s">
        <v>149</v>
      </c>
      <c r="D4316" t="s">
        <v>10</v>
      </c>
      <c r="E4316" t="s">
        <v>12</v>
      </c>
      <c r="F4316" t="s">
        <v>26</v>
      </c>
      <c r="L4316" t="s">
        <v>19804</v>
      </c>
      <c r="N4316" t="s">
        <v>19804</v>
      </c>
      <c r="R4316" t="s">
        <v>19805</v>
      </c>
      <c r="S4316" t="s">
        <v>19806</v>
      </c>
      <c r="T4316" t="s">
        <v>19807</v>
      </c>
      <c r="U4316" t="s">
        <v>19808</v>
      </c>
      <c r="V4316" t="s">
        <v>19804</v>
      </c>
      <c r="W4316" t="s">
        <v>851</v>
      </c>
      <c r="X4316" t="s">
        <v>19809</v>
      </c>
      <c r="Y4316">
        <v>0</v>
      </c>
      <c r="Z4316">
        <v>25</v>
      </c>
    </row>
    <row r="4317" spans="1:26">
      <c r="A4317" s="1">
        <v>4315</v>
      </c>
      <c r="B4317" t="str">
        <f>HYPERLINK("https://bugs.eclipse.org/bugs/show_bug.cgi?id=387049", "387049")</f>
        <v>387049</v>
      </c>
      <c r="C4317" t="s">
        <v>25</v>
      </c>
      <c r="D4317" t="s">
        <v>25</v>
      </c>
      <c r="F4317" t="s">
        <v>51</v>
      </c>
      <c r="T4317" t="s">
        <v>19810</v>
      </c>
      <c r="U4317" t="s">
        <v>19811</v>
      </c>
      <c r="V4317" t="s">
        <v>19811</v>
      </c>
      <c r="W4317" t="s">
        <v>851</v>
      </c>
      <c r="X4317" t="s">
        <v>19812</v>
      </c>
      <c r="Y4317">
        <v>4</v>
      </c>
    </row>
    <row r="4318" spans="1:26">
      <c r="A4318" s="1">
        <v>4316</v>
      </c>
      <c r="B4318" t="str">
        <f>HYPERLINK("https://bugs.eclipse.org/bugs/show_bug.cgi?id=387670", "387670")</f>
        <v>387670</v>
      </c>
      <c r="C4318" t="s">
        <v>19813</v>
      </c>
      <c r="D4318" t="s">
        <v>192</v>
      </c>
      <c r="E4318" t="s">
        <v>15</v>
      </c>
      <c r="F4318" t="s">
        <v>26</v>
      </c>
      <c r="Q4318" t="s">
        <v>19814</v>
      </c>
      <c r="T4318" t="s">
        <v>19815</v>
      </c>
      <c r="U4318" t="s">
        <v>19814</v>
      </c>
      <c r="V4318" t="s">
        <v>19814</v>
      </c>
      <c r="W4318" t="s">
        <v>2777</v>
      </c>
      <c r="X4318" t="s">
        <v>19816</v>
      </c>
      <c r="Y4318">
        <v>0</v>
      </c>
      <c r="Z4318">
        <v>0</v>
      </c>
    </row>
    <row r="4319" spans="1:26">
      <c r="A4319" s="1">
        <v>4317</v>
      </c>
      <c r="B4319" t="str">
        <f>HYPERLINK("https://bugs.eclipse.org/bugs/show_bug.cgi?id=387797", "387797")</f>
        <v>387797</v>
      </c>
      <c r="C4319" t="s">
        <v>25</v>
      </c>
      <c r="D4319" t="s">
        <v>25</v>
      </c>
      <c r="F4319" t="s">
        <v>26</v>
      </c>
      <c r="T4319" t="s">
        <v>19817</v>
      </c>
      <c r="U4319" t="s">
        <v>19818</v>
      </c>
      <c r="V4319" t="s">
        <v>19819</v>
      </c>
      <c r="W4319" t="s">
        <v>9181</v>
      </c>
      <c r="X4319" t="s">
        <v>19820</v>
      </c>
      <c r="Y4319">
        <v>0</v>
      </c>
    </row>
    <row r="4320" spans="1:26">
      <c r="A4320" s="1">
        <v>4318</v>
      </c>
      <c r="B4320" t="str">
        <f>HYPERLINK("https://bugs.eclipse.org/bugs/show_bug.cgi?id=388013", "388013")</f>
        <v>388013</v>
      </c>
      <c r="C4320" t="s">
        <v>25</v>
      </c>
      <c r="D4320" t="s">
        <v>25</v>
      </c>
      <c r="F4320" t="s">
        <v>26</v>
      </c>
      <c r="T4320" t="s">
        <v>19821</v>
      </c>
      <c r="U4320" t="s">
        <v>19822</v>
      </c>
      <c r="V4320" t="s">
        <v>19823</v>
      </c>
      <c r="W4320" t="s">
        <v>12301</v>
      </c>
      <c r="X4320" t="s">
        <v>19824</v>
      </c>
      <c r="Y4320">
        <v>0</v>
      </c>
    </row>
    <row r="4321" spans="1:26">
      <c r="A4321" s="1">
        <v>4319</v>
      </c>
      <c r="B4321" t="str">
        <f>HYPERLINK("https://bugs.eclipse.org/bugs/show_bug.cgi?id=388074", "388074")</f>
        <v>388074</v>
      </c>
      <c r="C4321" t="s">
        <v>149</v>
      </c>
      <c r="D4321" t="s">
        <v>10</v>
      </c>
      <c r="E4321" t="s">
        <v>12</v>
      </c>
      <c r="F4321" t="s">
        <v>26</v>
      </c>
      <c r="L4321" t="s">
        <v>19825</v>
      </c>
      <c r="N4321" t="s">
        <v>19825</v>
      </c>
      <c r="S4321" t="s">
        <v>19826</v>
      </c>
      <c r="T4321" t="s">
        <v>19827</v>
      </c>
      <c r="U4321" t="s">
        <v>19828</v>
      </c>
      <c r="V4321" t="s">
        <v>19825</v>
      </c>
      <c r="W4321" t="s">
        <v>2777</v>
      </c>
      <c r="X4321" t="s">
        <v>19829</v>
      </c>
      <c r="Y4321">
        <v>52</v>
      </c>
      <c r="Z4321">
        <v>53</v>
      </c>
    </row>
    <row r="4322" spans="1:26">
      <c r="A4322" s="1">
        <v>4320</v>
      </c>
      <c r="B4322" t="str">
        <f>HYPERLINK("https://bugs.eclipse.org/bugs/show_bug.cgi?id=390677", "390677")</f>
        <v>390677</v>
      </c>
      <c r="C4322" t="s">
        <v>19830</v>
      </c>
      <c r="D4322" t="s">
        <v>192</v>
      </c>
      <c r="E4322" t="s">
        <v>15</v>
      </c>
      <c r="F4322" t="s">
        <v>26</v>
      </c>
      <c r="Q4322" t="s">
        <v>19831</v>
      </c>
      <c r="T4322" t="s">
        <v>19832</v>
      </c>
      <c r="U4322" t="s">
        <v>19833</v>
      </c>
      <c r="V4322" t="s">
        <v>19831</v>
      </c>
      <c r="W4322" t="s">
        <v>851</v>
      </c>
      <c r="X4322" t="s">
        <v>19834</v>
      </c>
      <c r="Y4322">
        <v>0</v>
      </c>
      <c r="Z4322">
        <v>11</v>
      </c>
    </row>
    <row r="4323" spans="1:26">
      <c r="A4323" s="1">
        <v>4321</v>
      </c>
      <c r="B4323" t="str">
        <f>HYPERLINK("https://bugs.eclipse.org/bugs/show_bug.cgi?id=391281", "391281")</f>
        <v>391281</v>
      </c>
      <c r="C4323" t="s">
        <v>25</v>
      </c>
      <c r="D4323" t="s">
        <v>25</v>
      </c>
      <c r="F4323" t="s">
        <v>26</v>
      </c>
      <c r="T4323" t="s">
        <v>19835</v>
      </c>
      <c r="U4323" t="s">
        <v>19836</v>
      </c>
      <c r="V4323" t="s">
        <v>19837</v>
      </c>
      <c r="W4323" t="s">
        <v>851</v>
      </c>
      <c r="X4323" t="s">
        <v>19838</v>
      </c>
      <c r="Y4323">
        <v>0</v>
      </c>
    </row>
    <row r="4324" spans="1:26">
      <c r="A4324" s="1">
        <v>4322</v>
      </c>
      <c r="B4324" t="str">
        <f>HYPERLINK("https://bugs.eclipse.org/bugs/show_bug.cgi?id=391389", "391389")</f>
        <v>391389</v>
      </c>
      <c r="C4324" t="s">
        <v>149</v>
      </c>
      <c r="D4324" t="s">
        <v>10</v>
      </c>
      <c r="E4324" t="s">
        <v>12</v>
      </c>
      <c r="F4324" t="s">
        <v>26</v>
      </c>
      <c r="H4324" t="s">
        <v>19839</v>
      </c>
      <c r="L4324" t="s">
        <v>19840</v>
      </c>
      <c r="N4324" t="s">
        <v>19840</v>
      </c>
      <c r="T4324" t="s">
        <v>19841</v>
      </c>
      <c r="U4324" t="s">
        <v>19842</v>
      </c>
      <c r="V4324" t="s">
        <v>19843</v>
      </c>
      <c r="W4324" t="s">
        <v>851</v>
      </c>
      <c r="X4324" t="s">
        <v>19844</v>
      </c>
      <c r="Y4324">
        <v>0</v>
      </c>
      <c r="Z4324">
        <v>612</v>
      </c>
    </row>
    <row r="4325" spans="1:26">
      <c r="A4325" s="1">
        <v>4323</v>
      </c>
      <c r="B4325" t="str">
        <f>HYPERLINK("https://bugs.eclipse.org/bugs/show_bug.cgi?id=391710", "391710")</f>
        <v>391710</v>
      </c>
      <c r="C4325" t="s">
        <v>25</v>
      </c>
      <c r="D4325" t="s">
        <v>25</v>
      </c>
      <c r="F4325" t="s">
        <v>26</v>
      </c>
      <c r="T4325" t="s">
        <v>19845</v>
      </c>
      <c r="U4325" t="s">
        <v>19846</v>
      </c>
      <c r="V4325" t="s">
        <v>19846</v>
      </c>
      <c r="W4325" t="s">
        <v>851</v>
      </c>
      <c r="X4325" t="s">
        <v>19847</v>
      </c>
      <c r="Y4325">
        <v>109.0416666666667</v>
      </c>
    </row>
    <row r="4326" spans="1:26">
      <c r="A4326" s="1">
        <v>4324</v>
      </c>
      <c r="B4326" t="str">
        <f>HYPERLINK("https://bugs.eclipse.org/bugs/show_bug.cgi?id=391927", "391927")</f>
        <v>391927</v>
      </c>
      <c r="C4326" t="s">
        <v>149</v>
      </c>
      <c r="D4326" t="s">
        <v>10</v>
      </c>
      <c r="E4326" t="s">
        <v>12</v>
      </c>
      <c r="F4326" t="s">
        <v>26</v>
      </c>
      <c r="L4326" t="s">
        <v>19848</v>
      </c>
      <c r="N4326" t="s">
        <v>19848</v>
      </c>
      <c r="T4326" t="s">
        <v>19849</v>
      </c>
      <c r="U4326" t="s">
        <v>19848</v>
      </c>
      <c r="V4326" t="s">
        <v>19850</v>
      </c>
      <c r="W4326" t="s">
        <v>851</v>
      </c>
      <c r="X4326" t="s">
        <v>19851</v>
      </c>
      <c r="Y4326">
        <v>0</v>
      </c>
      <c r="Z4326">
        <v>0</v>
      </c>
    </row>
    <row r="4327" spans="1:26">
      <c r="A4327" s="1">
        <v>4325</v>
      </c>
      <c r="B4327" t="str">
        <f>HYPERLINK("https://bugs.eclipse.org/bugs/show_bug.cgi?id=391968", "391968")</f>
        <v>391968</v>
      </c>
      <c r="C4327" t="s">
        <v>19852</v>
      </c>
      <c r="D4327" t="s">
        <v>192</v>
      </c>
      <c r="E4327" t="s">
        <v>15</v>
      </c>
      <c r="F4327" t="s">
        <v>26</v>
      </c>
      <c r="Q4327" t="s">
        <v>19853</v>
      </c>
      <c r="T4327" t="s">
        <v>19854</v>
      </c>
      <c r="U4327" t="s">
        <v>19855</v>
      </c>
      <c r="V4327" t="s">
        <v>19853</v>
      </c>
      <c r="W4327" t="s">
        <v>143</v>
      </c>
      <c r="X4327" t="s">
        <v>19856</v>
      </c>
      <c r="Y4327">
        <v>0</v>
      </c>
      <c r="Z4327">
        <v>2630.041666666667</v>
      </c>
    </row>
    <row r="4328" spans="1:26">
      <c r="A4328" s="1">
        <v>4326</v>
      </c>
      <c r="B4328" t="str">
        <f>HYPERLINK("https://bugs.eclipse.org/bugs/show_bug.cgi?id=392145", "392145")</f>
        <v>392145</v>
      </c>
      <c r="C4328" t="s">
        <v>140</v>
      </c>
      <c r="D4328" t="s">
        <v>10</v>
      </c>
      <c r="E4328" t="s">
        <v>16</v>
      </c>
      <c r="F4328" t="s">
        <v>26</v>
      </c>
      <c r="L4328" t="s">
        <v>19857</v>
      </c>
      <c r="R4328" t="s">
        <v>19857</v>
      </c>
      <c r="T4328" t="s">
        <v>19858</v>
      </c>
      <c r="U4328" t="s">
        <v>19857</v>
      </c>
      <c r="V4328" t="s">
        <v>19857</v>
      </c>
      <c r="W4328" t="s">
        <v>143</v>
      </c>
      <c r="X4328" t="s">
        <v>19859</v>
      </c>
      <c r="Y4328">
        <v>118.0416666666667</v>
      </c>
      <c r="Z4328">
        <v>118.0416666666667</v>
      </c>
    </row>
    <row r="4329" spans="1:26">
      <c r="A4329" s="1">
        <v>4327</v>
      </c>
      <c r="B4329" t="str">
        <f>HYPERLINK("https://bugs.eclipse.org/bugs/show_bug.cgi?id=392858", "392858")</f>
        <v>392858</v>
      </c>
      <c r="C4329" t="s">
        <v>4692</v>
      </c>
      <c r="D4329" t="s">
        <v>4692</v>
      </c>
      <c r="F4329" t="s">
        <v>26</v>
      </c>
      <c r="T4329" t="s">
        <v>19860</v>
      </c>
      <c r="U4329" t="s">
        <v>19861</v>
      </c>
      <c r="V4329" t="s">
        <v>19861</v>
      </c>
      <c r="W4329" t="s">
        <v>19862</v>
      </c>
      <c r="X4329" t="s">
        <v>19863</v>
      </c>
      <c r="Y4329">
        <v>1</v>
      </c>
    </row>
    <row r="4330" spans="1:26">
      <c r="A4330" s="1">
        <v>4328</v>
      </c>
      <c r="B4330" t="str">
        <f>HYPERLINK("https://bugs.eclipse.org/bugs/show_bug.cgi?id=393098", "393098")</f>
        <v>393098</v>
      </c>
      <c r="C4330" t="s">
        <v>149</v>
      </c>
      <c r="D4330" t="s">
        <v>10</v>
      </c>
      <c r="E4330" t="s">
        <v>12</v>
      </c>
      <c r="F4330" t="s">
        <v>26</v>
      </c>
      <c r="L4330" t="s">
        <v>19864</v>
      </c>
      <c r="N4330" t="s">
        <v>19864</v>
      </c>
      <c r="T4330" t="s">
        <v>19865</v>
      </c>
      <c r="U4330" t="s">
        <v>19866</v>
      </c>
      <c r="V4330" t="s">
        <v>19867</v>
      </c>
      <c r="W4330" t="s">
        <v>4846</v>
      </c>
      <c r="X4330" t="s">
        <v>19868</v>
      </c>
      <c r="Y4330">
        <v>1</v>
      </c>
      <c r="Z4330">
        <v>443.04166666666669</v>
      </c>
    </row>
    <row r="4331" spans="1:26">
      <c r="A4331" s="1">
        <v>4329</v>
      </c>
      <c r="B4331" t="str">
        <f>HYPERLINK("https://bugs.eclipse.org/bugs/show_bug.cgi?id=393444", "393444")</f>
        <v>393444</v>
      </c>
      <c r="C4331" t="s">
        <v>191</v>
      </c>
      <c r="D4331" t="s">
        <v>192</v>
      </c>
      <c r="E4331" t="s">
        <v>14</v>
      </c>
      <c r="F4331" t="s">
        <v>26</v>
      </c>
      <c r="P4331" t="s">
        <v>19869</v>
      </c>
      <c r="T4331" t="s">
        <v>19870</v>
      </c>
      <c r="U4331" t="s">
        <v>19871</v>
      </c>
      <c r="V4331" t="s">
        <v>19869</v>
      </c>
      <c r="W4331" t="s">
        <v>65</v>
      </c>
      <c r="X4331" t="s">
        <v>19872</v>
      </c>
      <c r="Y4331">
        <v>42.041666666666657</v>
      </c>
      <c r="Z4331">
        <v>2697</v>
      </c>
    </row>
    <row r="4332" spans="1:26">
      <c r="A4332" s="1">
        <v>4330</v>
      </c>
      <c r="B4332" t="str">
        <f>HYPERLINK("https://bugs.eclipse.org/bugs/show_bug.cgi?id=393516", "393516")</f>
        <v>393516</v>
      </c>
      <c r="C4332" t="s">
        <v>25</v>
      </c>
      <c r="D4332" t="s">
        <v>25</v>
      </c>
      <c r="F4332" t="s">
        <v>26</v>
      </c>
      <c r="T4332" t="s">
        <v>19873</v>
      </c>
      <c r="U4332" t="s">
        <v>19874</v>
      </c>
      <c r="V4332" t="s">
        <v>19875</v>
      </c>
      <c r="W4332" t="s">
        <v>65</v>
      </c>
      <c r="X4332" t="s">
        <v>19876</v>
      </c>
      <c r="Y4332">
        <v>43.041666666666657</v>
      </c>
    </row>
    <row r="4333" spans="1:26">
      <c r="A4333" s="1">
        <v>4331</v>
      </c>
      <c r="B4333" t="str">
        <f>HYPERLINK("https://bugs.eclipse.org/bugs/show_bug.cgi?id=393609", "393609")</f>
        <v>393609</v>
      </c>
      <c r="C4333" t="s">
        <v>19877</v>
      </c>
      <c r="D4333" t="s">
        <v>192</v>
      </c>
      <c r="E4333" t="s">
        <v>15</v>
      </c>
      <c r="F4333" t="s">
        <v>26</v>
      </c>
      <c r="Q4333" t="s">
        <v>19878</v>
      </c>
      <c r="T4333" t="s">
        <v>19879</v>
      </c>
      <c r="U4333" t="s">
        <v>19880</v>
      </c>
      <c r="V4333" t="s">
        <v>19878</v>
      </c>
      <c r="W4333" t="s">
        <v>9181</v>
      </c>
      <c r="X4333" t="s">
        <v>19881</v>
      </c>
      <c r="Y4333">
        <v>37</v>
      </c>
      <c r="Z4333">
        <v>84</v>
      </c>
    </row>
    <row r="4334" spans="1:26">
      <c r="A4334" s="1">
        <v>4332</v>
      </c>
      <c r="B4334" t="str">
        <f>HYPERLINK("https://bugs.eclipse.org/bugs/show_bug.cgi?id=393715", "393715")</f>
        <v>393715</v>
      </c>
      <c r="C4334" t="s">
        <v>191</v>
      </c>
      <c r="D4334" t="s">
        <v>192</v>
      </c>
      <c r="E4334" t="s">
        <v>14</v>
      </c>
      <c r="F4334" t="s">
        <v>26</v>
      </c>
      <c r="P4334" t="s">
        <v>19882</v>
      </c>
      <c r="T4334" t="s">
        <v>19883</v>
      </c>
      <c r="U4334" t="s">
        <v>19884</v>
      </c>
      <c r="V4334" t="s">
        <v>19882</v>
      </c>
      <c r="W4334" t="s">
        <v>65</v>
      </c>
      <c r="X4334" t="s">
        <v>19885</v>
      </c>
      <c r="Y4334">
        <v>41</v>
      </c>
      <c r="Z4334">
        <v>2636</v>
      </c>
    </row>
    <row r="4335" spans="1:26">
      <c r="A4335" s="1">
        <v>4333</v>
      </c>
      <c r="B4335" t="str">
        <f>HYPERLINK("https://bugs.eclipse.org/bugs/show_bug.cgi?id=393734", "393734")</f>
        <v>393734</v>
      </c>
      <c r="C4335" t="s">
        <v>25</v>
      </c>
      <c r="D4335" t="s">
        <v>25</v>
      </c>
      <c r="F4335" t="s">
        <v>26</v>
      </c>
      <c r="T4335" t="s">
        <v>19886</v>
      </c>
      <c r="U4335" t="s">
        <v>19887</v>
      </c>
      <c r="V4335" t="s">
        <v>19888</v>
      </c>
      <c r="W4335" t="s">
        <v>65</v>
      </c>
      <c r="X4335" t="s">
        <v>19889</v>
      </c>
      <c r="Y4335">
        <v>3</v>
      </c>
    </row>
    <row r="4336" spans="1:26">
      <c r="A4336" s="1">
        <v>4334</v>
      </c>
      <c r="B4336" t="str">
        <f>HYPERLINK("https://bugs.eclipse.org/bugs/show_bug.cgi?id=393829", "393829")</f>
        <v>393829</v>
      </c>
      <c r="C4336" t="s">
        <v>149</v>
      </c>
      <c r="D4336" t="s">
        <v>10</v>
      </c>
      <c r="E4336" t="s">
        <v>12</v>
      </c>
      <c r="F4336" t="s">
        <v>26</v>
      </c>
      <c r="L4336" t="s">
        <v>19890</v>
      </c>
      <c r="N4336" t="s">
        <v>19890</v>
      </c>
      <c r="T4336" t="s">
        <v>19891</v>
      </c>
      <c r="U4336" t="s">
        <v>19890</v>
      </c>
      <c r="V4336" t="s">
        <v>19890</v>
      </c>
      <c r="W4336" t="s">
        <v>851</v>
      </c>
      <c r="X4336" t="s">
        <v>19892</v>
      </c>
      <c r="Y4336">
        <v>2</v>
      </c>
      <c r="Z4336">
        <v>2</v>
      </c>
    </row>
    <row r="4337" spans="1:26">
      <c r="A4337" s="1">
        <v>4335</v>
      </c>
      <c r="B4337" t="str">
        <f>HYPERLINK("https://bugs.eclipse.org/bugs/show_bug.cgi?id=393932", "393932")</f>
        <v>393932</v>
      </c>
      <c r="C4337" t="s">
        <v>149</v>
      </c>
      <c r="D4337" t="s">
        <v>10</v>
      </c>
      <c r="E4337" t="s">
        <v>12</v>
      </c>
      <c r="F4337" t="s">
        <v>26</v>
      </c>
      <c r="L4337" t="s">
        <v>19893</v>
      </c>
      <c r="N4337" t="s">
        <v>19893</v>
      </c>
      <c r="T4337" t="s">
        <v>19894</v>
      </c>
      <c r="U4337" t="s">
        <v>19893</v>
      </c>
      <c r="V4337" t="s">
        <v>19893</v>
      </c>
      <c r="W4337" t="s">
        <v>851</v>
      </c>
      <c r="X4337" t="s">
        <v>19895</v>
      </c>
      <c r="Y4337">
        <v>1</v>
      </c>
      <c r="Z4337">
        <v>1</v>
      </c>
    </row>
    <row r="4338" spans="1:26">
      <c r="A4338" s="1">
        <v>4336</v>
      </c>
      <c r="B4338" t="str">
        <f>HYPERLINK("https://bugs.eclipse.org/bugs/show_bug.cgi?id=394030", "394030")</f>
        <v>394030</v>
      </c>
      <c r="C4338" t="s">
        <v>149</v>
      </c>
      <c r="D4338" t="s">
        <v>10</v>
      </c>
      <c r="E4338" t="s">
        <v>12</v>
      </c>
      <c r="F4338" t="s">
        <v>26</v>
      </c>
      <c r="L4338" t="s">
        <v>19896</v>
      </c>
      <c r="N4338" t="s">
        <v>19896</v>
      </c>
      <c r="T4338" t="s">
        <v>19897</v>
      </c>
      <c r="U4338" t="s">
        <v>19898</v>
      </c>
      <c r="V4338" t="s">
        <v>19899</v>
      </c>
      <c r="W4338" t="s">
        <v>851</v>
      </c>
      <c r="X4338" t="s">
        <v>19900</v>
      </c>
      <c r="Y4338">
        <v>37</v>
      </c>
      <c r="Z4338">
        <v>346.95833333333331</v>
      </c>
    </row>
    <row r="4339" spans="1:26">
      <c r="A4339" s="1">
        <v>4337</v>
      </c>
      <c r="B4339" t="str">
        <f>HYPERLINK("https://bugs.eclipse.org/bugs/show_bug.cgi?id=394031", "394031")</f>
        <v>394031</v>
      </c>
      <c r="C4339" t="s">
        <v>191</v>
      </c>
      <c r="D4339" t="s">
        <v>192</v>
      </c>
      <c r="E4339" t="s">
        <v>14</v>
      </c>
      <c r="F4339" t="s">
        <v>26</v>
      </c>
      <c r="T4339" t="s">
        <v>19901</v>
      </c>
      <c r="U4339" t="s">
        <v>19902</v>
      </c>
      <c r="V4339" t="s">
        <v>19903</v>
      </c>
      <c r="W4339" t="s">
        <v>5069</v>
      </c>
      <c r="X4339" t="s">
        <v>19904</v>
      </c>
      <c r="Y4339">
        <v>34</v>
      </c>
      <c r="Z4339">
        <v>2614</v>
      </c>
    </row>
    <row r="4340" spans="1:26">
      <c r="A4340" s="1">
        <v>4338</v>
      </c>
      <c r="B4340" t="str">
        <f>HYPERLINK("https://bugs.eclipse.org/bugs/show_bug.cgi?id=394032", "394032")</f>
        <v>394032</v>
      </c>
      <c r="C4340" t="s">
        <v>191</v>
      </c>
      <c r="D4340" t="s">
        <v>192</v>
      </c>
      <c r="E4340" t="s">
        <v>14</v>
      </c>
      <c r="F4340" t="s">
        <v>26</v>
      </c>
      <c r="T4340" t="s">
        <v>19905</v>
      </c>
      <c r="U4340" t="s">
        <v>19906</v>
      </c>
      <c r="V4340" t="s">
        <v>19907</v>
      </c>
      <c r="W4340" t="s">
        <v>65</v>
      </c>
      <c r="X4340" t="s">
        <v>19908</v>
      </c>
      <c r="Y4340">
        <v>0</v>
      </c>
      <c r="Z4340">
        <v>2428.958333333333</v>
      </c>
    </row>
    <row r="4341" spans="1:26">
      <c r="A4341" s="1">
        <v>4339</v>
      </c>
      <c r="B4341" t="str">
        <f>HYPERLINK("https://bugs.eclipse.org/bugs/show_bug.cgi?id=394038", "394038")</f>
        <v>394038</v>
      </c>
      <c r="C4341" t="s">
        <v>191</v>
      </c>
      <c r="D4341" t="s">
        <v>192</v>
      </c>
      <c r="E4341" t="s">
        <v>14</v>
      </c>
      <c r="F4341" t="s">
        <v>26</v>
      </c>
      <c r="P4341" t="s">
        <v>19909</v>
      </c>
      <c r="T4341" t="s">
        <v>19910</v>
      </c>
      <c r="U4341" t="s">
        <v>19911</v>
      </c>
      <c r="V4341" t="s">
        <v>19909</v>
      </c>
      <c r="W4341" t="s">
        <v>65</v>
      </c>
      <c r="X4341" t="s">
        <v>19912</v>
      </c>
      <c r="Y4341">
        <v>34</v>
      </c>
      <c r="Z4341">
        <v>2679.958333333333</v>
      </c>
    </row>
    <row r="4342" spans="1:26">
      <c r="A4342" s="1">
        <v>4340</v>
      </c>
      <c r="B4342" t="str">
        <f>HYPERLINK("https://bugs.eclipse.org/bugs/show_bug.cgi?id=394039", "394039")</f>
        <v>394039</v>
      </c>
      <c r="C4342" t="s">
        <v>149</v>
      </c>
      <c r="D4342" t="s">
        <v>10</v>
      </c>
      <c r="E4342" t="s">
        <v>12</v>
      </c>
      <c r="F4342" t="s">
        <v>26</v>
      </c>
      <c r="L4342" t="s">
        <v>19913</v>
      </c>
      <c r="N4342" t="s">
        <v>19913</v>
      </c>
      <c r="T4342" t="s">
        <v>19914</v>
      </c>
      <c r="U4342" t="s">
        <v>19915</v>
      </c>
      <c r="V4342" t="s">
        <v>19913</v>
      </c>
      <c r="W4342" t="s">
        <v>143</v>
      </c>
      <c r="X4342" t="s">
        <v>19916</v>
      </c>
      <c r="Y4342">
        <v>34</v>
      </c>
      <c r="Z4342">
        <v>34</v>
      </c>
    </row>
    <row r="4343" spans="1:26">
      <c r="A4343" s="1">
        <v>4341</v>
      </c>
      <c r="B4343" t="str">
        <f>HYPERLINK("https://bugs.eclipse.org/bugs/show_bug.cgi?id=394040", "394040")</f>
        <v>394040</v>
      </c>
      <c r="C4343" t="s">
        <v>191</v>
      </c>
      <c r="D4343" t="s">
        <v>192</v>
      </c>
      <c r="E4343" t="s">
        <v>14</v>
      </c>
      <c r="F4343" t="s">
        <v>26</v>
      </c>
      <c r="T4343" t="s">
        <v>19917</v>
      </c>
      <c r="U4343" t="s">
        <v>19918</v>
      </c>
      <c r="V4343" t="s">
        <v>19919</v>
      </c>
      <c r="W4343" t="s">
        <v>65</v>
      </c>
      <c r="X4343" t="s">
        <v>19920</v>
      </c>
      <c r="Y4343">
        <v>34</v>
      </c>
      <c r="Z4343">
        <v>2577</v>
      </c>
    </row>
    <row r="4344" spans="1:26">
      <c r="A4344" s="1">
        <v>4342</v>
      </c>
      <c r="B4344" t="str">
        <f>HYPERLINK("https://bugs.eclipse.org/bugs/show_bug.cgi?id=394530", "394530")</f>
        <v>394530</v>
      </c>
      <c r="C4344" t="s">
        <v>149</v>
      </c>
      <c r="D4344" t="s">
        <v>10</v>
      </c>
      <c r="E4344" t="s">
        <v>12</v>
      </c>
      <c r="F4344" t="s">
        <v>26</v>
      </c>
      <c r="L4344" t="s">
        <v>19921</v>
      </c>
      <c r="N4344" t="s">
        <v>19921</v>
      </c>
      <c r="T4344" t="s">
        <v>19922</v>
      </c>
      <c r="U4344" t="s">
        <v>19923</v>
      </c>
      <c r="V4344" t="s">
        <v>19921</v>
      </c>
      <c r="W4344" t="s">
        <v>143</v>
      </c>
      <c r="X4344" t="s">
        <v>19924</v>
      </c>
      <c r="Y4344">
        <v>26</v>
      </c>
      <c r="Z4344">
        <v>95</v>
      </c>
    </row>
    <row r="4345" spans="1:26">
      <c r="A4345" s="1">
        <v>4343</v>
      </c>
      <c r="B4345" t="str">
        <f>HYPERLINK("https://bugs.eclipse.org/bugs/show_bug.cgi?id=394531", "394531")</f>
        <v>394531</v>
      </c>
      <c r="C4345" t="s">
        <v>191</v>
      </c>
      <c r="D4345" t="s">
        <v>192</v>
      </c>
      <c r="E4345" t="s">
        <v>14</v>
      </c>
      <c r="F4345" t="s">
        <v>26</v>
      </c>
      <c r="P4345" t="s">
        <v>19925</v>
      </c>
      <c r="T4345" t="s">
        <v>19926</v>
      </c>
      <c r="U4345" t="s">
        <v>19927</v>
      </c>
      <c r="V4345" t="s">
        <v>19925</v>
      </c>
      <c r="W4345" t="s">
        <v>65</v>
      </c>
      <c r="X4345" t="s">
        <v>19928</v>
      </c>
      <c r="Y4345">
        <v>24</v>
      </c>
      <c r="Z4345">
        <v>2640</v>
      </c>
    </row>
    <row r="4346" spans="1:26">
      <c r="A4346" s="1">
        <v>4344</v>
      </c>
      <c r="B4346" t="str">
        <f>HYPERLINK("https://bugs.eclipse.org/bugs/show_bug.cgi?id=394547", "394547")</f>
        <v>394547</v>
      </c>
      <c r="C4346" t="s">
        <v>149</v>
      </c>
      <c r="D4346" t="s">
        <v>10</v>
      </c>
      <c r="E4346" t="s">
        <v>12</v>
      </c>
      <c r="F4346" t="s">
        <v>26</v>
      </c>
      <c r="L4346" t="s">
        <v>19929</v>
      </c>
      <c r="N4346" t="s">
        <v>19929</v>
      </c>
      <c r="T4346" t="s">
        <v>19930</v>
      </c>
      <c r="U4346" t="s">
        <v>19931</v>
      </c>
      <c r="V4346" t="s">
        <v>19929</v>
      </c>
      <c r="W4346" t="s">
        <v>4846</v>
      </c>
      <c r="X4346" t="s">
        <v>19932</v>
      </c>
      <c r="Y4346">
        <v>29</v>
      </c>
      <c r="Z4346">
        <v>266.95833333333331</v>
      </c>
    </row>
    <row r="4347" spans="1:26">
      <c r="A4347" s="1">
        <v>4345</v>
      </c>
      <c r="B4347" t="str">
        <f>HYPERLINK("https://bugs.eclipse.org/bugs/show_bug.cgi?id=394548", "394548")</f>
        <v>394548</v>
      </c>
      <c r="C4347" t="s">
        <v>149</v>
      </c>
      <c r="D4347" t="s">
        <v>10</v>
      </c>
      <c r="E4347" t="s">
        <v>12</v>
      </c>
      <c r="F4347" t="s">
        <v>26</v>
      </c>
      <c r="L4347" t="s">
        <v>19933</v>
      </c>
      <c r="N4347" t="s">
        <v>19933</v>
      </c>
      <c r="T4347" t="s">
        <v>19934</v>
      </c>
      <c r="U4347" t="s">
        <v>19935</v>
      </c>
      <c r="V4347" t="s">
        <v>19936</v>
      </c>
      <c r="W4347" t="s">
        <v>9181</v>
      </c>
      <c r="X4347" t="s">
        <v>19937</v>
      </c>
      <c r="Y4347">
        <v>29</v>
      </c>
      <c r="Z4347">
        <v>339.95833333333331</v>
      </c>
    </row>
    <row r="4348" spans="1:26">
      <c r="A4348" s="1">
        <v>4346</v>
      </c>
      <c r="B4348" t="str">
        <f>HYPERLINK("https://bugs.eclipse.org/bugs/show_bug.cgi?id=394549", "394549")</f>
        <v>394549</v>
      </c>
      <c r="C4348" t="s">
        <v>191</v>
      </c>
      <c r="D4348" t="s">
        <v>192</v>
      </c>
      <c r="E4348" t="s">
        <v>14</v>
      </c>
      <c r="F4348" t="s">
        <v>26</v>
      </c>
      <c r="T4348" t="s">
        <v>19938</v>
      </c>
      <c r="U4348" t="s">
        <v>19939</v>
      </c>
      <c r="V4348" t="s">
        <v>19940</v>
      </c>
      <c r="W4348" t="s">
        <v>65</v>
      </c>
      <c r="X4348" t="s">
        <v>19941</v>
      </c>
      <c r="Y4348">
        <v>26</v>
      </c>
      <c r="Z4348">
        <v>2143.958333333333</v>
      </c>
    </row>
    <row r="4349" spans="1:26">
      <c r="A4349" s="1">
        <v>4347</v>
      </c>
      <c r="B4349" t="str">
        <f>HYPERLINK("https://bugs.eclipse.org/bugs/show_bug.cgi?id=394551", "394551")</f>
        <v>394551</v>
      </c>
      <c r="C4349" t="s">
        <v>19942</v>
      </c>
      <c r="D4349" t="s">
        <v>192</v>
      </c>
      <c r="E4349" t="s">
        <v>15</v>
      </c>
      <c r="F4349" t="s">
        <v>26</v>
      </c>
      <c r="Q4349" t="s">
        <v>19943</v>
      </c>
      <c r="T4349" t="s">
        <v>19944</v>
      </c>
      <c r="U4349" t="s">
        <v>19945</v>
      </c>
      <c r="V4349" t="s">
        <v>19943</v>
      </c>
      <c r="W4349" t="s">
        <v>9181</v>
      </c>
      <c r="X4349" t="s">
        <v>19946</v>
      </c>
      <c r="Y4349">
        <v>26</v>
      </c>
      <c r="Z4349">
        <v>545.95833333333337</v>
      </c>
    </row>
    <row r="4350" spans="1:26">
      <c r="A4350" s="1">
        <v>4348</v>
      </c>
      <c r="B4350" t="str">
        <f>HYPERLINK("https://bugs.eclipse.org/bugs/show_bug.cgi?id=394578", "394578")</f>
        <v>394578</v>
      </c>
      <c r="C4350" t="s">
        <v>19947</v>
      </c>
      <c r="D4350" t="s">
        <v>192</v>
      </c>
      <c r="E4350" t="s">
        <v>15</v>
      </c>
      <c r="F4350" t="s">
        <v>26</v>
      </c>
      <c r="Q4350" t="s">
        <v>19948</v>
      </c>
      <c r="T4350" t="s">
        <v>19949</v>
      </c>
      <c r="U4350" t="s">
        <v>19950</v>
      </c>
      <c r="V4350" t="s">
        <v>19948</v>
      </c>
      <c r="W4350" t="s">
        <v>851</v>
      </c>
      <c r="X4350" t="s">
        <v>19951</v>
      </c>
      <c r="Y4350">
        <v>0</v>
      </c>
      <c r="Z4350">
        <v>7</v>
      </c>
    </row>
    <row r="4351" spans="1:26">
      <c r="A4351" s="1">
        <v>4349</v>
      </c>
      <c r="B4351" t="str">
        <f>HYPERLINK("https://bugs.eclipse.org/bugs/show_bug.cgi?id=394721", "394721")</f>
        <v>394721</v>
      </c>
      <c r="C4351" t="s">
        <v>149</v>
      </c>
      <c r="D4351" t="s">
        <v>10</v>
      </c>
      <c r="E4351" t="s">
        <v>12</v>
      </c>
      <c r="F4351" t="s">
        <v>26</v>
      </c>
      <c r="L4351" t="s">
        <v>19952</v>
      </c>
      <c r="N4351" t="s">
        <v>19952</v>
      </c>
      <c r="T4351" t="s">
        <v>19953</v>
      </c>
      <c r="U4351" t="s">
        <v>19954</v>
      </c>
      <c r="V4351" t="s">
        <v>19952</v>
      </c>
      <c r="W4351" t="s">
        <v>4846</v>
      </c>
      <c r="X4351" t="s">
        <v>19955</v>
      </c>
      <c r="Y4351">
        <v>15</v>
      </c>
      <c r="Z4351">
        <v>859.95833333333337</v>
      </c>
    </row>
    <row r="4352" spans="1:26">
      <c r="A4352" s="1">
        <v>4350</v>
      </c>
      <c r="B4352" t="str">
        <f>HYPERLINK("https://bugs.eclipse.org/bugs/show_bug.cgi?id=394723", "394723")</f>
        <v>394723</v>
      </c>
      <c r="C4352" t="s">
        <v>191</v>
      </c>
      <c r="D4352" t="s">
        <v>192</v>
      </c>
      <c r="E4352" t="s">
        <v>14</v>
      </c>
      <c r="F4352" t="s">
        <v>26</v>
      </c>
      <c r="G4352" t="s">
        <v>19956</v>
      </c>
      <c r="T4352" t="s">
        <v>19957</v>
      </c>
      <c r="U4352" t="s">
        <v>18152</v>
      </c>
      <c r="V4352" t="s">
        <v>19958</v>
      </c>
      <c r="W4352" t="s">
        <v>65</v>
      </c>
      <c r="X4352" t="s">
        <v>19959</v>
      </c>
      <c r="Y4352">
        <v>1</v>
      </c>
      <c r="Z4352">
        <v>2486.958333333333</v>
      </c>
    </row>
    <row r="4353" spans="1:26">
      <c r="A4353" s="1">
        <v>4351</v>
      </c>
      <c r="B4353" t="str">
        <f>HYPERLINK("https://bugs.eclipse.org/bugs/show_bug.cgi?id=394724", "394724")</f>
        <v>394724</v>
      </c>
      <c r="C4353" t="s">
        <v>191</v>
      </c>
      <c r="D4353" t="s">
        <v>192</v>
      </c>
      <c r="E4353" t="s">
        <v>14</v>
      </c>
      <c r="F4353" t="s">
        <v>26</v>
      </c>
      <c r="T4353" t="s">
        <v>19960</v>
      </c>
      <c r="U4353" t="s">
        <v>19961</v>
      </c>
      <c r="V4353" t="s">
        <v>19962</v>
      </c>
      <c r="W4353" t="s">
        <v>65</v>
      </c>
      <c r="X4353" t="s">
        <v>19963</v>
      </c>
      <c r="Y4353">
        <v>27</v>
      </c>
      <c r="Z4353">
        <v>2544</v>
      </c>
    </row>
    <row r="4354" spans="1:26">
      <c r="A4354" s="1">
        <v>4352</v>
      </c>
      <c r="B4354" t="str">
        <f>HYPERLINK("https://bugs.eclipse.org/bugs/show_bug.cgi?id=394725", "394725")</f>
        <v>394725</v>
      </c>
      <c r="C4354" t="s">
        <v>25</v>
      </c>
      <c r="D4354" t="s">
        <v>25</v>
      </c>
      <c r="F4354" t="s">
        <v>26</v>
      </c>
      <c r="T4354" t="s">
        <v>19964</v>
      </c>
      <c r="U4354" t="s">
        <v>19965</v>
      </c>
      <c r="V4354" t="s">
        <v>19966</v>
      </c>
      <c r="W4354" t="s">
        <v>143</v>
      </c>
      <c r="X4354" t="s">
        <v>19967</v>
      </c>
      <c r="Y4354">
        <v>27</v>
      </c>
    </row>
    <row r="4355" spans="1:26">
      <c r="A4355" s="1">
        <v>4353</v>
      </c>
      <c r="B4355" t="str">
        <f>HYPERLINK("https://bugs.eclipse.org/bugs/show_bug.cgi?id=394726", "394726")</f>
        <v>394726</v>
      </c>
      <c r="C4355" t="s">
        <v>149</v>
      </c>
      <c r="D4355" t="s">
        <v>10</v>
      </c>
      <c r="E4355" t="s">
        <v>12</v>
      </c>
      <c r="F4355" t="s">
        <v>26</v>
      </c>
      <c r="L4355" t="s">
        <v>19968</v>
      </c>
      <c r="M4355" t="s">
        <v>19969</v>
      </c>
      <c r="N4355" t="s">
        <v>19968</v>
      </c>
      <c r="S4355" t="s">
        <v>19970</v>
      </c>
      <c r="T4355" t="s">
        <v>19971</v>
      </c>
      <c r="U4355" t="s">
        <v>19972</v>
      </c>
      <c r="V4355" t="s">
        <v>19968</v>
      </c>
      <c r="W4355" t="s">
        <v>9266</v>
      </c>
      <c r="X4355" t="s">
        <v>19973</v>
      </c>
      <c r="Y4355">
        <v>24</v>
      </c>
      <c r="Z4355">
        <v>2470.958333333333</v>
      </c>
    </row>
    <row r="4356" spans="1:26">
      <c r="A4356" s="1">
        <v>4354</v>
      </c>
      <c r="B4356" t="str">
        <f>HYPERLINK("https://bugs.eclipse.org/bugs/show_bug.cgi?id=394728", "394728")</f>
        <v>394728</v>
      </c>
      <c r="C4356" t="s">
        <v>35</v>
      </c>
      <c r="D4356" t="s">
        <v>11</v>
      </c>
      <c r="E4356" t="s">
        <v>12</v>
      </c>
      <c r="F4356" t="s">
        <v>26</v>
      </c>
      <c r="L4356" t="s">
        <v>19974</v>
      </c>
      <c r="M4356" t="s">
        <v>19975</v>
      </c>
      <c r="N4356" t="s">
        <v>19974</v>
      </c>
      <c r="T4356" t="s">
        <v>19976</v>
      </c>
      <c r="U4356" t="s">
        <v>19977</v>
      </c>
      <c r="V4356" t="s">
        <v>19975</v>
      </c>
      <c r="W4356" t="s">
        <v>9266</v>
      </c>
      <c r="X4356" t="s">
        <v>19978</v>
      </c>
      <c r="Y4356">
        <v>27</v>
      </c>
      <c r="Z4356">
        <v>2828.958333333333</v>
      </c>
    </row>
    <row r="4357" spans="1:26">
      <c r="A4357" s="1">
        <v>4355</v>
      </c>
      <c r="B4357" t="str">
        <f>HYPERLINK("https://bugs.eclipse.org/bugs/show_bug.cgi?id=394950", "394950")</f>
        <v>394950</v>
      </c>
      <c r="C4357" t="s">
        <v>149</v>
      </c>
      <c r="D4357" t="s">
        <v>10</v>
      </c>
      <c r="E4357" t="s">
        <v>12</v>
      </c>
      <c r="F4357" t="s">
        <v>26</v>
      </c>
      <c r="L4357" t="s">
        <v>19979</v>
      </c>
      <c r="N4357" t="s">
        <v>19979</v>
      </c>
      <c r="T4357" t="s">
        <v>19980</v>
      </c>
      <c r="U4357" t="s">
        <v>19981</v>
      </c>
      <c r="V4357" t="s">
        <v>19979</v>
      </c>
      <c r="W4357" t="s">
        <v>851</v>
      </c>
      <c r="X4357" t="s">
        <v>19982</v>
      </c>
      <c r="Y4357">
        <v>1</v>
      </c>
      <c r="Z4357">
        <v>1</v>
      </c>
    </row>
    <row r="4358" spans="1:26">
      <c r="A4358" s="1">
        <v>4356</v>
      </c>
      <c r="B4358" t="str">
        <f>HYPERLINK("https://bugs.eclipse.org/bugs/show_bug.cgi?id=395016", "395016")</f>
        <v>395016</v>
      </c>
      <c r="C4358" t="s">
        <v>149</v>
      </c>
      <c r="D4358" t="s">
        <v>10</v>
      </c>
      <c r="E4358" t="s">
        <v>12</v>
      </c>
      <c r="F4358" t="s">
        <v>26</v>
      </c>
      <c r="L4358" t="s">
        <v>19983</v>
      </c>
      <c r="N4358" t="s">
        <v>19983</v>
      </c>
      <c r="S4358" t="s">
        <v>19984</v>
      </c>
      <c r="T4358" t="s">
        <v>19985</v>
      </c>
      <c r="U4358" t="s">
        <v>19986</v>
      </c>
      <c r="V4358" t="s">
        <v>19983</v>
      </c>
      <c r="W4358" t="s">
        <v>851</v>
      </c>
      <c r="X4358" t="s">
        <v>19987</v>
      </c>
      <c r="Y4358">
        <v>52</v>
      </c>
      <c r="Z4358">
        <v>361</v>
      </c>
    </row>
    <row r="4359" spans="1:26">
      <c r="A4359" s="1">
        <v>4357</v>
      </c>
      <c r="B4359" t="str">
        <f>HYPERLINK("https://bugs.eclipse.org/bugs/show_bug.cgi?id=395020", "395020")</f>
        <v>395020</v>
      </c>
      <c r="C4359" t="s">
        <v>25</v>
      </c>
      <c r="D4359" t="s">
        <v>25</v>
      </c>
      <c r="F4359" t="s">
        <v>26</v>
      </c>
      <c r="T4359" t="s">
        <v>19988</v>
      </c>
      <c r="U4359" t="s">
        <v>19989</v>
      </c>
      <c r="V4359" t="s">
        <v>19990</v>
      </c>
      <c r="W4359" t="s">
        <v>143</v>
      </c>
      <c r="X4359" t="s">
        <v>19991</v>
      </c>
      <c r="Y4359">
        <v>59</v>
      </c>
    </row>
    <row r="4360" spans="1:26">
      <c r="A4360" s="1">
        <v>4358</v>
      </c>
      <c r="B4360" t="str">
        <f>HYPERLINK("https://bugs.eclipse.org/bugs/show_bug.cgi?id=395021", "395021")</f>
        <v>395021</v>
      </c>
      <c r="C4360" t="s">
        <v>191</v>
      </c>
      <c r="D4360" t="s">
        <v>192</v>
      </c>
      <c r="E4360" t="s">
        <v>14</v>
      </c>
      <c r="F4360" t="s">
        <v>26</v>
      </c>
      <c r="P4360" t="s">
        <v>19992</v>
      </c>
      <c r="T4360" t="s">
        <v>19993</v>
      </c>
      <c r="U4360" t="s">
        <v>19994</v>
      </c>
      <c r="V4360" t="s">
        <v>19992</v>
      </c>
      <c r="W4360" t="s">
        <v>65</v>
      </c>
      <c r="X4360" t="s">
        <v>19995</v>
      </c>
      <c r="Y4360">
        <v>52</v>
      </c>
      <c r="Z4360">
        <v>2615</v>
      </c>
    </row>
    <row r="4361" spans="1:26">
      <c r="A4361" s="1">
        <v>4359</v>
      </c>
      <c r="B4361" t="str">
        <f>HYPERLINK("https://bugs.eclipse.org/bugs/show_bug.cgi?id=395034", "395034")</f>
        <v>395034</v>
      </c>
      <c r="C4361" t="s">
        <v>25</v>
      </c>
      <c r="D4361" t="s">
        <v>25</v>
      </c>
      <c r="F4361" t="s">
        <v>26</v>
      </c>
      <c r="T4361" t="s">
        <v>19996</v>
      </c>
      <c r="U4361" t="s">
        <v>19997</v>
      </c>
      <c r="V4361" t="s">
        <v>19998</v>
      </c>
      <c r="W4361" t="s">
        <v>65</v>
      </c>
      <c r="X4361" t="s">
        <v>19999</v>
      </c>
      <c r="Y4361">
        <v>60</v>
      </c>
    </row>
    <row r="4362" spans="1:26">
      <c r="A4362" s="1">
        <v>4360</v>
      </c>
      <c r="B4362" t="str">
        <f>HYPERLINK("https://bugs.eclipse.org/bugs/show_bug.cgi?id=395035", "395035")</f>
        <v>395035</v>
      </c>
      <c r="C4362" t="s">
        <v>25</v>
      </c>
      <c r="D4362" t="s">
        <v>25</v>
      </c>
      <c r="F4362" t="s">
        <v>26</v>
      </c>
      <c r="T4362" t="s">
        <v>20000</v>
      </c>
      <c r="U4362" t="s">
        <v>20001</v>
      </c>
      <c r="V4362" t="s">
        <v>20002</v>
      </c>
      <c r="W4362" t="s">
        <v>143</v>
      </c>
      <c r="X4362" t="s">
        <v>20003</v>
      </c>
      <c r="Y4362">
        <v>60</v>
      </c>
    </row>
    <row r="4363" spans="1:26">
      <c r="A4363" s="1">
        <v>4361</v>
      </c>
      <c r="B4363" t="str">
        <f>HYPERLINK("https://bugs.eclipse.org/bugs/show_bug.cgi?id=395036", "395036")</f>
        <v>395036</v>
      </c>
      <c r="C4363" t="s">
        <v>191</v>
      </c>
      <c r="D4363" t="s">
        <v>192</v>
      </c>
      <c r="E4363" t="s">
        <v>14</v>
      </c>
      <c r="F4363" t="s">
        <v>26</v>
      </c>
      <c r="T4363" t="s">
        <v>20004</v>
      </c>
      <c r="U4363" t="s">
        <v>20005</v>
      </c>
      <c r="V4363" t="s">
        <v>20006</v>
      </c>
      <c r="W4363" t="s">
        <v>65</v>
      </c>
      <c r="X4363" t="s">
        <v>20007</v>
      </c>
      <c r="Y4363">
        <v>61</v>
      </c>
      <c r="Z4363">
        <v>2595</v>
      </c>
    </row>
    <row r="4364" spans="1:26">
      <c r="A4364" s="1">
        <v>4362</v>
      </c>
      <c r="B4364" t="str">
        <f>HYPERLINK("https://bugs.eclipse.org/bugs/show_bug.cgi?id=395037", "395037")</f>
        <v>395037</v>
      </c>
      <c r="C4364" t="s">
        <v>191</v>
      </c>
      <c r="D4364" t="s">
        <v>192</v>
      </c>
      <c r="E4364" t="s">
        <v>14</v>
      </c>
      <c r="F4364" t="s">
        <v>26</v>
      </c>
      <c r="P4364" t="s">
        <v>20008</v>
      </c>
      <c r="T4364" t="s">
        <v>20009</v>
      </c>
      <c r="U4364" t="s">
        <v>20010</v>
      </c>
      <c r="V4364" t="s">
        <v>20008</v>
      </c>
      <c r="W4364" t="s">
        <v>65</v>
      </c>
      <c r="X4364" t="s">
        <v>20011</v>
      </c>
      <c r="Y4364">
        <v>52</v>
      </c>
      <c r="Z4364">
        <v>2611</v>
      </c>
    </row>
    <row r="4365" spans="1:26">
      <c r="A4365" s="1">
        <v>4363</v>
      </c>
      <c r="B4365" t="str">
        <f>HYPERLINK("https://bugs.eclipse.org/bugs/show_bug.cgi?id=395038", "395038")</f>
        <v>395038</v>
      </c>
      <c r="C4365" t="s">
        <v>191</v>
      </c>
      <c r="D4365" t="s">
        <v>192</v>
      </c>
      <c r="E4365" t="s">
        <v>14</v>
      </c>
      <c r="F4365" t="s">
        <v>26</v>
      </c>
      <c r="T4365" t="s">
        <v>20012</v>
      </c>
      <c r="U4365" t="s">
        <v>20013</v>
      </c>
      <c r="V4365" t="s">
        <v>20014</v>
      </c>
      <c r="W4365" t="s">
        <v>65</v>
      </c>
      <c r="X4365" t="s">
        <v>20015</v>
      </c>
      <c r="Y4365">
        <v>18</v>
      </c>
      <c r="Z4365">
        <v>2599</v>
      </c>
    </row>
    <row r="4366" spans="1:26">
      <c r="A4366" s="1">
        <v>4364</v>
      </c>
      <c r="B4366" t="str">
        <f>HYPERLINK("https://bugs.eclipse.org/bugs/show_bug.cgi?id=395227", "395227")</f>
        <v>395227</v>
      </c>
      <c r="C4366" t="s">
        <v>140</v>
      </c>
      <c r="D4366" t="s">
        <v>10</v>
      </c>
      <c r="E4366" t="s">
        <v>16</v>
      </c>
      <c r="F4366" t="s">
        <v>26</v>
      </c>
      <c r="L4366" t="s">
        <v>20016</v>
      </c>
      <c r="R4366" t="s">
        <v>20016</v>
      </c>
      <c r="T4366" t="s">
        <v>20017</v>
      </c>
      <c r="U4366" t="s">
        <v>20016</v>
      </c>
      <c r="V4366" t="s">
        <v>20016</v>
      </c>
      <c r="W4366" t="s">
        <v>9181</v>
      </c>
      <c r="X4366" t="s">
        <v>20018</v>
      </c>
      <c r="Y4366">
        <v>20</v>
      </c>
      <c r="Z4366">
        <v>20</v>
      </c>
    </row>
    <row r="4367" spans="1:26">
      <c r="A4367" s="1">
        <v>4365</v>
      </c>
      <c r="B4367" t="str">
        <f>HYPERLINK("https://bugs.eclipse.org/bugs/show_bug.cgi?id=395228", "395228")</f>
        <v>395228</v>
      </c>
      <c r="C4367" t="s">
        <v>149</v>
      </c>
      <c r="D4367" t="s">
        <v>10</v>
      </c>
      <c r="E4367" t="s">
        <v>12</v>
      </c>
      <c r="F4367" t="s">
        <v>26</v>
      </c>
      <c r="L4367" t="s">
        <v>20019</v>
      </c>
      <c r="N4367" t="s">
        <v>20019</v>
      </c>
      <c r="T4367" t="s">
        <v>20020</v>
      </c>
      <c r="U4367" t="s">
        <v>20021</v>
      </c>
      <c r="V4367" t="s">
        <v>20019</v>
      </c>
      <c r="W4367" t="s">
        <v>4846</v>
      </c>
      <c r="X4367" t="s">
        <v>20022</v>
      </c>
      <c r="Y4367">
        <v>58</v>
      </c>
      <c r="Z4367">
        <v>741</v>
      </c>
    </row>
    <row r="4368" spans="1:26">
      <c r="A4368" s="1">
        <v>4366</v>
      </c>
      <c r="B4368" t="str">
        <f>HYPERLINK("https://bugs.eclipse.org/bugs/show_bug.cgi?id=395229", "395229")</f>
        <v>395229</v>
      </c>
      <c r="C4368" t="s">
        <v>25</v>
      </c>
      <c r="D4368" t="s">
        <v>25</v>
      </c>
      <c r="F4368" t="s">
        <v>26</v>
      </c>
      <c r="G4368" t="s">
        <v>20023</v>
      </c>
      <c r="T4368" t="s">
        <v>20024</v>
      </c>
      <c r="U4368" t="s">
        <v>20025</v>
      </c>
      <c r="V4368" t="s">
        <v>20026</v>
      </c>
      <c r="W4368" t="s">
        <v>143</v>
      </c>
      <c r="X4368" t="s">
        <v>20027</v>
      </c>
      <c r="Y4368">
        <v>15</v>
      </c>
    </row>
    <row r="4369" spans="1:26">
      <c r="A4369" s="1">
        <v>4367</v>
      </c>
      <c r="B4369" t="str">
        <f>HYPERLINK("https://bugs.eclipse.org/bugs/show_bug.cgi?id=395231", "395231")</f>
        <v>395231</v>
      </c>
      <c r="C4369" t="s">
        <v>149</v>
      </c>
      <c r="D4369" t="s">
        <v>10</v>
      </c>
      <c r="E4369" t="s">
        <v>12</v>
      </c>
      <c r="F4369" t="s">
        <v>26</v>
      </c>
      <c r="L4369" t="s">
        <v>20028</v>
      </c>
      <c r="N4369" t="s">
        <v>20028</v>
      </c>
      <c r="S4369" t="s">
        <v>20029</v>
      </c>
      <c r="T4369" t="s">
        <v>20030</v>
      </c>
      <c r="U4369" t="s">
        <v>20031</v>
      </c>
      <c r="V4369" t="s">
        <v>20028</v>
      </c>
      <c r="W4369" t="s">
        <v>4846</v>
      </c>
      <c r="X4369" t="s">
        <v>20032</v>
      </c>
      <c r="Y4369">
        <v>58</v>
      </c>
      <c r="Z4369">
        <v>366</v>
      </c>
    </row>
    <row r="4370" spans="1:26">
      <c r="A4370" s="1">
        <v>4368</v>
      </c>
      <c r="B4370" t="str">
        <f>HYPERLINK("https://bugs.eclipse.org/bugs/show_bug.cgi?id=395233", "395233")</f>
        <v>395233</v>
      </c>
      <c r="C4370" t="s">
        <v>140</v>
      </c>
      <c r="D4370" t="s">
        <v>10</v>
      </c>
      <c r="E4370" t="s">
        <v>16</v>
      </c>
      <c r="F4370" t="s">
        <v>26</v>
      </c>
      <c r="L4370" t="s">
        <v>20033</v>
      </c>
      <c r="R4370" t="s">
        <v>20033</v>
      </c>
      <c r="T4370" t="s">
        <v>20034</v>
      </c>
      <c r="U4370" t="s">
        <v>20035</v>
      </c>
      <c r="V4370" t="s">
        <v>20033</v>
      </c>
      <c r="W4370" t="s">
        <v>9181</v>
      </c>
      <c r="X4370" t="s">
        <v>20036</v>
      </c>
      <c r="Y4370">
        <v>27</v>
      </c>
      <c r="Z4370">
        <v>323.95833333333331</v>
      </c>
    </row>
    <row r="4371" spans="1:26">
      <c r="A4371" s="1">
        <v>4369</v>
      </c>
      <c r="B4371" t="str">
        <f>HYPERLINK("https://bugs.eclipse.org/bugs/show_bug.cgi?id=395234", "395234")</f>
        <v>395234</v>
      </c>
      <c r="C4371" t="s">
        <v>191</v>
      </c>
      <c r="D4371" t="s">
        <v>192</v>
      </c>
      <c r="E4371" t="s">
        <v>14</v>
      </c>
      <c r="F4371" t="s">
        <v>26</v>
      </c>
      <c r="P4371" t="s">
        <v>20037</v>
      </c>
      <c r="T4371" t="s">
        <v>20038</v>
      </c>
      <c r="U4371" t="s">
        <v>20039</v>
      </c>
      <c r="V4371" t="s">
        <v>20037</v>
      </c>
      <c r="W4371" t="s">
        <v>65</v>
      </c>
      <c r="X4371" t="s">
        <v>20040</v>
      </c>
      <c r="Y4371">
        <v>27</v>
      </c>
      <c r="Z4371">
        <v>2727.958333333333</v>
      </c>
    </row>
    <row r="4372" spans="1:26">
      <c r="A4372" s="1">
        <v>4370</v>
      </c>
      <c r="B4372" t="str">
        <f>HYPERLINK("https://bugs.eclipse.org/bugs/show_bug.cgi?id=395235", "395235")</f>
        <v>395235</v>
      </c>
      <c r="C4372" t="s">
        <v>191</v>
      </c>
      <c r="D4372" t="s">
        <v>192</v>
      </c>
      <c r="E4372" t="s">
        <v>14</v>
      </c>
      <c r="F4372" t="s">
        <v>26</v>
      </c>
      <c r="T4372" t="s">
        <v>20041</v>
      </c>
      <c r="U4372" t="s">
        <v>20042</v>
      </c>
      <c r="V4372" t="s">
        <v>20043</v>
      </c>
      <c r="W4372" t="s">
        <v>65</v>
      </c>
      <c r="X4372" t="s">
        <v>20044</v>
      </c>
      <c r="Y4372">
        <v>17</v>
      </c>
      <c r="Z4372">
        <v>2423.958333333333</v>
      </c>
    </row>
    <row r="4373" spans="1:26">
      <c r="A4373" s="1">
        <v>4371</v>
      </c>
      <c r="B4373" t="str">
        <f>HYPERLINK("https://bugs.eclipse.org/bugs/show_bug.cgi?id=395236", "395236")</f>
        <v>395236</v>
      </c>
      <c r="C4373" t="s">
        <v>191</v>
      </c>
      <c r="D4373" t="s">
        <v>192</v>
      </c>
      <c r="E4373" t="s">
        <v>14</v>
      </c>
      <c r="F4373" t="s">
        <v>26</v>
      </c>
      <c r="P4373" t="s">
        <v>20045</v>
      </c>
      <c r="T4373" t="s">
        <v>20046</v>
      </c>
      <c r="U4373" t="s">
        <v>20047</v>
      </c>
      <c r="V4373" t="s">
        <v>20045</v>
      </c>
      <c r="W4373" t="s">
        <v>65</v>
      </c>
      <c r="X4373" t="s">
        <v>20048</v>
      </c>
      <c r="Y4373">
        <v>15</v>
      </c>
      <c r="Z4373">
        <v>2619</v>
      </c>
    </row>
    <row r="4374" spans="1:26">
      <c r="A4374" s="1">
        <v>4372</v>
      </c>
      <c r="B4374" t="str">
        <f>HYPERLINK("https://bugs.eclipse.org/bugs/show_bug.cgi?id=395237", "395237")</f>
        <v>395237</v>
      </c>
      <c r="C4374" t="s">
        <v>191</v>
      </c>
      <c r="D4374" t="s">
        <v>192</v>
      </c>
      <c r="E4374" t="s">
        <v>14</v>
      </c>
      <c r="F4374" t="s">
        <v>26</v>
      </c>
      <c r="P4374" t="s">
        <v>20049</v>
      </c>
      <c r="T4374" t="s">
        <v>20050</v>
      </c>
      <c r="U4374" t="s">
        <v>20051</v>
      </c>
      <c r="V4374" t="s">
        <v>20049</v>
      </c>
      <c r="W4374" t="s">
        <v>65</v>
      </c>
      <c r="X4374" t="s">
        <v>20052</v>
      </c>
      <c r="Y4374">
        <v>27</v>
      </c>
      <c r="Z4374">
        <v>2695.958333333333</v>
      </c>
    </row>
    <row r="4375" spans="1:26">
      <c r="A4375" s="1">
        <v>4373</v>
      </c>
      <c r="B4375" t="str">
        <f>HYPERLINK("https://bugs.eclipse.org/bugs/show_bug.cgi?id=395558", "395558")</f>
        <v>395558</v>
      </c>
      <c r="C4375" t="s">
        <v>149</v>
      </c>
      <c r="D4375" t="s">
        <v>10</v>
      </c>
      <c r="E4375" t="s">
        <v>12</v>
      </c>
      <c r="F4375" t="s">
        <v>26</v>
      </c>
      <c r="L4375" t="s">
        <v>20053</v>
      </c>
      <c r="N4375" t="s">
        <v>20053</v>
      </c>
      <c r="T4375" t="s">
        <v>20054</v>
      </c>
      <c r="U4375" t="s">
        <v>20055</v>
      </c>
      <c r="V4375" t="s">
        <v>20056</v>
      </c>
      <c r="W4375" t="s">
        <v>9181</v>
      </c>
      <c r="X4375" t="s">
        <v>20057</v>
      </c>
      <c r="Y4375">
        <v>12</v>
      </c>
      <c r="Z4375">
        <v>325.95833333333331</v>
      </c>
    </row>
    <row r="4376" spans="1:26">
      <c r="A4376" s="1">
        <v>4374</v>
      </c>
      <c r="B4376" t="str">
        <f>HYPERLINK("https://bugs.eclipse.org/bugs/show_bug.cgi?id=395561", "395561")</f>
        <v>395561</v>
      </c>
      <c r="C4376" t="s">
        <v>149</v>
      </c>
      <c r="D4376" t="s">
        <v>10</v>
      </c>
      <c r="E4376" t="s">
        <v>12</v>
      </c>
      <c r="F4376" t="s">
        <v>26</v>
      </c>
      <c r="L4376" t="s">
        <v>20058</v>
      </c>
      <c r="N4376" t="s">
        <v>20058</v>
      </c>
      <c r="T4376" t="s">
        <v>20059</v>
      </c>
      <c r="U4376" t="s">
        <v>20060</v>
      </c>
      <c r="V4376" t="s">
        <v>20061</v>
      </c>
      <c r="W4376" t="s">
        <v>9181</v>
      </c>
      <c r="X4376" t="s">
        <v>20062</v>
      </c>
      <c r="Y4376">
        <v>12</v>
      </c>
      <c r="Z4376">
        <v>325.95833333333331</v>
      </c>
    </row>
    <row r="4377" spans="1:26">
      <c r="A4377" s="1">
        <v>4375</v>
      </c>
      <c r="B4377" t="str">
        <f>HYPERLINK("https://bugs.eclipse.org/bugs/show_bug.cgi?id=395567", "395567")</f>
        <v>395567</v>
      </c>
      <c r="C4377" t="s">
        <v>25</v>
      </c>
      <c r="D4377" t="s">
        <v>25</v>
      </c>
      <c r="F4377" t="s">
        <v>26</v>
      </c>
      <c r="T4377" t="s">
        <v>20063</v>
      </c>
      <c r="U4377" t="s">
        <v>20064</v>
      </c>
      <c r="V4377" t="s">
        <v>20065</v>
      </c>
      <c r="W4377" t="s">
        <v>143</v>
      </c>
      <c r="X4377" t="s">
        <v>20066</v>
      </c>
      <c r="Y4377">
        <v>22</v>
      </c>
    </row>
    <row r="4378" spans="1:26">
      <c r="A4378" s="1">
        <v>4376</v>
      </c>
      <c r="B4378" t="str">
        <f>HYPERLINK("https://bugs.eclipse.org/bugs/show_bug.cgi?id=395572", "395572")</f>
        <v>395572</v>
      </c>
      <c r="C4378" t="s">
        <v>191</v>
      </c>
      <c r="D4378" t="s">
        <v>192</v>
      </c>
      <c r="E4378" t="s">
        <v>14</v>
      </c>
      <c r="F4378" t="s">
        <v>26</v>
      </c>
      <c r="P4378" t="s">
        <v>20067</v>
      </c>
      <c r="T4378" t="s">
        <v>20068</v>
      </c>
      <c r="U4378" t="s">
        <v>20069</v>
      </c>
      <c r="V4378" t="s">
        <v>20067</v>
      </c>
      <c r="W4378" t="s">
        <v>65</v>
      </c>
      <c r="X4378" t="s">
        <v>20070</v>
      </c>
      <c r="Y4378">
        <v>22</v>
      </c>
      <c r="Z4378">
        <v>2694.958333333333</v>
      </c>
    </row>
    <row r="4379" spans="1:26">
      <c r="A4379" s="1">
        <v>4377</v>
      </c>
      <c r="B4379" t="str">
        <f>HYPERLINK("https://bugs.eclipse.org/bugs/show_bug.cgi?id=395778", "395778")</f>
        <v>395778</v>
      </c>
      <c r="C4379" t="s">
        <v>191</v>
      </c>
      <c r="D4379" t="s">
        <v>192</v>
      </c>
      <c r="E4379" t="s">
        <v>14</v>
      </c>
      <c r="F4379" t="s">
        <v>26</v>
      </c>
      <c r="P4379" t="s">
        <v>20071</v>
      </c>
      <c r="T4379" t="s">
        <v>20072</v>
      </c>
      <c r="U4379" t="s">
        <v>20073</v>
      </c>
      <c r="V4379" t="s">
        <v>20071</v>
      </c>
      <c r="W4379" t="s">
        <v>65</v>
      </c>
      <c r="X4379" t="s">
        <v>20074</v>
      </c>
      <c r="Y4379">
        <v>20</v>
      </c>
      <c r="Z4379">
        <v>2667.958333333333</v>
      </c>
    </row>
    <row r="4380" spans="1:26">
      <c r="A4380" s="1">
        <v>4378</v>
      </c>
      <c r="B4380" t="str">
        <f>HYPERLINK("https://bugs.eclipse.org/bugs/show_bug.cgi?id=395862", "395862")</f>
        <v>395862</v>
      </c>
      <c r="C4380" t="s">
        <v>16195</v>
      </c>
      <c r="D4380" t="s">
        <v>192</v>
      </c>
      <c r="E4380" t="s">
        <v>15</v>
      </c>
      <c r="F4380" t="s">
        <v>26</v>
      </c>
      <c r="Q4380" t="s">
        <v>20075</v>
      </c>
      <c r="T4380" t="s">
        <v>20076</v>
      </c>
      <c r="U4380" t="s">
        <v>20075</v>
      </c>
      <c r="V4380" t="s">
        <v>20075</v>
      </c>
      <c r="W4380" t="s">
        <v>9181</v>
      </c>
      <c r="X4380" t="s">
        <v>20077</v>
      </c>
      <c r="Y4380">
        <v>13</v>
      </c>
      <c r="Z4380">
        <v>13</v>
      </c>
    </row>
    <row r="4381" spans="1:26">
      <c r="A4381" s="1">
        <v>4379</v>
      </c>
      <c r="B4381" t="str">
        <f>HYPERLINK("https://bugs.eclipse.org/bugs/show_bug.cgi?id=395866", "395866")</f>
        <v>395866</v>
      </c>
      <c r="C4381" t="s">
        <v>191</v>
      </c>
      <c r="D4381" t="s">
        <v>192</v>
      </c>
      <c r="E4381" t="s">
        <v>14</v>
      </c>
      <c r="F4381" t="s">
        <v>26</v>
      </c>
      <c r="P4381" t="s">
        <v>20078</v>
      </c>
      <c r="T4381" t="s">
        <v>20079</v>
      </c>
      <c r="U4381" t="s">
        <v>20080</v>
      </c>
      <c r="V4381" t="s">
        <v>20078</v>
      </c>
      <c r="W4381" t="s">
        <v>65</v>
      </c>
      <c r="X4381" t="s">
        <v>20081</v>
      </c>
      <c r="Y4381">
        <v>9</v>
      </c>
      <c r="Z4381">
        <v>2697.958333333333</v>
      </c>
    </row>
    <row r="4382" spans="1:26">
      <c r="A4382" s="1">
        <v>4380</v>
      </c>
      <c r="B4382" t="str">
        <f>HYPERLINK("https://bugs.eclipse.org/bugs/show_bug.cgi?id=395868", "395868")</f>
        <v>395868</v>
      </c>
      <c r="C4382" t="s">
        <v>191</v>
      </c>
      <c r="D4382" t="s">
        <v>192</v>
      </c>
      <c r="E4382" t="s">
        <v>14</v>
      </c>
      <c r="F4382" t="s">
        <v>26</v>
      </c>
      <c r="T4382" t="s">
        <v>20082</v>
      </c>
      <c r="U4382" t="s">
        <v>20083</v>
      </c>
      <c r="V4382" t="s">
        <v>20084</v>
      </c>
      <c r="W4382" t="s">
        <v>65</v>
      </c>
      <c r="X4382" t="s">
        <v>20085</v>
      </c>
      <c r="Y4382">
        <v>13</v>
      </c>
      <c r="Z4382">
        <v>2158.958333333333</v>
      </c>
    </row>
    <row r="4383" spans="1:26">
      <c r="A4383" s="1">
        <v>4381</v>
      </c>
      <c r="B4383" t="str">
        <f>HYPERLINK("https://bugs.eclipse.org/bugs/show_bug.cgi?id=395985", "395985")</f>
        <v>395985</v>
      </c>
      <c r="C4383" t="s">
        <v>191</v>
      </c>
      <c r="D4383" t="s">
        <v>192</v>
      </c>
      <c r="E4383" t="s">
        <v>14</v>
      </c>
      <c r="F4383" t="s">
        <v>26</v>
      </c>
      <c r="P4383" t="s">
        <v>20086</v>
      </c>
      <c r="T4383" t="s">
        <v>20087</v>
      </c>
      <c r="U4383" t="s">
        <v>20088</v>
      </c>
      <c r="V4383" t="s">
        <v>20086</v>
      </c>
      <c r="W4383" t="s">
        <v>65</v>
      </c>
      <c r="X4383" t="s">
        <v>20089</v>
      </c>
      <c r="Y4383">
        <v>4</v>
      </c>
      <c r="Z4383">
        <v>2649.958333333333</v>
      </c>
    </row>
    <row r="4384" spans="1:26">
      <c r="A4384" s="1">
        <v>4382</v>
      </c>
      <c r="B4384" t="str">
        <f>HYPERLINK("https://bugs.eclipse.org/bugs/show_bug.cgi?id=395987", "395987")</f>
        <v>395987</v>
      </c>
      <c r="C4384" t="s">
        <v>191</v>
      </c>
      <c r="D4384" t="s">
        <v>192</v>
      </c>
      <c r="E4384" t="s">
        <v>14</v>
      </c>
      <c r="F4384" t="s">
        <v>26</v>
      </c>
      <c r="T4384" t="s">
        <v>20090</v>
      </c>
      <c r="U4384" t="s">
        <v>20091</v>
      </c>
      <c r="V4384" t="s">
        <v>20092</v>
      </c>
      <c r="W4384" t="s">
        <v>65</v>
      </c>
      <c r="X4384" t="s">
        <v>20093</v>
      </c>
      <c r="Y4384">
        <v>12</v>
      </c>
      <c r="Z4384">
        <v>2467.958333333333</v>
      </c>
    </row>
    <row r="4385" spans="1:26">
      <c r="A4385" s="1">
        <v>4383</v>
      </c>
      <c r="B4385" t="str">
        <f>HYPERLINK("https://bugs.eclipse.org/bugs/show_bug.cgi?id=395989", "395989")</f>
        <v>395989</v>
      </c>
      <c r="C4385" t="s">
        <v>149</v>
      </c>
      <c r="D4385" t="s">
        <v>10</v>
      </c>
      <c r="E4385" t="s">
        <v>12</v>
      </c>
      <c r="F4385" t="s">
        <v>26</v>
      </c>
      <c r="L4385" t="s">
        <v>20094</v>
      </c>
      <c r="N4385" t="s">
        <v>20094</v>
      </c>
      <c r="T4385" t="s">
        <v>20095</v>
      </c>
      <c r="U4385" t="s">
        <v>20096</v>
      </c>
      <c r="V4385" t="s">
        <v>20094</v>
      </c>
      <c r="W4385" t="s">
        <v>9181</v>
      </c>
      <c r="X4385" t="s">
        <v>20097</v>
      </c>
      <c r="Y4385">
        <v>12</v>
      </c>
      <c r="Z4385">
        <v>335</v>
      </c>
    </row>
    <row r="4386" spans="1:26">
      <c r="A4386" s="1">
        <v>4384</v>
      </c>
      <c r="B4386" t="str">
        <f>HYPERLINK("https://bugs.eclipse.org/bugs/show_bug.cgi?id=395990", "395990")</f>
        <v>395990</v>
      </c>
      <c r="C4386" t="s">
        <v>191</v>
      </c>
      <c r="D4386" t="s">
        <v>192</v>
      </c>
      <c r="E4386" t="s">
        <v>14</v>
      </c>
      <c r="F4386" t="s">
        <v>51</v>
      </c>
      <c r="T4386" t="s">
        <v>20098</v>
      </c>
      <c r="U4386" t="s">
        <v>20099</v>
      </c>
      <c r="V4386" t="s">
        <v>20100</v>
      </c>
      <c r="W4386" t="s">
        <v>65</v>
      </c>
      <c r="X4386" t="s">
        <v>20101</v>
      </c>
      <c r="Y4386">
        <v>3</v>
      </c>
      <c r="Z4386">
        <v>2536</v>
      </c>
    </row>
    <row r="4387" spans="1:26">
      <c r="A4387" s="1">
        <v>4385</v>
      </c>
      <c r="B4387" t="str">
        <f>HYPERLINK("https://bugs.eclipse.org/bugs/show_bug.cgi?id=395991", "395991")</f>
        <v>395991</v>
      </c>
      <c r="C4387" t="s">
        <v>140</v>
      </c>
      <c r="D4387" t="s">
        <v>10</v>
      </c>
      <c r="E4387" t="s">
        <v>16</v>
      </c>
      <c r="F4387" t="s">
        <v>26</v>
      </c>
      <c r="L4387" t="s">
        <v>20102</v>
      </c>
      <c r="R4387" t="s">
        <v>20102</v>
      </c>
      <c r="T4387" t="s">
        <v>20103</v>
      </c>
      <c r="U4387" t="s">
        <v>20104</v>
      </c>
      <c r="V4387" t="s">
        <v>20102</v>
      </c>
      <c r="W4387" t="s">
        <v>4846</v>
      </c>
      <c r="X4387" t="s">
        <v>20105</v>
      </c>
      <c r="Y4387">
        <v>12</v>
      </c>
      <c r="Z4387">
        <v>2519.958333333333</v>
      </c>
    </row>
    <row r="4388" spans="1:26">
      <c r="A4388" s="1">
        <v>4386</v>
      </c>
      <c r="B4388" t="str">
        <f>HYPERLINK("https://bugs.eclipse.org/bugs/show_bug.cgi?id=395992", "395992")</f>
        <v>395992</v>
      </c>
      <c r="C4388" t="s">
        <v>149</v>
      </c>
      <c r="D4388" t="s">
        <v>10</v>
      </c>
      <c r="E4388" t="s">
        <v>12</v>
      </c>
      <c r="F4388" t="s">
        <v>26</v>
      </c>
      <c r="L4388" t="s">
        <v>20106</v>
      </c>
      <c r="N4388" t="s">
        <v>20106</v>
      </c>
      <c r="T4388" t="s">
        <v>20107</v>
      </c>
      <c r="U4388" t="s">
        <v>20108</v>
      </c>
      <c r="V4388" t="s">
        <v>20106</v>
      </c>
      <c r="W4388" t="s">
        <v>9181</v>
      </c>
      <c r="X4388" t="s">
        <v>20109</v>
      </c>
      <c r="Y4388">
        <v>3</v>
      </c>
      <c r="Z4388">
        <v>334</v>
      </c>
    </row>
    <row r="4389" spans="1:26">
      <c r="A4389" s="1">
        <v>4387</v>
      </c>
      <c r="B4389" t="str">
        <f>HYPERLINK("https://bugs.eclipse.org/bugs/show_bug.cgi?id=395994", "395994")</f>
        <v>395994</v>
      </c>
      <c r="C4389" t="s">
        <v>191</v>
      </c>
      <c r="D4389" t="s">
        <v>192</v>
      </c>
      <c r="E4389" t="s">
        <v>14</v>
      </c>
      <c r="F4389" t="s">
        <v>26</v>
      </c>
      <c r="P4389" t="s">
        <v>20110</v>
      </c>
      <c r="T4389" t="s">
        <v>20111</v>
      </c>
      <c r="U4389" t="s">
        <v>20112</v>
      </c>
      <c r="V4389" t="s">
        <v>20110</v>
      </c>
      <c r="W4389" t="s">
        <v>65</v>
      </c>
      <c r="X4389" t="s">
        <v>20113</v>
      </c>
      <c r="Y4389">
        <v>12</v>
      </c>
      <c r="Z4389">
        <v>2644</v>
      </c>
    </row>
    <row r="4390" spans="1:26">
      <c r="A4390" s="1">
        <v>4388</v>
      </c>
      <c r="B4390" t="str">
        <f>HYPERLINK("https://bugs.eclipse.org/bugs/show_bug.cgi?id=395997", "395997")</f>
        <v>395997</v>
      </c>
      <c r="C4390" t="s">
        <v>191</v>
      </c>
      <c r="D4390" t="s">
        <v>192</v>
      </c>
      <c r="E4390" t="s">
        <v>14</v>
      </c>
      <c r="F4390" t="s">
        <v>26</v>
      </c>
      <c r="P4390" t="s">
        <v>20114</v>
      </c>
      <c r="T4390" t="s">
        <v>20115</v>
      </c>
      <c r="U4390" t="s">
        <v>20116</v>
      </c>
      <c r="V4390" t="s">
        <v>20114</v>
      </c>
      <c r="W4390" t="s">
        <v>65</v>
      </c>
      <c r="X4390" t="s">
        <v>20117</v>
      </c>
      <c r="Y4390">
        <v>12</v>
      </c>
      <c r="Z4390">
        <v>2637</v>
      </c>
    </row>
    <row r="4391" spans="1:26">
      <c r="A4391" s="1">
        <v>4389</v>
      </c>
      <c r="B4391" t="str">
        <f>HYPERLINK("https://bugs.eclipse.org/bugs/show_bug.cgi?id=396524", "396524")</f>
        <v>396524</v>
      </c>
      <c r="C4391" t="s">
        <v>149</v>
      </c>
      <c r="D4391" t="s">
        <v>10</v>
      </c>
      <c r="E4391" t="s">
        <v>12</v>
      </c>
      <c r="F4391" t="s">
        <v>26</v>
      </c>
      <c r="G4391" t="s">
        <v>20118</v>
      </c>
      <c r="L4391" t="s">
        <v>20119</v>
      </c>
      <c r="N4391" t="s">
        <v>20119</v>
      </c>
      <c r="T4391" t="s">
        <v>20120</v>
      </c>
      <c r="U4391" t="s">
        <v>20121</v>
      </c>
      <c r="V4391" t="s">
        <v>20119</v>
      </c>
      <c r="W4391" t="s">
        <v>4846</v>
      </c>
      <c r="X4391" t="s">
        <v>20122</v>
      </c>
      <c r="Y4391">
        <v>60</v>
      </c>
      <c r="Z4391">
        <v>1228.958333333333</v>
      </c>
    </row>
    <row r="4392" spans="1:26">
      <c r="A4392" s="1">
        <v>4390</v>
      </c>
      <c r="B4392" t="str">
        <f>HYPERLINK("https://bugs.eclipse.org/bugs/show_bug.cgi?id=396634", "396634")</f>
        <v>396634</v>
      </c>
      <c r="C4392" t="s">
        <v>25</v>
      </c>
      <c r="D4392" t="s">
        <v>25</v>
      </c>
      <c r="F4392" t="s">
        <v>26</v>
      </c>
      <c r="T4392" t="s">
        <v>20123</v>
      </c>
      <c r="U4392" t="s">
        <v>20124</v>
      </c>
      <c r="V4392" t="s">
        <v>20125</v>
      </c>
      <c r="W4392" t="s">
        <v>65</v>
      </c>
      <c r="X4392" t="s">
        <v>20126</v>
      </c>
      <c r="Y4392">
        <v>10</v>
      </c>
    </row>
    <row r="4393" spans="1:26">
      <c r="A4393" s="1">
        <v>4391</v>
      </c>
      <c r="B4393" t="str">
        <f>HYPERLINK("https://bugs.eclipse.org/bugs/show_bug.cgi?id=396823", "396823")</f>
        <v>396823</v>
      </c>
      <c r="C4393" t="s">
        <v>149</v>
      </c>
      <c r="D4393" t="s">
        <v>10</v>
      </c>
      <c r="E4393" t="s">
        <v>12</v>
      </c>
      <c r="F4393" t="s">
        <v>26</v>
      </c>
      <c r="L4393" t="s">
        <v>20127</v>
      </c>
      <c r="N4393" t="s">
        <v>20127</v>
      </c>
      <c r="T4393" t="s">
        <v>20128</v>
      </c>
      <c r="U4393" t="s">
        <v>20129</v>
      </c>
      <c r="V4393" t="s">
        <v>20130</v>
      </c>
      <c r="W4393" t="s">
        <v>143</v>
      </c>
      <c r="X4393" t="s">
        <v>20131</v>
      </c>
      <c r="Y4393">
        <v>0</v>
      </c>
      <c r="Z4393">
        <v>44</v>
      </c>
    </row>
    <row r="4394" spans="1:26">
      <c r="A4394" s="1">
        <v>4392</v>
      </c>
      <c r="B4394" t="str">
        <f>HYPERLINK("https://bugs.eclipse.org/bugs/show_bug.cgi?id=397157", "397157")</f>
        <v>397157</v>
      </c>
      <c r="C4394" t="s">
        <v>191</v>
      </c>
      <c r="D4394" t="s">
        <v>192</v>
      </c>
      <c r="E4394" t="s">
        <v>14</v>
      </c>
      <c r="F4394" t="s">
        <v>460</v>
      </c>
      <c r="P4394" t="s">
        <v>20132</v>
      </c>
      <c r="T4394" t="s">
        <v>20133</v>
      </c>
      <c r="U4394" t="s">
        <v>20134</v>
      </c>
      <c r="V4394" t="s">
        <v>20132</v>
      </c>
      <c r="W4394" t="s">
        <v>65</v>
      </c>
      <c r="X4394" t="s">
        <v>20135</v>
      </c>
      <c r="Y4394">
        <v>30</v>
      </c>
      <c r="Z4394">
        <v>2613</v>
      </c>
    </row>
    <row r="4395" spans="1:26">
      <c r="A4395" s="1">
        <v>4393</v>
      </c>
      <c r="B4395" t="str">
        <f>HYPERLINK("https://bugs.eclipse.org/bugs/show_bug.cgi?id=397158", "397158")</f>
        <v>397158</v>
      </c>
      <c r="C4395" t="s">
        <v>191</v>
      </c>
      <c r="D4395" t="s">
        <v>192</v>
      </c>
      <c r="E4395" t="s">
        <v>14</v>
      </c>
      <c r="F4395" t="s">
        <v>26</v>
      </c>
      <c r="T4395" t="s">
        <v>20136</v>
      </c>
      <c r="U4395" t="s">
        <v>20137</v>
      </c>
      <c r="V4395" t="s">
        <v>20138</v>
      </c>
      <c r="W4395" t="s">
        <v>65</v>
      </c>
      <c r="X4395" t="s">
        <v>20139</v>
      </c>
      <c r="Y4395">
        <v>29</v>
      </c>
      <c r="Z4395">
        <v>2193</v>
      </c>
    </row>
    <row r="4396" spans="1:26">
      <c r="A4396" s="1">
        <v>4394</v>
      </c>
      <c r="B4396" t="str">
        <f>HYPERLINK("https://bugs.eclipse.org/bugs/show_bug.cgi?id=397465", "397465")</f>
        <v>397465</v>
      </c>
      <c r="C4396" t="s">
        <v>35</v>
      </c>
      <c r="D4396" t="s">
        <v>11</v>
      </c>
      <c r="E4396" t="s">
        <v>12</v>
      </c>
      <c r="F4396" t="s">
        <v>26</v>
      </c>
      <c r="L4396" t="s">
        <v>20140</v>
      </c>
      <c r="M4396" t="s">
        <v>20141</v>
      </c>
      <c r="N4396" t="s">
        <v>20140</v>
      </c>
      <c r="T4396" t="s">
        <v>20142</v>
      </c>
      <c r="U4396" t="s">
        <v>20143</v>
      </c>
      <c r="V4396" t="s">
        <v>20141</v>
      </c>
      <c r="W4396" t="s">
        <v>143</v>
      </c>
      <c r="X4396" t="s">
        <v>20144</v>
      </c>
      <c r="Y4396">
        <v>0</v>
      </c>
      <c r="Z4396">
        <v>26</v>
      </c>
    </row>
    <row r="4397" spans="1:26">
      <c r="A4397" s="1">
        <v>4395</v>
      </c>
      <c r="B4397" t="str">
        <f>HYPERLINK("https://bugs.eclipse.org/bugs/show_bug.cgi?id=397467", "397467")</f>
        <v>397467</v>
      </c>
      <c r="C4397" t="s">
        <v>35</v>
      </c>
      <c r="D4397" t="s">
        <v>11</v>
      </c>
      <c r="E4397" t="s">
        <v>12</v>
      </c>
      <c r="F4397" t="s">
        <v>26</v>
      </c>
      <c r="L4397" t="s">
        <v>20145</v>
      </c>
      <c r="M4397" t="s">
        <v>20146</v>
      </c>
      <c r="N4397" t="s">
        <v>20145</v>
      </c>
      <c r="T4397" t="s">
        <v>20147</v>
      </c>
      <c r="U4397" t="s">
        <v>20148</v>
      </c>
      <c r="V4397" t="s">
        <v>20146</v>
      </c>
      <c r="W4397" t="s">
        <v>143</v>
      </c>
      <c r="X4397" t="s">
        <v>20149</v>
      </c>
      <c r="Y4397">
        <v>0</v>
      </c>
      <c r="Z4397">
        <v>66.958333333333329</v>
      </c>
    </row>
    <row r="4398" spans="1:26">
      <c r="A4398" s="1">
        <v>4396</v>
      </c>
      <c r="B4398" t="str">
        <f>HYPERLINK("https://bugs.eclipse.org/bugs/show_bug.cgi?id=397757", "397757")</f>
        <v>397757</v>
      </c>
      <c r="C4398" t="s">
        <v>25</v>
      </c>
      <c r="D4398" t="s">
        <v>25</v>
      </c>
      <c r="F4398" t="s">
        <v>460</v>
      </c>
      <c r="H4398" t="s">
        <v>20150</v>
      </c>
      <c r="T4398" t="s">
        <v>20151</v>
      </c>
      <c r="U4398" t="s">
        <v>20152</v>
      </c>
      <c r="V4398" t="s">
        <v>20153</v>
      </c>
      <c r="W4398" t="s">
        <v>851</v>
      </c>
      <c r="X4398" t="s">
        <v>20154</v>
      </c>
      <c r="Y4398">
        <v>0</v>
      </c>
    </row>
    <row r="4399" spans="1:26">
      <c r="A4399" s="1">
        <v>4397</v>
      </c>
      <c r="B4399" t="str">
        <f>HYPERLINK("https://bugs.eclipse.org/bugs/show_bug.cgi?id=398995", "398995")</f>
        <v>398995</v>
      </c>
      <c r="C4399" t="s">
        <v>149</v>
      </c>
      <c r="D4399" t="s">
        <v>10</v>
      </c>
      <c r="E4399" t="s">
        <v>12</v>
      </c>
      <c r="F4399" t="s">
        <v>26</v>
      </c>
      <c r="G4399" t="s">
        <v>20155</v>
      </c>
      <c r="H4399" t="s">
        <v>20156</v>
      </c>
      <c r="L4399" t="s">
        <v>20157</v>
      </c>
      <c r="N4399" t="s">
        <v>20157</v>
      </c>
      <c r="T4399" t="s">
        <v>20158</v>
      </c>
      <c r="U4399" t="s">
        <v>20159</v>
      </c>
      <c r="V4399" t="s">
        <v>20157</v>
      </c>
      <c r="W4399" t="s">
        <v>143</v>
      </c>
      <c r="X4399" t="s">
        <v>20160</v>
      </c>
      <c r="Y4399">
        <v>5</v>
      </c>
      <c r="Z4399">
        <v>20</v>
      </c>
    </row>
    <row r="4400" spans="1:26">
      <c r="A4400" s="1">
        <v>4398</v>
      </c>
      <c r="B4400" t="str">
        <f>HYPERLINK("https://bugs.eclipse.org/bugs/show_bug.cgi?id=399066", "399066")</f>
        <v>399066</v>
      </c>
      <c r="C4400" t="s">
        <v>17700</v>
      </c>
      <c r="D4400" t="s">
        <v>10</v>
      </c>
      <c r="E4400" t="s">
        <v>17701</v>
      </c>
      <c r="F4400" t="s">
        <v>26</v>
      </c>
      <c r="L4400" t="s">
        <v>20161</v>
      </c>
      <c r="T4400" t="s">
        <v>20162</v>
      </c>
      <c r="U4400" t="s">
        <v>20163</v>
      </c>
      <c r="V4400" t="s">
        <v>20161</v>
      </c>
      <c r="W4400" t="s">
        <v>143</v>
      </c>
      <c r="X4400" t="s">
        <v>20164</v>
      </c>
      <c r="Y4400">
        <v>0</v>
      </c>
      <c r="Z4400">
        <v>0</v>
      </c>
    </row>
    <row r="4401" spans="1:26">
      <c r="A4401" s="1">
        <v>4399</v>
      </c>
      <c r="B4401" t="str">
        <f>HYPERLINK("https://bugs.eclipse.org/bugs/show_bug.cgi?id=399087", "399087")</f>
        <v>399087</v>
      </c>
      <c r="C4401" t="s">
        <v>149</v>
      </c>
      <c r="D4401" t="s">
        <v>10</v>
      </c>
      <c r="E4401" t="s">
        <v>12</v>
      </c>
      <c r="F4401" t="s">
        <v>26</v>
      </c>
      <c r="L4401" t="s">
        <v>20165</v>
      </c>
      <c r="N4401" t="s">
        <v>20165</v>
      </c>
      <c r="T4401" t="s">
        <v>20166</v>
      </c>
      <c r="U4401" t="s">
        <v>20167</v>
      </c>
      <c r="V4401" t="s">
        <v>20165</v>
      </c>
      <c r="W4401" t="s">
        <v>143</v>
      </c>
      <c r="X4401" t="s">
        <v>20168</v>
      </c>
      <c r="Y4401">
        <v>0</v>
      </c>
      <c r="Z4401">
        <v>3</v>
      </c>
    </row>
    <row r="4402" spans="1:26">
      <c r="A4402" s="1">
        <v>4400</v>
      </c>
      <c r="B4402" t="str">
        <f>HYPERLINK("https://bugs.eclipse.org/bugs/show_bug.cgi?id=399181", "399181")</f>
        <v>399181</v>
      </c>
      <c r="C4402" t="s">
        <v>17</v>
      </c>
      <c r="D4402" t="s">
        <v>17</v>
      </c>
      <c r="F4402" t="s">
        <v>26</v>
      </c>
      <c r="L4402" t="s">
        <v>20169</v>
      </c>
      <c r="O4402" t="s">
        <v>20169</v>
      </c>
      <c r="S4402" t="s">
        <v>20170</v>
      </c>
      <c r="T4402" t="s">
        <v>20171</v>
      </c>
      <c r="U4402" t="s">
        <v>20172</v>
      </c>
      <c r="V4402" t="s">
        <v>20170</v>
      </c>
      <c r="W4402" t="s">
        <v>20173</v>
      </c>
      <c r="X4402" t="s">
        <v>20174</v>
      </c>
      <c r="Y4402">
        <v>1</v>
      </c>
    </row>
    <row r="4403" spans="1:26">
      <c r="A4403" s="1">
        <v>4401</v>
      </c>
      <c r="B4403" t="str">
        <f>HYPERLINK("https://bugs.eclipse.org/bugs/show_bug.cgi?id=399183", "399183")</f>
        <v>399183</v>
      </c>
      <c r="C4403" t="s">
        <v>17</v>
      </c>
      <c r="D4403" t="s">
        <v>17</v>
      </c>
      <c r="F4403" t="s">
        <v>26</v>
      </c>
      <c r="Q4403" t="s">
        <v>20175</v>
      </c>
      <c r="S4403" t="s">
        <v>20176</v>
      </c>
      <c r="T4403" t="s">
        <v>20177</v>
      </c>
      <c r="U4403" t="s">
        <v>20178</v>
      </c>
      <c r="V4403" t="s">
        <v>20176</v>
      </c>
      <c r="W4403" t="s">
        <v>20173</v>
      </c>
      <c r="X4403" t="s">
        <v>20179</v>
      </c>
      <c r="Y4403">
        <v>1</v>
      </c>
    </row>
    <row r="4404" spans="1:26">
      <c r="A4404" s="1">
        <v>4402</v>
      </c>
      <c r="B4404" t="str">
        <f>HYPERLINK("https://bugs.eclipse.org/bugs/show_bug.cgi?id=399455", "399455")</f>
        <v>399455</v>
      </c>
      <c r="C4404" t="s">
        <v>191</v>
      </c>
      <c r="D4404" t="s">
        <v>192</v>
      </c>
      <c r="E4404" t="s">
        <v>14</v>
      </c>
      <c r="F4404" t="s">
        <v>26</v>
      </c>
      <c r="G4404" t="s">
        <v>20180</v>
      </c>
      <c r="T4404" t="s">
        <v>20181</v>
      </c>
      <c r="U4404" t="s">
        <v>20182</v>
      </c>
      <c r="V4404" t="s">
        <v>20183</v>
      </c>
      <c r="W4404" t="s">
        <v>65</v>
      </c>
      <c r="X4404" t="s">
        <v>20184</v>
      </c>
      <c r="Y4404">
        <v>1</v>
      </c>
      <c r="Z4404">
        <v>2374.958333333333</v>
      </c>
    </row>
    <row r="4405" spans="1:26">
      <c r="A4405" s="1">
        <v>4403</v>
      </c>
      <c r="B4405" t="str">
        <f>HYPERLINK("https://bugs.eclipse.org/bugs/show_bug.cgi?id=400032", "400032")</f>
        <v>400032</v>
      </c>
      <c r="C4405" t="s">
        <v>140</v>
      </c>
      <c r="D4405" t="s">
        <v>10</v>
      </c>
      <c r="E4405" t="s">
        <v>16</v>
      </c>
      <c r="F4405" t="s">
        <v>26</v>
      </c>
      <c r="L4405" t="s">
        <v>20185</v>
      </c>
      <c r="R4405" t="s">
        <v>20185</v>
      </c>
      <c r="T4405" t="s">
        <v>20186</v>
      </c>
      <c r="U4405" t="s">
        <v>20187</v>
      </c>
      <c r="V4405" t="s">
        <v>20185</v>
      </c>
      <c r="W4405" t="s">
        <v>143</v>
      </c>
      <c r="X4405" t="s">
        <v>20188</v>
      </c>
      <c r="Y4405">
        <v>0</v>
      </c>
      <c r="Z4405">
        <v>14</v>
      </c>
    </row>
    <row r="4406" spans="1:26">
      <c r="A4406" s="1">
        <v>4404</v>
      </c>
      <c r="B4406" t="str">
        <f>HYPERLINK("https://bugs.eclipse.org/bugs/show_bug.cgi?id=400668", "400668")</f>
        <v>400668</v>
      </c>
      <c r="C4406" t="s">
        <v>149</v>
      </c>
      <c r="D4406" t="s">
        <v>10</v>
      </c>
      <c r="E4406" t="s">
        <v>12</v>
      </c>
      <c r="F4406" t="s">
        <v>26</v>
      </c>
      <c r="L4406" t="s">
        <v>20189</v>
      </c>
      <c r="N4406" t="s">
        <v>20189</v>
      </c>
      <c r="T4406" t="s">
        <v>20190</v>
      </c>
      <c r="U4406" t="s">
        <v>20191</v>
      </c>
      <c r="V4406" t="s">
        <v>20189</v>
      </c>
      <c r="W4406" t="s">
        <v>143</v>
      </c>
      <c r="X4406" t="s">
        <v>20192</v>
      </c>
      <c r="Y4406">
        <v>0</v>
      </c>
      <c r="Z4406">
        <v>69.958333333333329</v>
      </c>
    </row>
    <row r="4407" spans="1:26">
      <c r="A4407" s="1">
        <v>4405</v>
      </c>
      <c r="B4407" t="str">
        <f>HYPERLINK("https://bugs.eclipse.org/bugs/show_bug.cgi?id=400965", "400965")</f>
        <v>400965</v>
      </c>
      <c r="C4407" t="s">
        <v>191</v>
      </c>
      <c r="D4407" t="s">
        <v>192</v>
      </c>
      <c r="E4407" t="s">
        <v>14</v>
      </c>
      <c r="F4407" t="s">
        <v>26</v>
      </c>
      <c r="P4407" t="s">
        <v>20193</v>
      </c>
      <c r="T4407" t="s">
        <v>20194</v>
      </c>
      <c r="U4407" t="s">
        <v>20195</v>
      </c>
      <c r="V4407" t="s">
        <v>20193</v>
      </c>
      <c r="W4407" t="s">
        <v>65</v>
      </c>
      <c r="X4407" t="s">
        <v>20196</v>
      </c>
      <c r="Y4407">
        <v>3</v>
      </c>
      <c r="Z4407">
        <v>2533</v>
      </c>
    </row>
    <row r="4408" spans="1:26">
      <c r="A4408" s="1">
        <v>4406</v>
      </c>
      <c r="B4408" t="str">
        <f>HYPERLINK("https://bugs.eclipse.org/bugs/show_bug.cgi?id=401032", "401032")</f>
        <v>401032</v>
      </c>
      <c r="C4408" t="s">
        <v>191</v>
      </c>
      <c r="D4408" t="s">
        <v>192</v>
      </c>
      <c r="E4408" t="s">
        <v>14</v>
      </c>
      <c r="F4408" t="s">
        <v>26</v>
      </c>
      <c r="P4408" t="s">
        <v>20197</v>
      </c>
      <c r="T4408" t="s">
        <v>20198</v>
      </c>
      <c r="U4408" t="s">
        <v>20199</v>
      </c>
      <c r="V4408" t="s">
        <v>20197</v>
      </c>
      <c r="W4408" t="s">
        <v>65</v>
      </c>
      <c r="X4408" t="s">
        <v>20200</v>
      </c>
      <c r="Y4408">
        <v>0</v>
      </c>
      <c r="Z4408">
        <v>2554</v>
      </c>
    </row>
    <row r="4409" spans="1:26">
      <c r="A4409" s="1">
        <v>4407</v>
      </c>
      <c r="B4409" t="str">
        <f>HYPERLINK("https://bugs.eclipse.org/bugs/show_bug.cgi?id=401233", "401233")</f>
        <v>401233</v>
      </c>
      <c r="C4409" t="s">
        <v>25</v>
      </c>
      <c r="D4409" t="s">
        <v>25</v>
      </c>
      <c r="F4409" t="s">
        <v>26</v>
      </c>
      <c r="T4409" t="s">
        <v>20201</v>
      </c>
      <c r="U4409" t="s">
        <v>20202</v>
      </c>
      <c r="V4409" t="s">
        <v>20203</v>
      </c>
      <c r="W4409" t="s">
        <v>143</v>
      </c>
      <c r="X4409" t="s">
        <v>20204</v>
      </c>
      <c r="Y4409">
        <v>0</v>
      </c>
    </row>
    <row r="4410" spans="1:26">
      <c r="A4410" s="1">
        <v>4408</v>
      </c>
      <c r="B4410" t="str">
        <f>HYPERLINK("https://bugs.eclipse.org/bugs/show_bug.cgi?id=401262", "401262")</f>
        <v>401262</v>
      </c>
      <c r="C4410" t="s">
        <v>25</v>
      </c>
      <c r="D4410" t="s">
        <v>25</v>
      </c>
      <c r="F4410" t="s">
        <v>26</v>
      </c>
      <c r="T4410" t="s">
        <v>20205</v>
      </c>
      <c r="U4410" t="s">
        <v>20206</v>
      </c>
      <c r="V4410" t="s">
        <v>20207</v>
      </c>
      <c r="W4410" t="s">
        <v>143</v>
      </c>
      <c r="X4410" t="s">
        <v>20208</v>
      </c>
      <c r="Y4410">
        <v>0</v>
      </c>
    </row>
    <row r="4411" spans="1:26">
      <c r="A4411" s="1">
        <v>4409</v>
      </c>
      <c r="B4411" t="str">
        <f>HYPERLINK("https://bugs.eclipse.org/bugs/show_bug.cgi?id=402260", "402260")</f>
        <v>402260</v>
      </c>
      <c r="C4411" t="s">
        <v>140</v>
      </c>
      <c r="D4411" t="s">
        <v>10</v>
      </c>
      <c r="E4411" t="s">
        <v>16</v>
      </c>
      <c r="F4411" t="s">
        <v>26</v>
      </c>
      <c r="L4411" t="s">
        <v>20209</v>
      </c>
      <c r="R4411" t="s">
        <v>20209</v>
      </c>
      <c r="T4411" t="s">
        <v>20210</v>
      </c>
      <c r="U4411" t="s">
        <v>20211</v>
      </c>
      <c r="V4411" t="s">
        <v>20209</v>
      </c>
      <c r="W4411" t="s">
        <v>143</v>
      </c>
      <c r="X4411" t="s">
        <v>20212</v>
      </c>
      <c r="Y4411">
        <v>0</v>
      </c>
      <c r="Z4411">
        <v>17.958333333333329</v>
      </c>
    </row>
    <row r="4412" spans="1:26">
      <c r="A4412" s="1">
        <v>4410</v>
      </c>
      <c r="B4412" t="str">
        <f>HYPERLINK("https://bugs.eclipse.org/bugs/show_bug.cgi?id=402507", "402507")</f>
        <v>402507</v>
      </c>
      <c r="C4412" t="s">
        <v>25</v>
      </c>
      <c r="D4412" t="s">
        <v>25</v>
      </c>
      <c r="F4412" t="s">
        <v>26</v>
      </c>
      <c r="T4412" t="s">
        <v>20213</v>
      </c>
      <c r="U4412" t="s">
        <v>20214</v>
      </c>
      <c r="V4412" t="s">
        <v>20215</v>
      </c>
      <c r="W4412" t="s">
        <v>143</v>
      </c>
      <c r="X4412" t="s">
        <v>20216</v>
      </c>
      <c r="Y4412">
        <v>14.95833333333333</v>
      </c>
    </row>
    <row r="4413" spans="1:26">
      <c r="A4413" s="1">
        <v>4411</v>
      </c>
      <c r="B4413" t="str">
        <f>HYPERLINK("https://bugs.eclipse.org/bugs/show_bug.cgi?id=402605", "402605")</f>
        <v>402605</v>
      </c>
      <c r="C4413" t="s">
        <v>20217</v>
      </c>
      <c r="D4413" t="s">
        <v>192</v>
      </c>
      <c r="E4413" t="s">
        <v>15</v>
      </c>
      <c r="F4413" t="s">
        <v>26</v>
      </c>
      <c r="Q4413" t="s">
        <v>20218</v>
      </c>
      <c r="T4413" t="s">
        <v>20219</v>
      </c>
      <c r="U4413" t="s">
        <v>20220</v>
      </c>
      <c r="V4413" t="s">
        <v>20218</v>
      </c>
      <c r="W4413" t="s">
        <v>851</v>
      </c>
      <c r="X4413" t="s">
        <v>20221</v>
      </c>
      <c r="Y4413">
        <v>0</v>
      </c>
      <c r="Z4413">
        <v>1</v>
      </c>
    </row>
    <row r="4414" spans="1:26">
      <c r="A4414" s="1">
        <v>4412</v>
      </c>
      <c r="B4414" t="str">
        <f>HYPERLINK("https://bugs.eclipse.org/bugs/show_bug.cgi?id=403885", "403885")</f>
        <v>403885</v>
      </c>
      <c r="C4414" t="s">
        <v>20222</v>
      </c>
      <c r="D4414" t="s">
        <v>192</v>
      </c>
      <c r="E4414" t="s">
        <v>15</v>
      </c>
      <c r="F4414" t="s">
        <v>26</v>
      </c>
      <c r="Q4414" t="s">
        <v>20223</v>
      </c>
      <c r="T4414" t="s">
        <v>20224</v>
      </c>
      <c r="U4414" t="s">
        <v>20225</v>
      </c>
      <c r="V4414" t="s">
        <v>20223</v>
      </c>
      <c r="W4414" t="s">
        <v>143</v>
      </c>
      <c r="X4414" t="s">
        <v>20226</v>
      </c>
      <c r="Y4414">
        <v>0</v>
      </c>
      <c r="Z4414">
        <v>0</v>
      </c>
    </row>
    <row r="4415" spans="1:26">
      <c r="A4415" s="1">
        <v>4413</v>
      </c>
      <c r="B4415" t="str">
        <f>HYPERLINK("https://bugs.eclipse.org/bugs/show_bug.cgi?id=403917", "403917")</f>
        <v>403917</v>
      </c>
      <c r="C4415" t="s">
        <v>149</v>
      </c>
      <c r="D4415" t="s">
        <v>10</v>
      </c>
      <c r="E4415" t="s">
        <v>12</v>
      </c>
      <c r="F4415" t="s">
        <v>460</v>
      </c>
      <c r="G4415" t="s">
        <v>20227</v>
      </c>
      <c r="H4415" t="s">
        <v>20228</v>
      </c>
      <c r="L4415" t="s">
        <v>20229</v>
      </c>
      <c r="N4415" t="s">
        <v>20229</v>
      </c>
      <c r="T4415" t="s">
        <v>20230</v>
      </c>
      <c r="U4415" t="s">
        <v>20231</v>
      </c>
      <c r="V4415" t="s">
        <v>20229</v>
      </c>
      <c r="W4415" t="s">
        <v>16518</v>
      </c>
      <c r="X4415" t="s">
        <v>20232</v>
      </c>
      <c r="Y4415">
        <v>0</v>
      </c>
      <c r="Z4415">
        <v>769</v>
      </c>
    </row>
    <row r="4416" spans="1:26">
      <c r="A4416" s="1">
        <v>4414</v>
      </c>
      <c r="B4416" t="str">
        <f>HYPERLINK("https://bugs.eclipse.org/bugs/show_bug.cgi?id=403923", "403923")</f>
        <v>403923</v>
      </c>
      <c r="C4416" t="s">
        <v>149</v>
      </c>
      <c r="D4416" t="s">
        <v>10</v>
      </c>
      <c r="E4416" t="s">
        <v>12</v>
      </c>
      <c r="F4416" t="s">
        <v>26</v>
      </c>
      <c r="L4416" t="s">
        <v>20233</v>
      </c>
      <c r="N4416" t="s">
        <v>20233</v>
      </c>
      <c r="T4416" t="s">
        <v>20234</v>
      </c>
      <c r="U4416" t="s">
        <v>20235</v>
      </c>
      <c r="V4416" t="s">
        <v>20233</v>
      </c>
      <c r="W4416" t="s">
        <v>851</v>
      </c>
      <c r="X4416" t="s">
        <v>20236</v>
      </c>
      <c r="Y4416">
        <v>0</v>
      </c>
      <c r="Z4416">
        <v>221</v>
      </c>
    </row>
    <row r="4417" spans="1:26">
      <c r="A4417" s="1">
        <v>4415</v>
      </c>
      <c r="B4417" t="str">
        <f>HYPERLINK("https://bugs.eclipse.org/bugs/show_bug.cgi?id=404147", "404147")</f>
        <v>404147</v>
      </c>
      <c r="C4417" t="s">
        <v>20237</v>
      </c>
      <c r="D4417" t="s">
        <v>192</v>
      </c>
      <c r="E4417" t="s">
        <v>15</v>
      </c>
      <c r="F4417" t="s">
        <v>26</v>
      </c>
      <c r="Q4417" t="s">
        <v>20238</v>
      </c>
      <c r="T4417" t="s">
        <v>20239</v>
      </c>
      <c r="U4417" t="s">
        <v>20240</v>
      </c>
      <c r="V4417" t="s">
        <v>20238</v>
      </c>
      <c r="W4417" t="s">
        <v>9181</v>
      </c>
      <c r="X4417" t="s">
        <v>20241</v>
      </c>
      <c r="Y4417">
        <v>0</v>
      </c>
      <c r="Z4417">
        <v>168</v>
      </c>
    </row>
    <row r="4418" spans="1:26">
      <c r="A4418" s="1">
        <v>4416</v>
      </c>
      <c r="B4418" t="str">
        <f>HYPERLINK("https://bugs.eclipse.org/bugs/show_bug.cgi?id=404471", "404471")</f>
        <v>404471</v>
      </c>
      <c r="C4418" t="s">
        <v>149</v>
      </c>
      <c r="D4418" t="s">
        <v>10</v>
      </c>
      <c r="E4418" t="s">
        <v>12</v>
      </c>
      <c r="F4418" t="s">
        <v>26</v>
      </c>
      <c r="L4418" t="s">
        <v>20242</v>
      </c>
      <c r="N4418" t="s">
        <v>20242</v>
      </c>
      <c r="Q4418" t="s">
        <v>20243</v>
      </c>
      <c r="S4418" t="s">
        <v>20244</v>
      </c>
      <c r="T4418" t="s">
        <v>20245</v>
      </c>
      <c r="U4418" t="s">
        <v>20243</v>
      </c>
      <c r="V4418" t="s">
        <v>20242</v>
      </c>
      <c r="W4418" t="s">
        <v>4846</v>
      </c>
      <c r="X4418" t="s">
        <v>20246</v>
      </c>
      <c r="Y4418">
        <v>1</v>
      </c>
      <c r="Z4418">
        <v>267.04166666666669</v>
      </c>
    </row>
    <row r="4419" spans="1:26">
      <c r="A4419" s="1">
        <v>4417</v>
      </c>
      <c r="B4419" t="str">
        <f>HYPERLINK("https://bugs.eclipse.org/bugs/show_bug.cgi?id=404477", "404477")</f>
        <v>404477</v>
      </c>
      <c r="C4419" t="s">
        <v>149</v>
      </c>
      <c r="D4419" t="s">
        <v>10</v>
      </c>
      <c r="E4419" t="s">
        <v>12</v>
      </c>
      <c r="F4419" t="s">
        <v>26</v>
      </c>
      <c r="L4419" t="s">
        <v>20247</v>
      </c>
      <c r="N4419" t="s">
        <v>20247</v>
      </c>
      <c r="T4419" t="s">
        <v>20248</v>
      </c>
      <c r="U4419" t="s">
        <v>20249</v>
      </c>
      <c r="V4419" t="s">
        <v>20250</v>
      </c>
      <c r="W4419" t="s">
        <v>851</v>
      </c>
      <c r="X4419" t="s">
        <v>20251</v>
      </c>
      <c r="Y4419">
        <v>1</v>
      </c>
      <c r="Z4419">
        <v>267.04166666666669</v>
      </c>
    </row>
    <row r="4420" spans="1:26">
      <c r="A4420" s="1">
        <v>4418</v>
      </c>
      <c r="B4420" t="str">
        <f>HYPERLINK("https://bugs.eclipse.org/bugs/show_bug.cgi?id=404700", "404700")</f>
        <v>404700</v>
      </c>
      <c r="C4420" t="s">
        <v>20237</v>
      </c>
      <c r="D4420" t="s">
        <v>192</v>
      </c>
      <c r="E4420" t="s">
        <v>15</v>
      </c>
      <c r="F4420" t="s">
        <v>26</v>
      </c>
      <c r="Q4420" t="s">
        <v>20252</v>
      </c>
      <c r="T4420" t="s">
        <v>20253</v>
      </c>
      <c r="U4420" t="s">
        <v>20254</v>
      </c>
      <c r="V4420" t="s">
        <v>20255</v>
      </c>
      <c r="W4420" t="s">
        <v>9181</v>
      </c>
      <c r="X4420" t="s">
        <v>20256</v>
      </c>
      <c r="Y4420">
        <v>0</v>
      </c>
      <c r="Z4420">
        <v>302.04166666666669</v>
      </c>
    </row>
    <row r="4421" spans="1:26">
      <c r="A4421" s="1">
        <v>4419</v>
      </c>
      <c r="B4421" t="str">
        <f>HYPERLINK("https://bugs.eclipse.org/bugs/show_bug.cgi?id=404705", "404705")</f>
        <v>404705</v>
      </c>
      <c r="C4421" t="s">
        <v>20237</v>
      </c>
      <c r="D4421" t="s">
        <v>192</v>
      </c>
      <c r="E4421" t="s">
        <v>15</v>
      </c>
      <c r="F4421" t="s">
        <v>26</v>
      </c>
      <c r="Q4421" t="s">
        <v>20257</v>
      </c>
      <c r="T4421" t="s">
        <v>20258</v>
      </c>
      <c r="U4421" t="s">
        <v>20259</v>
      </c>
      <c r="V4421" t="s">
        <v>20257</v>
      </c>
      <c r="W4421" t="s">
        <v>9181</v>
      </c>
      <c r="X4421" t="s">
        <v>20260</v>
      </c>
      <c r="Y4421">
        <v>0</v>
      </c>
      <c r="Z4421">
        <v>157</v>
      </c>
    </row>
    <row r="4422" spans="1:26">
      <c r="A4422" s="1">
        <v>4420</v>
      </c>
      <c r="B4422" t="str">
        <f>HYPERLINK("https://bugs.eclipse.org/bugs/show_bug.cgi?id=404856", "404856")</f>
        <v>404856</v>
      </c>
      <c r="C4422" t="s">
        <v>20261</v>
      </c>
      <c r="D4422" t="s">
        <v>192</v>
      </c>
      <c r="E4422" t="s">
        <v>15</v>
      </c>
      <c r="F4422" t="s">
        <v>26</v>
      </c>
      <c r="Q4422" t="s">
        <v>20262</v>
      </c>
      <c r="T4422" t="s">
        <v>20263</v>
      </c>
      <c r="U4422" t="s">
        <v>20262</v>
      </c>
      <c r="V4422" t="s">
        <v>20262</v>
      </c>
      <c r="W4422" t="s">
        <v>143</v>
      </c>
      <c r="X4422" t="s">
        <v>20264</v>
      </c>
      <c r="Y4422">
        <v>1</v>
      </c>
      <c r="Z4422">
        <v>1</v>
      </c>
    </row>
    <row r="4423" spans="1:26">
      <c r="A4423" s="1">
        <v>4421</v>
      </c>
      <c r="B4423" t="str">
        <f>HYPERLINK("https://bugs.eclipse.org/bugs/show_bug.cgi?id=405056", "405056")</f>
        <v>405056</v>
      </c>
      <c r="C4423" t="s">
        <v>20265</v>
      </c>
      <c r="D4423" t="s">
        <v>192</v>
      </c>
      <c r="E4423" t="s">
        <v>15</v>
      </c>
      <c r="F4423" t="s">
        <v>26</v>
      </c>
      <c r="Q4423" t="s">
        <v>20266</v>
      </c>
      <c r="T4423" t="s">
        <v>20267</v>
      </c>
      <c r="U4423" t="s">
        <v>20268</v>
      </c>
      <c r="V4423" t="s">
        <v>20266</v>
      </c>
      <c r="W4423" t="s">
        <v>143</v>
      </c>
      <c r="X4423" t="s">
        <v>20269</v>
      </c>
      <c r="Y4423">
        <v>1</v>
      </c>
      <c r="Z4423">
        <v>3</v>
      </c>
    </row>
    <row r="4424" spans="1:26">
      <c r="A4424" s="1">
        <v>4422</v>
      </c>
      <c r="B4424" t="str">
        <f>HYPERLINK("https://bugs.eclipse.org/bugs/show_bug.cgi?id=405270", "405270")</f>
        <v>405270</v>
      </c>
      <c r="C4424" t="s">
        <v>25</v>
      </c>
      <c r="D4424" t="s">
        <v>25</v>
      </c>
      <c r="F4424" t="s">
        <v>26</v>
      </c>
      <c r="G4424" t="s">
        <v>20270</v>
      </c>
      <c r="H4424" t="s">
        <v>20271</v>
      </c>
      <c r="T4424" t="s">
        <v>20272</v>
      </c>
      <c r="U4424" t="s">
        <v>20273</v>
      </c>
      <c r="V4424" t="s">
        <v>20274</v>
      </c>
      <c r="W4424" t="s">
        <v>9181</v>
      </c>
      <c r="X4424" t="s">
        <v>20275</v>
      </c>
      <c r="Y4424">
        <v>0</v>
      </c>
    </row>
    <row r="4425" spans="1:26">
      <c r="A4425" s="1">
        <v>4423</v>
      </c>
      <c r="B4425" t="str">
        <f>HYPERLINK("https://bugs.eclipse.org/bugs/show_bug.cgi?id=405317", "405317")</f>
        <v>405317</v>
      </c>
      <c r="C4425" t="s">
        <v>191</v>
      </c>
      <c r="D4425" t="s">
        <v>192</v>
      </c>
      <c r="E4425" t="s">
        <v>14</v>
      </c>
      <c r="F4425" t="s">
        <v>26</v>
      </c>
      <c r="T4425" t="s">
        <v>20276</v>
      </c>
      <c r="U4425" t="s">
        <v>20277</v>
      </c>
      <c r="V4425" t="s">
        <v>20278</v>
      </c>
      <c r="W4425" t="s">
        <v>65</v>
      </c>
      <c r="X4425" t="s">
        <v>20279</v>
      </c>
      <c r="Y4425">
        <v>1</v>
      </c>
      <c r="Z4425">
        <v>2387</v>
      </c>
    </row>
    <row r="4426" spans="1:26">
      <c r="A4426" s="1">
        <v>4424</v>
      </c>
      <c r="B4426" t="str">
        <f>HYPERLINK("https://bugs.eclipse.org/bugs/show_bug.cgi?id=405528", "405528")</f>
        <v>405528</v>
      </c>
      <c r="C4426" t="s">
        <v>191</v>
      </c>
      <c r="D4426" t="s">
        <v>192</v>
      </c>
      <c r="E4426" t="s">
        <v>14</v>
      </c>
      <c r="F4426" t="s">
        <v>26</v>
      </c>
      <c r="P4426" t="s">
        <v>20280</v>
      </c>
      <c r="T4426" t="s">
        <v>20281</v>
      </c>
      <c r="U4426" t="s">
        <v>20282</v>
      </c>
      <c r="V4426" t="s">
        <v>20280</v>
      </c>
      <c r="W4426" t="s">
        <v>65</v>
      </c>
      <c r="X4426" t="s">
        <v>20283</v>
      </c>
      <c r="Y4426">
        <v>4</v>
      </c>
      <c r="Z4426">
        <v>2503.041666666667</v>
      </c>
    </row>
    <row r="4427" spans="1:26">
      <c r="A4427" s="1">
        <v>4425</v>
      </c>
      <c r="B4427" t="str">
        <f>HYPERLINK("https://bugs.eclipse.org/bugs/show_bug.cgi?id=406274", "406274")</f>
        <v>406274</v>
      </c>
      <c r="C4427" t="s">
        <v>149</v>
      </c>
      <c r="D4427" t="s">
        <v>10</v>
      </c>
      <c r="E4427" t="s">
        <v>12</v>
      </c>
      <c r="F4427" t="s">
        <v>26</v>
      </c>
      <c r="L4427" t="s">
        <v>20284</v>
      </c>
      <c r="N4427" t="s">
        <v>20284</v>
      </c>
      <c r="T4427" t="s">
        <v>20285</v>
      </c>
      <c r="U4427" t="s">
        <v>20286</v>
      </c>
      <c r="V4427" t="s">
        <v>20287</v>
      </c>
      <c r="W4427" t="s">
        <v>19127</v>
      </c>
      <c r="X4427" t="s">
        <v>20288</v>
      </c>
      <c r="Y4427">
        <v>0</v>
      </c>
      <c r="Z4427">
        <v>345</v>
      </c>
    </row>
    <row r="4428" spans="1:26">
      <c r="A4428" s="1">
        <v>4426</v>
      </c>
      <c r="B4428" t="str">
        <f>HYPERLINK("https://bugs.eclipse.org/bugs/show_bug.cgi?id=406277", "406277")</f>
        <v>406277</v>
      </c>
      <c r="C4428" t="s">
        <v>20289</v>
      </c>
      <c r="D4428" t="s">
        <v>192</v>
      </c>
      <c r="E4428" t="s">
        <v>15</v>
      </c>
      <c r="F4428" t="s">
        <v>26</v>
      </c>
      <c r="Q4428" t="s">
        <v>20290</v>
      </c>
      <c r="T4428" t="s">
        <v>20291</v>
      </c>
      <c r="U4428" t="s">
        <v>20290</v>
      </c>
      <c r="V4428" t="s">
        <v>20290</v>
      </c>
      <c r="W4428" t="s">
        <v>9181</v>
      </c>
      <c r="X4428" t="s">
        <v>20292</v>
      </c>
      <c r="Y4428">
        <v>50</v>
      </c>
      <c r="Z4428">
        <v>50</v>
      </c>
    </row>
    <row r="4429" spans="1:26">
      <c r="A4429" s="1">
        <v>4427</v>
      </c>
      <c r="B4429" t="str">
        <f>HYPERLINK("https://bugs.eclipse.org/bugs/show_bug.cgi?id=406347", "406347")</f>
        <v>406347</v>
      </c>
      <c r="C4429" t="s">
        <v>149</v>
      </c>
      <c r="D4429" t="s">
        <v>10</v>
      </c>
      <c r="E4429" t="s">
        <v>12</v>
      </c>
      <c r="F4429" t="s">
        <v>26</v>
      </c>
      <c r="L4429" t="s">
        <v>20293</v>
      </c>
      <c r="N4429" t="s">
        <v>20293</v>
      </c>
      <c r="T4429" t="s">
        <v>20294</v>
      </c>
      <c r="U4429" t="s">
        <v>20295</v>
      </c>
      <c r="V4429" t="s">
        <v>20296</v>
      </c>
      <c r="W4429" t="s">
        <v>851</v>
      </c>
      <c r="X4429" t="s">
        <v>20297</v>
      </c>
      <c r="Y4429">
        <v>1</v>
      </c>
      <c r="Z4429">
        <v>168</v>
      </c>
    </row>
    <row r="4430" spans="1:26">
      <c r="A4430" s="1">
        <v>4428</v>
      </c>
      <c r="B4430" t="str">
        <f>HYPERLINK("https://bugs.eclipse.org/bugs/show_bug.cgi?id=406709", "406709")</f>
        <v>406709</v>
      </c>
      <c r="C4430" t="s">
        <v>191</v>
      </c>
      <c r="D4430" t="s">
        <v>192</v>
      </c>
      <c r="E4430" t="s">
        <v>14</v>
      </c>
      <c r="F4430" t="s">
        <v>26</v>
      </c>
      <c r="T4430" t="s">
        <v>20298</v>
      </c>
      <c r="U4430" t="s">
        <v>20299</v>
      </c>
      <c r="V4430" t="s">
        <v>20300</v>
      </c>
      <c r="W4430" t="s">
        <v>65</v>
      </c>
      <c r="X4430" t="s">
        <v>20301</v>
      </c>
      <c r="Y4430">
        <v>3</v>
      </c>
      <c r="Z4430">
        <v>2047.041666666667</v>
      </c>
    </row>
    <row r="4431" spans="1:26">
      <c r="A4431" s="1">
        <v>4429</v>
      </c>
      <c r="B4431" t="str">
        <f>HYPERLINK("https://bugs.eclipse.org/bugs/show_bug.cgi?id=406786", "406786")</f>
        <v>406786</v>
      </c>
      <c r="C4431" t="s">
        <v>35</v>
      </c>
      <c r="D4431" t="s">
        <v>11</v>
      </c>
      <c r="E4431" t="s">
        <v>12</v>
      </c>
      <c r="F4431" t="s">
        <v>26</v>
      </c>
      <c r="G4431" t="s">
        <v>20302</v>
      </c>
      <c r="H4431" t="s">
        <v>20303</v>
      </c>
      <c r="L4431" t="s">
        <v>20304</v>
      </c>
      <c r="M4431" t="s">
        <v>20305</v>
      </c>
      <c r="N4431" t="s">
        <v>20304</v>
      </c>
      <c r="T4431" t="s">
        <v>20306</v>
      </c>
      <c r="U4431" t="s">
        <v>20307</v>
      </c>
      <c r="V4431" t="s">
        <v>20305</v>
      </c>
      <c r="W4431" t="s">
        <v>9181</v>
      </c>
      <c r="X4431" t="s">
        <v>20308</v>
      </c>
      <c r="Y4431">
        <v>15</v>
      </c>
      <c r="Z4431">
        <v>300.04166666666669</v>
      </c>
    </row>
    <row r="4432" spans="1:26">
      <c r="A4432" s="1">
        <v>4430</v>
      </c>
      <c r="B4432" t="str">
        <f>HYPERLINK("https://bugs.eclipse.org/bugs/show_bug.cgi?id=407056", "407056")</f>
        <v>407056</v>
      </c>
      <c r="C4432" t="s">
        <v>149</v>
      </c>
      <c r="D4432" t="s">
        <v>10</v>
      </c>
      <c r="E4432" t="s">
        <v>12</v>
      </c>
      <c r="F4432" t="s">
        <v>26</v>
      </c>
      <c r="G4432" t="s">
        <v>20309</v>
      </c>
      <c r="L4432" t="s">
        <v>20310</v>
      </c>
      <c r="N4432" t="s">
        <v>20310</v>
      </c>
      <c r="T4432" t="s">
        <v>20311</v>
      </c>
      <c r="U4432" t="s">
        <v>20312</v>
      </c>
      <c r="V4432" t="s">
        <v>20310</v>
      </c>
      <c r="W4432" t="s">
        <v>851</v>
      </c>
      <c r="X4432" t="s">
        <v>20313</v>
      </c>
      <c r="Y4432">
        <v>0</v>
      </c>
      <c r="Z4432">
        <v>281.04166666666669</v>
      </c>
    </row>
    <row r="4433" spans="1:26">
      <c r="A4433" s="1">
        <v>4431</v>
      </c>
      <c r="B4433" t="str">
        <f>HYPERLINK("https://bugs.eclipse.org/bugs/show_bug.cgi?id=407224", "407224")</f>
        <v>407224</v>
      </c>
      <c r="C4433" t="s">
        <v>191</v>
      </c>
      <c r="D4433" t="s">
        <v>192</v>
      </c>
      <c r="E4433" t="s">
        <v>14</v>
      </c>
      <c r="F4433" t="s">
        <v>26</v>
      </c>
      <c r="P4433" t="s">
        <v>20314</v>
      </c>
      <c r="T4433" t="s">
        <v>20315</v>
      </c>
      <c r="U4433" t="s">
        <v>20316</v>
      </c>
      <c r="V4433" t="s">
        <v>20314</v>
      </c>
      <c r="W4433" t="s">
        <v>65</v>
      </c>
      <c r="X4433" t="s">
        <v>20317</v>
      </c>
      <c r="Y4433">
        <v>0</v>
      </c>
      <c r="Z4433">
        <v>2468.041666666667</v>
      </c>
    </row>
    <row r="4434" spans="1:26">
      <c r="A4434" s="1">
        <v>4432</v>
      </c>
      <c r="B4434" t="str">
        <f>HYPERLINK("https://bugs.eclipse.org/bugs/show_bug.cgi?id=407349", "407349")</f>
        <v>407349</v>
      </c>
      <c r="C4434" t="s">
        <v>25</v>
      </c>
      <c r="D4434" t="s">
        <v>25</v>
      </c>
      <c r="F4434" t="s">
        <v>460</v>
      </c>
      <c r="T4434" t="s">
        <v>20318</v>
      </c>
      <c r="U4434" t="s">
        <v>20319</v>
      </c>
      <c r="V4434" t="s">
        <v>20320</v>
      </c>
      <c r="W4434" t="s">
        <v>851</v>
      </c>
      <c r="X4434" t="s">
        <v>20321</v>
      </c>
      <c r="Y4434">
        <v>1</v>
      </c>
    </row>
    <row r="4435" spans="1:26">
      <c r="A4435" s="1">
        <v>4433</v>
      </c>
      <c r="B4435" t="str">
        <f>HYPERLINK("https://bugs.eclipse.org/bugs/show_bug.cgi?id=407382", "407382")</f>
        <v>407382</v>
      </c>
      <c r="C4435" t="s">
        <v>35</v>
      </c>
      <c r="D4435" t="s">
        <v>11</v>
      </c>
      <c r="E4435" t="s">
        <v>12</v>
      </c>
      <c r="F4435" t="s">
        <v>26</v>
      </c>
      <c r="L4435" t="s">
        <v>20322</v>
      </c>
      <c r="M4435" t="s">
        <v>20323</v>
      </c>
      <c r="N4435" t="s">
        <v>20322</v>
      </c>
      <c r="T4435" t="s">
        <v>20324</v>
      </c>
      <c r="U4435" t="s">
        <v>20325</v>
      </c>
      <c r="V4435" t="s">
        <v>20323</v>
      </c>
      <c r="W4435" t="s">
        <v>143</v>
      </c>
      <c r="X4435" t="s">
        <v>20326</v>
      </c>
      <c r="Y4435">
        <v>0</v>
      </c>
      <c r="Z4435">
        <v>6</v>
      </c>
    </row>
    <row r="4436" spans="1:26">
      <c r="A4436" s="1">
        <v>4434</v>
      </c>
      <c r="B4436" t="str">
        <f>HYPERLINK("https://bugs.eclipse.org/bugs/show_bug.cgi?id=407759", "407759")</f>
        <v>407759</v>
      </c>
      <c r="C4436" t="s">
        <v>149</v>
      </c>
      <c r="D4436" t="s">
        <v>10</v>
      </c>
      <c r="E4436" t="s">
        <v>12</v>
      </c>
      <c r="F4436" t="s">
        <v>26</v>
      </c>
      <c r="L4436" t="s">
        <v>20327</v>
      </c>
      <c r="N4436" t="s">
        <v>20327</v>
      </c>
      <c r="T4436" t="s">
        <v>20328</v>
      </c>
      <c r="U4436" t="s">
        <v>20329</v>
      </c>
      <c r="V4436" t="s">
        <v>20327</v>
      </c>
      <c r="W4436" t="s">
        <v>851</v>
      </c>
      <c r="X4436" t="s">
        <v>20330</v>
      </c>
      <c r="Y4436">
        <v>3</v>
      </c>
      <c r="Z4436">
        <v>347</v>
      </c>
    </row>
    <row r="4437" spans="1:26">
      <c r="A4437" s="1">
        <v>4435</v>
      </c>
      <c r="B4437" t="str">
        <f>HYPERLINK("https://bugs.eclipse.org/bugs/show_bug.cgi?id=407985", "407985")</f>
        <v>407985</v>
      </c>
      <c r="C4437" t="s">
        <v>35</v>
      </c>
      <c r="D4437" t="s">
        <v>11</v>
      </c>
      <c r="E4437" t="s">
        <v>12</v>
      </c>
      <c r="F4437" t="s">
        <v>26</v>
      </c>
      <c r="G4437" t="s">
        <v>20331</v>
      </c>
      <c r="H4437" t="s">
        <v>20332</v>
      </c>
      <c r="L4437" t="s">
        <v>20333</v>
      </c>
      <c r="M4437" t="s">
        <v>20334</v>
      </c>
      <c r="N4437" t="s">
        <v>20333</v>
      </c>
      <c r="T4437" t="s">
        <v>20335</v>
      </c>
      <c r="U4437" t="s">
        <v>20307</v>
      </c>
      <c r="V4437" t="s">
        <v>20334</v>
      </c>
      <c r="W4437" t="s">
        <v>9181</v>
      </c>
      <c r="X4437" t="s">
        <v>20336</v>
      </c>
      <c r="Y4437">
        <v>0</v>
      </c>
      <c r="Z4437">
        <v>285.04166666666669</v>
      </c>
    </row>
    <row r="4438" spans="1:26">
      <c r="A4438" s="1">
        <v>4436</v>
      </c>
      <c r="B4438" t="str">
        <f>HYPERLINK("https://bugs.eclipse.org/bugs/show_bug.cgi?id=408009", "408009")</f>
        <v>408009</v>
      </c>
      <c r="C4438" t="s">
        <v>35</v>
      </c>
      <c r="D4438" t="s">
        <v>11</v>
      </c>
      <c r="E4438" t="s">
        <v>12</v>
      </c>
      <c r="F4438" t="s">
        <v>26</v>
      </c>
      <c r="G4438" t="s">
        <v>20337</v>
      </c>
      <c r="H4438" t="s">
        <v>20338</v>
      </c>
      <c r="L4438" t="s">
        <v>20339</v>
      </c>
      <c r="M4438" t="s">
        <v>20340</v>
      </c>
      <c r="N4438" t="s">
        <v>20339</v>
      </c>
      <c r="T4438" t="s">
        <v>20341</v>
      </c>
      <c r="U4438" t="s">
        <v>20342</v>
      </c>
      <c r="V4438" t="s">
        <v>20340</v>
      </c>
      <c r="W4438" t="s">
        <v>9181</v>
      </c>
      <c r="X4438" t="s">
        <v>20343</v>
      </c>
      <c r="Y4438">
        <v>0</v>
      </c>
      <c r="Z4438">
        <v>285.04166666666669</v>
      </c>
    </row>
    <row r="4439" spans="1:26">
      <c r="A4439" s="1">
        <v>4437</v>
      </c>
      <c r="B4439" t="str">
        <f>HYPERLINK("https://bugs.eclipse.org/bugs/show_bug.cgi?id=408124", "408124")</f>
        <v>408124</v>
      </c>
      <c r="C4439" t="s">
        <v>35</v>
      </c>
      <c r="D4439" t="s">
        <v>11</v>
      </c>
      <c r="E4439" t="s">
        <v>12</v>
      </c>
      <c r="F4439" t="s">
        <v>26</v>
      </c>
      <c r="L4439" t="s">
        <v>20344</v>
      </c>
      <c r="M4439" t="s">
        <v>20345</v>
      </c>
      <c r="N4439" t="s">
        <v>20344</v>
      </c>
      <c r="T4439" t="s">
        <v>20346</v>
      </c>
      <c r="U4439" t="s">
        <v>20347</v>
      </c>
      <c r="V4439" t="s">
        <v>20345</v>
      </c>
      <c r="W4439" t="s">
        <v>143</v>
      </c>
      <c r="X4439" t="s">
        <v>20348</v>
      </c>
      <c r="Y4439">
        <v>0</v>
      </c>
      <c r="Z4439">
        <v>7</v>
      </c>
    </row>
    <row r="4440" spans="1:26">
      <c r="A4440" s="1">
        <v>4438</v>
      </c>
      <c r="B4440" t="str">
        <f>HYPERLINK("https://bugs.eclipse.org/bugs/show_bug.cgi?id=408247", "408247")</f>
        <v>408247</v>
      </c>
      <c r="C4440" t="s">
        <v>191</v>
      </c>
      <c r="D4440" t="s">
        <v>192</v>
      </c>
      <c r="E4440" t="s">
        <v>14</v>
      </c>
      <c r="F4440" t="s">
        <v>26</v>
      </c>
      <c r="P4440" t="s">
        <v>20349</v>
      </c>
      <c r="T4440" t="s">
        <v>20350</v>
      </c>
      <c r="U4440" t="s">
        <v>20351</v>
      </c>
      <c r="V4440" t="s">
        <v>20349</v>
      </c>
      <c r="W4440" t="s">
        <v>65</v>
      </c>
      <c r="X4440" t="s">
        <v>20352</v>
      </c>
      <c r="Y4440">
        <v>1</v>
      </c>
      <c r="Z4440">
        <v>2542</v>
      </c>
    </row>
    <row r="4441" spans="1:26">
      <c r="A4441" s="1">
        <v>4439</v>
      </c>
      <c r="B4441" t="str">
        <f>HYPERLINK("https://bugs.eclipse.org/bugs/show_bug.cgi?id=408334", "408334")</f>
        <v>408334</v>
      </c>
      <c r="C4441" t="s">
        <v>149</v>
      </c>
      <c r="D4441" t="s">
        <v>10</v>
      </c>
      <c r="E4441" t="s">
        <v>12</v>
      </c>
      <c r="F4441" t="s">
        <v>26</v>
      </c>
      <c r="L4441" t="s">
        <v>20353</v>
      </c>
      <c r="N4441" t="s">
        <v>20353</v>
      </c>
      <c r="T4441" t="s">
        <v>20354</v>
      </c>
      <c r="U4441" t="s">
        <v>20355</v>
      </c>
      <c r="V4441" t="s">
        <v>20353</v>
      </c>
      <c r="W4441" t="s">
        <v>851</v>
      </c>
      <c r="X4441" t="s">
        <v>20356</v>
      </c>
      <c r="Y4441">
        <v>0</v>
      </c>
      <c r="Z4441">
        <v>202.04166666666671</v>
      </c>
    </row>
    <row r="4442" spans="1:26">
      <c r="A4442" s="1">
        <v>4440</v>
      </c>
      <c r="B4442" t="str">
        <f>HYPERLINK("https://bugs.eclipse.org/bugs/show_bug.cgi?id=408387", "408387")</f>
        <v>408387</v>
      </c>
      <c r="C4442" t="s">
        <v>20357</v>
      </c>
      <c r="D4442" t="s">
        <v>192</v>
      </c>
      <c r="E4442" t="s">
        <v>15</v>
      </c>
      <c r="F4442" t="s">
        <v>26</v>
      </c>
      <c r="Q4442" t="s">
        <v>20358</v>
      </c>
      <c r="T4442" t="s">
        <v>20359</v>
      </c>
      <c r="U4442" t="s">
        <v>20358</v>
      </c>
      <c r="V4442" t="s">
        <v>20360</v>
      </c>
      <c r="W4442" t="s">
        <v>143</v>
      </c>
      <c r="X4442" t="s">
        <v>20361</v>
      </c>
      <c r="Y4442">
        <v>3</v>
      </c>
      <c r="Z4442">
        <v>3</v>
      </c>
    </row>
    <row r="4443" spans="1:26">
      <c r="A4443" s="1">
        <v>4441</v>
      </c>
      <c r="B4443" t="str">
        <f>HYPERLINK("https://bugs.eclipse.org/bugs/show_bug.cgi?id=408555", "408555")</f>
        <v>408555</v>
      </c>
      <c r="C4443" t="s">
        <v>35</v>
      </c>
      <c r="D4443" t="s">
        <v>11</v>
      </c>
      <c r="E4443" t="s">
        <v>12</v>
      </c>
      <c r="F4443" t="s">
        <v>26</v>
      </c>
      <c r="L4443" t="s">
        <v>20362</v>
      </c>
      <c r="M4443" t="s">
        <v>20363</v>
      </c>
      <c r="N4443" t="s">
        <v>20362</v>
      </c>
      <c r="T4443" t="s">
        <v>20364</v>
      </c>
      <c r="U4443" t="s">
        <v>20365</v>
      </c>
      <c r="V4443" t="s">
        <v>20363</v>
      </c>
      <c r="W4443" t="s">
        <v>143</v>
      </c>
      <c r="X4443" t="s">
        <v>20366</v>
      </c>
      <c r="Y4443">
        <v>8</v>
      </c>
      <c r="Z4443">
        <v>10</v>
      </c>
    </row>
    <row r="4444" spans="1:26">
      <c r="A4444" s="1">
        <v>4442</v>
      </c>
      <c r="B4444" t="str">
        <f>HYPERLINK("https://bugs.eclipse.org/bugs/show_bug.cgi?id=408966", "408966")</f>
        <v>408966</v>
      </c>
      <c r="C4444" t="s">
        <v>149</v>
      </c>
      <c r="D4444" t="s">
        <v>10</v>
      </c>
      <c r="E4444" t="s">
        <v>12</v>
      </c>
      <c r="F4444" t="s">
        <v>26</v>
      </c>
      <c r="G4444" t="s">
        <v>20367</v>
      </c>
      <c r="H4444" t="s">
        <v>20368</v>
      </c>
      <c r="L4444" t="s">
        <v>20369</v>
      </c>
      <c r="N4444" t="s">
        <v>20369</v>
      </c>
      <c r="T4444" t="s">
        <v>20370</v>
      </c>
      <c r="U4444" t="s">
        <v>20371</v>
      </c>
      <c r="V4444" t="s">
        <v>20372</v>
      </c>
      <c r="W4444" t="s">
        <v>4846</v>
      </c>
      <c r="X4444" t="s">
        <v>20373</v>
      </c>
      <c r="Y4444">
        <v>0</v>
      </c>
      <c r="Z4444">
        <v>387</v>
      </c>
    </row>
    <row r="4445" spans="1:26">
      <c r="A4445" s="1">
        <v>4443</v>
      </c>
      <c r="B4445" t="str">
        <f>HYPERLINK("https://bugs.eclipse.org/bugs/show_bug.cgi?id=409142", "409142")</f>
        <v>409142</v>
      </c>
      <c r="C4445" t="s">
        <v>25</v>
      </c>
      <c r="D4445" t="s">
        <v>25</v>
      </c>
      <c r="F4445" t="s">
        <v>460</v>
      </c>
      <c r="Q4445" t="s">
        <v>20374</v>
      </c>
      <c r="S4445" t="s">
        <v>20375</v>
      </c>
      <c r="T4445" t="s">
        <v>20376</v>
      </c>
      <c r="U4445" t="s">
        <v>20377</v>
      </c>
      <c r="V4445" t="s">
        <v>20378</v>
      </c>
      <c r="W4445" t="s">
        <v>143</v>
      </c>
      <c r="X4445" t="s">
        <v>20379</v>
      </c>
      <c r="Y4445">
        <v>0</v>
      </c>
    </row>
    <row r="4446" spans="1:26">
      <c r="A4446" s="1">
        <v>4444</v>
      </c>
      <c r="B4446" t="str">
        <f>HYPERLINK("https://bugs.eclipse.org/bugs/show_bug.cgi?id=409596", "409596")</f>
        <v>409596</v>
      </c>
      <c r="C4446" t="s">
        <v>35</v>
      </c>
      <c r="D4446" t="s">
        <v>11</v>
      </c>
      <c r="E4446" t="s">
        <v>12</v>
      </c>
      <c r="F4446" t="s">
        <v>150</v>
      </c>
      <c r="G4446" t="s">
        <v>20380</v>
      </c>
      <c r="L4446" t="s">
        <v>20381</v>
      </c>
      <c r="M4446" t="s">
        <v>20382</v>
      </c>
      <c r="N4446" t="s">
        <v>20381</v>
      </c>
      <c r="T4446" t="s">
        <v>20383</v>
      </c>
      <c r="U4446" t="s">
        <v>20384</v>
      </c>
      <c r="V4446" t="s">
        <v>20382</v>
      </c>
      <c r="W4446" t="s">
        <v>4846</v>
      </c>
      <c r="X4446" t="s">
        <v>20385</v>
      </c>
      <c r="Y4446">
        <v>0</v>
      </c>
      <c r="Z4446">
        <v>266.04166666666669</v>
      </c>
    </row>
    <row r="4447" spans="1:26">
      <c r="A4447" s="1">
        <v>4445</v>
      </c>
      <c r="B4447" t="str">
        <f>HYPERLINK("https://bugs.eclipse.org/bugs/show_bug.cgi?id=409704", "409704")</f>
        <v>409704</v>
      </c>
      <c r="C4447" t="s">
        <v>35</v>
      </c>
      <c r="D4447" t="s">
        <v>11</v>
      </c>
      <c r="E4447" t="s">
        <v>12</v>
      </c>
      <c r="F4447" t="s">
        <v>26</v>
      </c>
      <c r="L4447" t="s">
        <v>20386</v>
      </c>
      <c r="M4447" t="s">
        <v>20387</v>
      </c>
      <c r="N4447" t="s">
        <v>20386</v>
      </c>
      <c r="T4447" t="s">
        <v>20388</v>
      </c>
      <c r="U4447" t="s">
        <v>20389</v>
      </c>
      <c r="V4447" t="s">
        <v>20387</v>
      </c>
      <c r="W4447" t="s">
        <v>851</v>
      </c>
      <c r="X4447" t="s">
        <v>20390</v>
      </c>
      <c r="Y4447">
        <v>0</v>
      </c>
      <c r="Z4447">
        <v>2</v>
      </c>
    </row>
    <row r="4448" spans="1:26">
      <c r="A4448" s="1">
        <v>4446</v>
      </c>
      <c r="B4448" t="str">
        <f>HYPERLINK("https://bugs.eclipse.org/bugs/show_bug.cgi?id=409705", "409705")</f>
        <v>409705</v>
      </c>
      <c r="C4448" t="s">
        <v>35</v>
      </c>
      <c r="D4448" t="s">
        <v>11</v>
      </c>
      <c r="E4448" t="s">
        <v>12</v>
      </c>
      <c r="F4448" t="s">
        <v>26</v>
      </c>
      <c r="L4448" t="s">
        <v>20391</v>
      </c>
      <c r="M4448" t="s">
        <v>20392</v>
      </c>
      <c r="N4448" t="s">
        <v>20391</v>
      </c>
      <c r="T4448" t="s">
        <v>20393</v>
      </c>
      <c r="U4448" t="s">
        <v>20394</v>
      </c>
      <c r="V4448" t="s">
        <v>20392</v>
      </c>
      <c r="W4448" t="s">
        <v>851</v>
      </c>
      <c r="X4448" t="s">
        <v>20395</v>
      </c>
      <c r="Y4448">
        <v>0</v>
      </c>
      <c r="Z4448">
        <v>2</v>
      </c>
    </row>
    <row r="4449" spans="1:26">
      <c r="A4449" s="1">
        <v>4447</v>
      </c>
      <c r="B4449" t="str">
        <f>HYPERLINK("https://bugs.eclipse.org/bugs/show_bug.cgi?id=409707", "409707")</f>
        <v>409707</v>
      </c>
      <c r="C4449" t="s">
        <v>149</v>
      </c>
      <c r="D4449" t="s">
        <v>10</v>
      </c>
      <c r="E4449" t="s">
        <v>12</v>
      </c>
      <c r="F4449" t="s">
        <v>26</v>
      </c>
      <c r="L4449" t="s">
        <v>20396</v>
      </c>
      <c r="N4449" t="s">
        <v>20396</v>
      </c>
      <c r="R4449" t="s">
        <v>20397</v>
      </c>
      <c r="S4449" t="s">
        <v>20398</v>
      </c>
      <c r="T4449" t="s">
        <v>20399</v>
      </c>
      <c r="U4449" t="s">
        <v>20400</v>
      </c>
      <c r="V4449" t="s">
        <v>20396</v>
      </c>
      <c r="W4449" t="s">
        <v>851</v>
      </c>
      <c r="X4449" t="s">
        <v>20401</v>
      </c>
      <c r="Y4449">
        <v>0</v>
      </c>
      <c r="Z4449">
        <v>190.04166666666671</v>
      </c>
    </row>
    <row r="4450" spans="1:26">
      <c r="A4450" s="1">
        <v>4448</v>
      </c>
      <c r="B4450" t="str">
        <f>HYPERLINK("https://bugs.eclipse.org/bugs/show_bug.cgi?id=409719", "409719")</f>
        <v>409719</v>
      </c>
      <c r="C4450" t="s">
        <v>35</v>
      </c>
      <c r="D4450" t="s">
        <v>11</v>
      </c>
      <c r="E4450" t="s">
        <v>12</v>
      </c>
      <c r="F4450" t="s">
        <v>26</v>
      </c>
      <c r="L4450" t="s">
        <v>20402</v>
      </c>
      <c r="M4450" t="s">
        <v>20403</v>
      </c>
      <c r="N4450" t="s">
        <v>20402</v>
      </c>
      <c r="T4450" t="s">
        <v>20404</v>
      </c>
      <c r="U4450" t="s">
        <v>20405</v>
      </c>
      <c r="V4450" t="s">
        <v>20403</v>
      </c>
      <c r="W4450" t="s">
        <v>9181</v>
      </c>
      <c r="X4450" t="s">
        <v>20406</v>
      </c>
      <c r="Y4450">
        <v>0</v>
      </c>
      <c r="Z4450">
        <v>266.04166666666669</v>
      </c>
    </row>
    <row r="4451" spans="1:26">
      <c r="A4451" s="1">
        <v>4449</v>
      </c>
      <c r="B4451" t="str">
        <f>HYPERLINK("https://bugs.eclipse.org/bugs/show_bug.cgi?id=409723", "409723")</f>
        <v>409723</v>
      </c>
      <c r="C4451" t="s">
        <v>149</v>
      </c>
      <c r="D4451" t="s">
        <v>10</v>
      </c>
      <c r="E4451" t="s">
        <v>12</v>
      </c>
      <c r="F4451" t="s">
        <v>26</v>
      </c>
      <c r="L4451" t="s">
        <v>20407</v>
      </c>
      <c r="N4451" t="s">
        <v>20407</v>
      </c>
      <c r="T4451" t="s">
        <v>20408</v>
      </c>
      <c r="U4451" t="s">
        <v>20409</v>
      </c>
      <c r="V4451" t="s">
        <v>20407</v>
      </c>
      <c r="W4451" t="s">
        <v>851</v>
      </c>
      <c r="X4451" t="s">
        <v>20410</v>
      </c>
      <c r="Y4451">
        <v>0</v>
      </c>
      <c r="Z4451">
        <v>325</v>
      </c>
    </row>
    <row r="4452" spans="1:26">
      <c r="A4452" s="1">
        <v>4450</v>
      </c>
      <c r="B4452" t="str">
        <f>HYPERLINK("https://bugs.eclipse.org/bugs/show_bug.cgi?id=409906", "409906")</f>
        <v>409906</v>
      </c>
      <c r="C4452" t="s">
        <v>35</v>
      </c>
      <c r="D4452" t="s">
        <v>11</v>
      </c>
      <c r="E4452" t="s">
        <v>12</v>
      </c>
      <c r="F4452" t="s">
        <v>26</v>
      </c>
      <c r="L4452" t="s">
        <v>20411</v>
      </c>
      <c r="M4452" t="s">
        <v>20412</v>
      </c>
      <c r="N4452" t="s">
        <v>20411</v>
      </c>
      <c r="T4452" t="s">
        <v>20413</v>
      </c>
      <c r="U4452" t="s">
        <v>20414</v>
      </c>
      <c r="V4452" t="s">
        <v>20412</v>
      </c>
      <c r="W4452" t="s">
        <v>9181</v>
      </c>
      <c r="X4452" t="s">
        <v>20415</v>
      </c>
      <c r="Y4452">
        <v>0</v>
      </c>
      <c r="Z4452">
        <v>261.04166666666669</v>
      </c>
    </row>
    <row r="4453" spans="1:26">
      <c r="A4453" s="1">
        <v>4451</v>
      </c>
      <c r="B4453" t="str">
        <f>HYPERLINK("https://bugs.eclipse.org/bugs/show_bug.cgi?id=410056", "410056")</f>
        <v>410056</v>
      </c>
      <c r="C4453" t="s">
        <v>35</v>
      </c>
      <c r="D4453" t="s">
        <v>11</v>
      </c>
      <c r="E4453" t="s">
        <v>12</v>
      </c>
      <c r="F4453" t="s">
        <v>26</v>
      </c>
      <c r="L4453" t="s">
        <v>20416</v>
      </c>
      <c r="M4453" t="s">
        <v>20417</v>
      </c>
      <c r="N4453" t="s">
        <v>20416</v>
      </c>
      <c r="T4453" t="s">
        <v>20418</v>
      </c>
      <c r="U4453" t="s">
        <v>20419</v>
      </c>
      <c r="V4453" t="s">
        <v>20417</v>
      </c>
      <c r="W4453" t="s">
        <v>4846</v>
      </c>
      <c r="X4453" t="s">
        <v>20420</v>
      </c>
      <c r="Y4453">
        <v>0</v>
      </c>
      <c r="Z4453">
        <v>347</v>
      </c>
    </row>
    <row r="4454" spans="1:26">
      <c r="A4454" s="1">
        <v>4452</v>
      </c>
      <c r="B4454" t="str">
        <f>HYPERLINK("https://bugs.eclipse.org/bugs/show_bug.cgi?id=410371", "410371")</f>
        <v>410371</v>
      </c>
      <c r="C4454" t="s">
        <v>149</v>
      </c>
      <c r="D4454" t="s">
        <v>10</v>
      </c>
      <c r="E4454" t="s">
        <v>12</v>
      </c>
      <c r="F4454" t="s">
        <v>26</v>
      </c>
      <c r="L4454" t="s">
        <v>20421</v>
      </c>
      <c r="N4454" t="s">
        <v>20421</v>
      </c>
      <c r="T4454" t="s">
        <v>20422</v>
      </c>
      <c r="U4454" t="s">
        <v>20423</v>
      </c>
      <c r="V4454" t="s">
        <v>20421</v>
      </c>
      <c r="W4454" t="s">
        <v>851</v>
      </c>
      <c r="X4454" t="s">
        <v>20424</v>
      </c>
      <c r="Y4454">
        <v>0</v>
      </c>
      <c r="Z4454">
        <v>178.04166666666671</v>
      </c>
    </row>
    <row r="4455" spans="1:26">
      <c r="A4455" s="1">
        <v>4453</v>
      </c>
      <c r="B4455" t="str">
        <f>HYPERLINK("https://bugs.eclipse.org/bugs/show_bug.cgi?id=411529", "411529")</f>
        <v>411529</v>
      </c>
      <c r="C4455" t="s">
        <v>149</v>
      </c>
      <c r="D4455" t="s">
        <v>10</v>
      </c>
      <c r="E4455" t="s">
        <v>12</v>
      </c>
      <c r="F4455" t="s">
        <v>26</v>
      </c>
      <c r="L4455" t="s">
        <v>20425</v>
      </c>
      <c r="N4455" t="s">
        <v>20425</v>
      </c>
      <c r="T4455" t="s">
        <v>20426</v>
      </c>
      <c r="U4455" t="s">
        <v>20427</v>
      </c>
      <c r="V4455" t="s">
        <v>20425</v>
      </c>
      <c r="W4455" t="s">
        <v>9181</v>
      </c>
      <c r="X4455" t="s">
        <v>20428</v>
      </c>
      <c r="Y4455">
        <v>1</v>
      </c>
      <c r="Z4455">
        <v>58</v>
      </c>
    </row>
    <row r="4456" spans="1:26">
      <c r="A4456" s="1">
        <v>4454</v>
      </c>
      <c r="B4456" t="str">
        <f>HYPERLINK("https://bugs.eclipse.org/bugs/show_bug.cgi?id=411608", "411608")</f>
        <v>411608</v>
      </c>
      <c r="C4456" t="s">
        <v>20429</v>
      </c>
      <c r="D4456" t="s">
        <v>192</v>
      </c>
      <c r="E4456" t="s">
        <v>15</v>
      </c>
      <c r="F4456" t="s">
        <v>26</v>
      </c>
      <c r="Q4456" t="s">
        <v>20430</v>
      </c>
      <c r="T4456" t="s">
        <v>20431</v>
      </c>
      <c r="U4456" t="s">
        <v>20430</v>
      </c>
      <c r="V4456" t="s">
        <v>20430</v>
      </c>
      <c r="W4456" t="s">
        <v>4846</v>
      </c>
      <c r="X4456" t="s">
        <v>20432</v>
      </c>
      <c r="Y4456">
        <v>0</v>
      </c>
      <c r="Z4456">
        <v>0</v>
      </c>
    </row>
    <row r="4457" spans="1:26">
      <c r="A4457" s="1">
        <v>4455</v>
      </c>
      <c r="B4457" t="str">
        <f>HYPERLINK("https://bugs.eclipse.org/bugs/show_bug.cgi?id=411953", "411953")</f>
        <v>411953</v>
      </c>
      <c r="C4457" t="s">
        <v>140</v>
      </c>
      <c r="D4457" t="s">
        <v>10</v>
      </c>
      <c r="E4457" t="s">
        <v>16</v>
      </c>
      <c r="F4457" t="s">
        <v>26</v>
      </c>
      <c r="L4457" t="s">
        <v>20433</v>
      </c>
      <c r="R4457" t="s">
        <v>20433</v>
      </c>
      <c r="T4457" t="s">
        <v>20434</v>
      </c>
      <c r="U4457" t="s">
        <v>20433</v>
      </c>
      <c r="V4457" t="s">
        <v>20435</v>
      </c>
      <c r="W4457" t="s">
        <v>20436</v>
      </c>
      <c r="X4457" t="s">
        <v>20437</v>
      </c>
      <c r="Y4457">
        <v>1</v>
      </c>
      <c r="Z4457">
        <v>602.04166666666663</v>
      </c>
    </row>
    <row r="4458" spans="1:26">
      <c r="A4458" s="1">
        <v>4456</v>
      </c>
      <c r="B4458" t="str">
        <f>HYPERLINK("https://bugs.eclipse.org/bugs/show_bug.cgi?id=412189", "412189")</f>
        <v>412189</v>
      </c>
      <c r="C4458" t="s">
        <v>56</v>
      </c>
      <c r="D4458" t="s">
        <v>10</v>
      </c>
      <c r="E4458" t="s">
        <v>14</v>
      </c>
      <c r="F4458" t="s">
        <v>26</v>
      </c>
      <c r="L4458" t="s">
        <v>20438</v>
      </c>
      <c r="P4458" t="s">
        <v>20438</v>
      </c>
      <c r="T4458" t="s">
        <v>20439</v>
      </c>
      <c r="U4458" t="s">
        <v>20438</v>
      </c>
      <c r="V4458" t="s">
        <v>20438</v>
      </c>
      <c r="W4458" t="s">
        <v>143</v>
      </c>
      <c r="X4458" t="s">
        <v>20440</v>
      </c>
      <c r="Y4458">
        <v>5</v>
      </c>
      <c r="Z4458">
        <v>5</v>
      </c>
    </row>
    <row r="4459" spans="1:26">
      <c r="A4459" s="1">
        <v>4457</v>
      </c>
      <c r="B4459" t="str">
        <f>HYPERLINK("https://bugs.eclipse.org/bugs/show_bug.cgi?id=412623", "412623")</f>
        <v>412623</v>
      </c>
      <c r="C4459" t="s">
        <v>20441</v>
      </c>
      <c r="D4459" t="s">
        <v>192</v>
      </c>
      <c r="E4459" t="s">
        <v>15</v>
      </c>
      <c r="F4459" t="s">
        <v>26</v>
      </c>
      <c r="Q4459" t="s">
        <v>20442</v>
      </c>
      <c r="T4459" t="s">
        <v>20443</v>
      </c>
      <c r="U4459" t="s">
        <v>20444</v>
      </c>
      <c r="V4459" t="s">
        <v>20442</v>
      </c>
      <c r="W4459" t="s">
        <v>143</v>
      </c>
      <c r="X4459" t="s">
        <v>20445</v>
      </c>
      <c r="Y4459">
        <v>0</v>
      </c>
      <c r="Z4459">
        <v>1</v>
      </c>
    </row>
    <row r="4460" spans="1:26">
      <c r="A4460" s="1">
        <v>4458</v>
      </c>
      <c r="B4460" t="str">
        <f>HYPERLINK("https://bugs.eclipse.org/bugs/show_bug.cgi?id=413467", "413467")</f>
        <v>413467</v>
      </c>
      <c r="C4460" t="s">
        <v>16601</v>
      </c>
      <c r="D4460" t="s">
        <v>192</v>
      </c>
      <c r="E4460" t="s">
        <v>15</v>
      </c>
      <c r="F4460" t="s">
        <v>26</v>
      </c>
      <c r="Q4460" t="s">
        <v>20446</v>
      </c>
      <c r="T4460" t="s">
        <v>20447</v>
      </c>
      <c r="U4460" t="s">
        <v>20448</v>
      </c>
      <c r="V4460" t="s">
        <v>20446</v>
      </c>
      <c r="W4460" t="s">
        <v>851</v>
      </c>
      <c r="X4460" t="s">
        <v>20449</v>
      </c>
      <c r="Y4460">
        <v>0</v>
      </c>
      <c r="Z4460">
        <v>1</v>
      </c>
    </row>
    <row r="4461" spans="1:26">
      <c r="A4461" s="1">
        <v>4459</v>
      </c>
      <c r="B4461" t="str">
        <f>HYPERLINK("https://bugs.eclipse.org/bugs/show_bug.cgi?id=413967", "413967")</f>
        <v>413967</v>
      </c>
      <c r="C4461" t="s">
        <v>191</v>
      </c>
      <c r="D4461" t="s">
        <v>192</v>
      </c>
      <c r="E4461" t="s">
        <v>14</v>
      </c>
      <c r="F4461" t="s">
        <v>26</v>
      </c>
      <c r="T4461" t="s">
        <v>20450</v>
      </c>
      <c r="U4461" t="s">
        <v>20451</v>
      </c>
      <c r="V4461" t="s">
        <v>20452</v>
      </c>
      <c r="W4461" t="s">
        <v>65</v>
      </c>
      <c r="X4461" t="s">
        <v>20453</v>
      </c>
      <c r="Y4461">
        <v>0</v>
      </c>
      <c r="Z4461">
        <v>2226</v>
      </c>
    </row>
    <row r="4462" spans="1:26">
      <c r="A4462" s="1">
        <v>4460</v>
      </c>
      <c r="B4462" t="str">
        <f>HYPERLINK("https://bugs.eclipse.org/bugs/show_bug.cgi?id=415448", "415448")</f>
        <v>415448</v>
      </c>
      <c r="C4462" t="s">
        <v>191</v>
      </c>
      <c r="D4462" t="s">
        <v>192</v>
      </c>
      <c r="E4462" t="s">
        <v>14</v>
      </c>
      <c r="F4462" t="s">
        <v>26</v>
      </c>
      <c r="P4462" t="s">
        <v>20454</v>
      </c>
      <c r="T4462" t="s">
        <v>20455</v>
      </c>
      <c r="U4462" t="s">
        <v>20456</v>
      </c>
      <c r="V4462" t="s">
        <v>20454</v>
      </c>
      <c r="W4462" t="s">
        <v>65</v>
      </c>
      <c r="X4462" t="s">
        <v>20457</v>
      </c>
      <c r="Y4462">
        <v>0</v>
      </c>
      <c r="Z4462">
        <v>2405</v>
      </c>
    </row>
    <row r="4463" spans="1:26">
      <c r="A4463" s="1">
        <v>4461</v>
      </c>
      <c r="B4463" t="str">
        <f>HYPERLINK("https://bugs.eclipse.org/bugs/show_bug.cgi?id=416022", "416022")</f>
        <v>416022</v>
      </c>
      <c r="C4463" t="s">
        <v>149</v>
      </c>
      <c r="D4463" t="s">
        <v>10</v>
      </c>
      <c r="E4463" t="s">
        <v>12</v>
      </c>
      <c r="F4463" t="s">
        <v>26</v>
      </c>
      <c r="L4463" t="s">
        <v>20458</v>
      </c>
      <c r="N4463" t="s">
        <v>20458</v>
      </c>
      <c r="T4463" t="s">
        <v>20459</v>
      </c>
      <c r="U4463" t="s">
        <v>20460</v>
      </c>
      <c r="V4463" t="s">
        <v>20461</v>
      </c>
      <c r="W4463" t="s">
        <v>143</v>
      </c>
      <c r="X4463" t="s">
        <v>20462</v>
      </c>
      <c r="Y4463">
        <v>0</v>
      </c>
      <c r="Z4463">
        <v>7</v>
      </c>
    </row>
    <row r="4464" spans="1:26">
      <c r="A4464" s="1">
        <v>4462</v>
      </c>
      <c r="B4464" t="str">
        <f>HYPERLINK("https://bugs.eclipse.org/bugs/show_bug.cgi?id=416198", "416198")</f>
        <v>416198</v>
      </c>
      <c r="C4464" t="s">
        <v>149</v>
      </c>
      <c r="D4464" t="s">
        <v>10</v>
      </c>
      <c r="E4464" t="s">
        <v>12</v>
      </c>
      <c r="F4464" t="s">
        <v>26</v>
      </c>
      <c r="L4464" t="s">
        <v>20463</v>
      </c>
      <c r="N4464" t="s">
        <v>20463</v>
      </c>
      <c r="T4464" t="s">
        <v>20464</v>
      </c>
      <c r="U4464" t="s">
        <v>20465</v>
      </c>
      <c r="V4464" t="s">
        <v>20466</v>
      </c>
      <c r="W4464" t="s">
        <v>20467</v>
      </c>
      <c r="X4464" t="s">
        <v>20468</v>
      </c>
      <c r="Y4464">
        <v>1</v>
      </c>
      <c r="Z4464">
        <v>1101</v>
      </c>
    </row>
    <row r="4465" spans="1:26">
      <c r="A4465" s="1">
        <v>4463</v>
      </c>
      <c r="B4465" t="str">
        <f>HYPERLINK("https://bugs.eclipse.org/bugs/show_bug.cgi?id=416264", "416264")</f>
        <v>416264</v>
      </c>
      <c r="C4465" t="s">
        <v>140</v>
      </c>
      <c r="D4465" t="s">
        <v>10</v>
      </c>
      <c r="E4465" t="s">
        <v>16</v>
      </c>
      <c r="F4465" t="s">
        <v>26</v>
      </c>
      <c r="H4465" t="s">
        <v>20338</v>
      </c>
      <c r="L4465" t="s">
        <v>20469</v>
      </c>
      <c r="R4465" t="s">
        <v>20469</v>
      </c>
      <c r="T4465" t="s">
        <v>20470</v>
      </c>
      <c r="U4465" t="s">
        <v>20471</v>
      </c>
      <c r="V4465" t="s">
        <v>20469</v>
      </c>
      <c r="W4465" t="s">
        <v>4846</v>
      </c>
      <c r="X4465" t="s">
        <v>20472</v>
      </c>
      <c r="Y4465">
        <v>0</v>
      </c>
      <c r="Z4465">
        <v>238</v>
      </c>
    </row>
    <row r="4466" spans="1:26">
      <c r="A4466" s="1">
        <v>4464</v>
      </c>
      <c r="B4466" t="str">
        <f>HYPERLINK("https://bugs.eclipse.org/bugs/show_bug.cgi?id=416915", "416915")</f>
        <v>416915</v>
      </c>
      <c r="C4466" t="s">
        <v>149</v>
      </c>
      <c r="D4466" t="s">
        <v>10</v>
      </c>
      <c r="E4466" t="s">
        <v>12</v>
      </c>
      <c r="F4466" t="s">
        <v>26</v>
      </c>
      <c r="G4466" t="s">
        <v>20473</v>
      </c>
      <c r="H4466" t="s">
        <v>20474</v>
      </c>
      <c r="L4466" t="s">
        <v>20475</v>
      </c>
      <c r="N4466" t="s">
        <v>20475</v>
      </c>
      <c r="S4466" t="s">
        <v>20476</v>
      </c>
      <c r="T4466" t="s">
        <v>20477</v>
      </c>
      <c r="U4466" t="s">
        <v>20478</v>
      </c>
      <c r="V4466" t="s">
        <v>20479</v>
      </c>
      <c r="W4466" t="s">
        <v>20480</v>
      </c>
      <c r="X4466" t="s">
        <v>20481</v>
      </c>
      <c r="Y4466">
        <v>0</v>
      </c>
      <c r="Z4466">
        <v>1914.041666666667</v>
      </c>
    </row>
    <row r="4467" spans="1:26">
      <c r="A4467" s="1">
        <v>4465</v>
      </c>
      <c r="B4467" t="str">
        <f>HYPERLINK("https://bugs.eclipse.org/bugs/show_bug.cgi?id=417005", "417005")</f>
        <v>417005</v>
      </c>
      <c r="C4467" t="s">
        <v>20482</v>
      </c>
      <c r="D4467" t="s">
        <v>192</v>
      </c>
      <c r="E4467" t="s">
        <v>15</v>
      </c>
      <c r="F4467" t="s">
        <v>26</v>
      </c>
      <c r="Q4467" t="s">
        <v>20483</v>
      </c>
      <c r="T4467" t="s">
        <v>20484</v>
      </c>
      <c r="U4467" t="s">
        <v>20483</v>
      </c>
      <c r="V4467" t="s">
        <v>20483</v>
      </c>
      <c r="W4467" t="s">
        <v>4846</v>
      </c>
      <c r="X4467" t="s">
        <v>20485</v>
      </c>
      <c r="Y4467">
        <v>0</v>
      </c>
      <c r="Z4467">
        <v>0</v>
      </c>
    </row>
    <row r="4468" spans="1:26">
      <c r="A4468" s="1">
        <v>4466</v>
      </c>
      <c r="B4468" t="str">
        <f>HYPERLINK("https://bugs.eclipse.org/bugs/show_bug.cgi?id=417247", "417247")</f>
        <v>417247</v>
      </c>
      <c r="C4468" t="s">
        <v>18915</v>
      </c>
      <c r="D4468" t="s">
        <v>192</v>
      </c>
      <c r="E4468" t="s">
        <v>15</v>
      </c>
      <c r="F4468" t="s">
        <v>26</v>
      </c>
      <c r="Q4468" t="s">
        <v>20486</v>
      </c>
      <c r="T4468" t="s">
        <v>20487</v>
      </c>
      <c r="U4468" t="s">
        <v>20488</v>
      </c>
      <c r="V4468" t="s">
        <v>20486</v>
      </c>
      <c r="W4468" t="s">
        <v>4846</v>
      </c>
      <c r="X4468" t="s">
        <v>20489</v>
      </c>
      <c r="Y4468">
        <v>0</v>
      </c>
      <c r="Z4468">
        <v>2</v>
      </c>
    </row>
    <row r="4469" spans="1:26">
      <c r="A4469" s="1">
        <v>4467</v>
      </c>
      <c r="B4469" t="str">
        <f>HYPERLINK("https://bugs.eclipse.org/bugs/show_bug.cgi?id=417950", "417950")</f>
        <v>417950</v>
      </c>
      <c r="C4469" t="s">
        <v>191</v>
      </c>
      <c r="D4469" t="s">
        <v>192</v>
      </c>
      <c r="E4469" t="s">
        <v>14</v>
      </c>
      <c r="F4469" t="s">
        <v>26</v>
      </c>
      <c r="P4469" t="s">
        <v>20490</v>
      </c>
      <c r="T4469" t="s">
        <v>20491</v>
      </c>
      <c r="U4469" t="s">
        <v>20492</v>
      </c>
      <c r="V4469" t="s">
        <v>20490</v>
      </c>
      <c r="W4469" t="s">
        <v>65</v>
      </c>
      <c r="X4469" t="s">
        <v>20493</v>
      </c>
      <c r="Y4469">
        <v>1</v>
      </c>
      <c r="Z4469">
        <v>2328.041666666667</v>
      </c>
    </row>
    <row r="4470" spans="1:26">
      <c r="A4470" s="1">
        <v>4468</v>
      </c>
      <c r="B4470" t="str">
        <f>HYPERLINK("https://bugs.eclipse.org/bugs/show_bug.cgi?id=418384", "418384")</f>
        <v>418384</v>
      </c>
      <c r="C4470" t="s">
        <v>149</v>
      </c>
      <c r="D4470" t="s">
        <v>10</v>
      </c>
      <c r="E4470" t="s">
        <v>12</v>
      </c>
      <c r="F4470" t="s">
        <v>26</v>
      </c>
      <c r="L4470" t="s">
        <v>20494</v>
      </c>
      <c r="N4470" t="s">
        <v>20494</v>
      </c>
      <c r="T4470" t="s">
        <v>20495</v>
      </c>
      <c r="U4470" t="s">
        <v>20496</v>
      </c>
      <c r="V4470" t="s">
        <v>20494</v>
      </c>
      <c r="W4470" t="s">
        <v>9181</v>
      </c>
      <c r="X4470" t="s">
        <v>20497</v>
      </c>
      <c r="Y4470">
        <v>1</v>
      </c>
      <c r="Z4470">
        <v>3</v>
      </c>
    </row>
    <row r="4471" spans="1:26">
      <c r="A4471" s="1">
        <v>4469</v>
      </c>
      <c r="B4471" t="str">
        <f>HYPERLINK("https://bugs.eclipse.org/bugs/show_bug.cgi?id=418692", "418692")</f>
        <v>418692</v>
      </c>
      <c r="C4471" t="s">
        <v>149</v>
      </c>
      <c r="D4471" t="s">
        <v>10</v>
      </c>
      <c r="E4471" t="s">
        <v>12</v>
      </c>
      <c r="F4471" t="s">
        <v>26</v>
      </c>
      <c r="G4471" t="s">
        <v>20498</v>
      </c>
      <c r="L4471" t="s">
        <v>20499</v>
      </c>
      <c r="N4471" t="s">
        <v>20499</v>
      </c>
      <c r="R4471" t="s">
        <v>20500</v>
      </c>
      <c r="S4471" t="s">
        <v>20501</v>
      </c>
      <c r="T4471" t="s">
        <v>20502</v>
      </c>
      <c r="U4471" t="s">
        <v>20500</v>
      </c>
      <c r="V4471" t="s">
        <v>9178</v>
      </c>
      <c r="W4471" t="s">
        <v>9181</v>
      </c>
      <c r="X4471" t="s">
        <v>20503</v>
      </c>
      <c r="Y4471">
        <v>1</v>
      </c>
      <c r="Z4471">
        <v>7</v>
      </c>
    </row>
    <row r="4472" spans="1:26">
      <c r="A4472" s="1">
        <v>4470</v>
      </c>
      <c r="B4472" t="str">
        <f>HYPERLINK("https://bugs.eclipse.org/bugs/show_bug.cgi?id=419421", "419421")</f>
        <v>419421</v>
      </c>
      <c r="C4472" t="s">
        <v>15663</v>
      </c>
      <c r="D4472" t="s">
        <v>192</v>
      </c>
      <c r="E4472" t="s">
        <v>15</v>
      </c>
      <c r="F4472" t="s">
        <v>26</v>
      </c>
      <c r="Q4472" t="s">
        <v>20504</v>
      </c>
      <c r="T4472" t="s">
        <v>20505</v>
      </c>
      <c r="U4472" t="s">
        <v>20506</v>
      </c>
      <c r="V4472" t="s">
        <v>20504</v>
      </c>
      <c r="W4472" t="s">
        <v>9181</v>
      </c>
      <c r="X4472" t="s">
        <v>20507</v>
      </c>
      <c r="Y4472">
        <v>0</v>
      </c>
      <c r="Z4472">
        <v>0</v>
      </c>
    </row>
    <row r="4473" spans="1:26">
      <c r="A4473" s="1">
        <v>4471</v>
      </c>
      <c r="B4473" t="str">
        <f>HYPERLINK("https://bugs.eclipse.org/bugs/show_bug.cgi?id=419906", "419906")</f>
        <v>419906</v>
      </c>
      <c r="C4473" t="s">
        <v>35</v>
      </c>
      <c r="D4473" t="s">
        <v>11</v>
      </c>
      <c r="E4473" t="s">
        <v>12</v>
      </c>
      <c r="F4473" t="s">
        <v>26</v>
      </c>
      <c r="G4473" t="s">
        <v>20508</v>
      </c>
      <c r="L4473" t="s">
        <v>20509</v>
      </c>
      <c r="M4473" t="s">
        <v>20510</v>
      </c>
      <c r="N4473" t="s">
        <v>20509</v>
      </c>
      <c r="T4473" t="s">
        <v>20511</v>
      </c>
      <c r="U4473" t="s">
        <v>20512</v>
      </c>
      <c r="V4473" t="s">
        <v>20513</v>
      </c>
      <c r="W4473" t="s">
        <v>143</v>
      </c>
      <c r="X4473" t="s">
        <v>20514</v>
      </c>
      <c r="Y4473">
        <v>2</v>
      </c>
      <c r="Z4473">
        <v>11</v>
      </c>
    </row>
    <row r="4474" spans="1:26">
      <c r="A4474" s="1">
        <v>4472</v>
      </c>
      <c r="B4474" t="str">
        <f>HYPERLINK("https://bugs.eclipse.org/bugs/show_bug.cgi?id=420263", "420263")</f>
        <v>420263</v>
      </c>
      <c r="C4474" t="s">
        <v>20515</v>
      </c>
      <c r="D4474" t="s">
        <v>192</v>
      </c>
      <c r="E4474" t="s">
        <v>15</v>
      </c>
      <c r="F4474" t="s">
        <v>26</v>
      </c>
      <c r="Q4474" t="s">
        <v>20516</v>
      </c>
      <c r="T4474" t="s">
        <v>20517</v>
      </c>
      <c r="U4474" t="s">
        <v>20518</v>
      </c>
      <c r="V4474" t="s">
        <v>20519</v>
      </c>
      <c r="W4474" t="s">
        <v>20520</v>
      </c>
      <c r="X4474" t="s">
        <v>20521</v>
      </c>
      <c r="Y4474">
        <v>0</v>
      </c>
      <c r="Z4474">
        <v>1728</v>
      </c>
    </row>
    <row r="4475" spans="1:26">
      <c r="A4475" s="1">
        <v>4473</v>
      </c>
      <c r="B4475" t="str">
        <f>HYPERLINK("https://bugs.eclipse.org/bugs/show_bug.cgi?id=420510", "420510")</f>
        <v>420510</v>
      </c>
      <c r="C4475" t="s">
        <v>25</v>
      </c>
      <c r="D4475" t="s">
        <v>25</v>
      </c>
      <c r="F4475" t="s">
        <v>26</v>
      </c>
      <c r="T4475" t="s">
        <v>20522</v>
      </c>
      <c r="U4475" t="s">
        <v>20523</v>
      </c>
      <c r="V4475" t="s">
        <v>20524</v>
      </c>
      <c r="W4475" t="s">
        <v>12301</v>
      </c>
      <c r="X4475" t="s">
        <v>20525</v>
      </c>
      <c r="Y4475">
        <v>0</v>
      </c>
    </row>
    <row r="4476" spans="1:26">
      <c r="A4476" s="1">
        <v>4474</v>
      </c>
      <c r="B4476" t="str">
        <f>HYPERLINK("https://bugs.eclipse.org/bugs/show_bug.cgi?id=420726", "420726")</f>
        <v>420726</v>
      </c>
      <c r="C4476" t="s">
        <v>191</v>
      </c>
      <c r="D4476" t="s">
        <v>192</v>
      </c>
      <c r="E4476" t="s">
        <v>14</v>
      </c>
      <c r="F4476" t="s">
        <v>26</v>
      </c>
      <c r="G4476" t="s">
        <v>20526</v>
      </c>
      <c r="T4476" t="s">
        <v>20527</v>
      </c>
      <c r="U4476" t="s">
        <v>20528</v>
      </c>
      <c r="V4476" t="s">
        <v>20529</v>
      </c>
      <c r="W4476" t="s">
        <v>65</v>
      </c>
      <c r="X4476" t="s">
        <v>20530</v>
      </c>
      <c r="Y4476">
        <v>0</v>
      </c>
      <c r="Z4476">
        <v>2219.041666666667</v>
      </c>
    </row>
    <row r="4477" spans="1:26">
      <c r="A4477" s="1">
        <v>4475</v>
      </c>
      <c r="B4477" t="str">
        <f>HYPERLINK("https://bugs.eclipse.org/bugs/show_bug.cgi?id=421199", "421199")</f>
        <v>421199</v>
      </c>
      <c r="C4477" t="s">
        <v>191</v>
      </c>
      <c r="D4477" t="s">
        <v>192</v>
      </c>
      <c r="E4477" t="s">
        <v>14</v>
      </c>
      <c r="F4477" t="s">
        <v>26</v>
      </c>
      <c r="P4477" t="s">
        <v>20531</v>
      </c>
      <c r="T4477" t="s">
        <v>20532</v>
      </c>
      <c r="U4477" t="s">
        <v>20533</v>
      </c>
      <c r="V4477" t="s">
        <v>20531</v>
      </c>
      <c r="W4477" t="s">
        <v>65</v>
      </c>
      <c r="X4477" t="s">
        <v>20534</v>
      </c>
      <c r="Y4477">
        <v>0</v>
      </c>
      <c r="Z4477">
        <v>2385.958333333333</v>
      </c>
    </row>
    <row r="4478" spans="1:26">
      <c r="A4478" s="1">
        <v>4476</v>
      </c>
      <c r="B4478" t="str">
        <f>HYPERLINK("https://bugs.eclipse.org/bugs/show_bug.cgi?id=421969", "421969")</f>
        <v>421969</v>
      </c>
      <c r="C4478" t="s">
        <v>191</v>
      </c>
      <c r="D4478" t="s">
        <v>192</v>
      </c>
      <c r="E4478" t="s">
        <v>14</v>
      </c>
      <c r="F4478" t="s">
        <v>26</v>
      </c>
      <c r="T4478" t="s">
        <v>20535</v>
      </c>
      <c r="U4478" t="s">
        <v>20536</v>
      </c>
      <c r="V4478" t="s">
        <v>20537</v>
      </c>
      <c r="W4478" t="s">
        <v>65</v>
      </c>
      <c r="X4478" t="s">
        <v>20538</v>
      </c>
      <c r="Y4478">
        <v>1</v>
      </c>
      <c r="Z4478">
        <v>1936</v>
      </c>
    </row>
    <row r="4479" spans="1:26">
      <c r="A4479" s="1">
        <v>4477</v>
      </c>
      <c r="B4479" t="str">
        <f>HYPERLINK("https://bugs.eclipse.org/bugs/show_bug.cgi?id=422307", "422307")</f>
        <v>422307</v>
      </c>
      <c r="C4479" t="s">
        <v>149</v>
      </c>
      <c r="D4479" t="s">
        <v>10</v>
      </c>
      <c r="E4479" t="s">
        <v>12</v>
      </c>
      <c r="F4479" t="s">
        <v>26</v>
      </c>
      <c r="L4479" t="s">
        <v>20539</v>
      </c>
      <c r="N4479" t="s">
        <v>20539</v>
      </c>
      <c r="T4479" t="s">
        <v>20540</v>
      </c>
      <c r="U4479" t="s">
        <v>20541</v>
      </c>
      <c r="V4479" t="s">
        <v>20539</v>
      </c>
      <c r="W4479" t="s">
        <v>851</v>
      </c>
      <c r="X4479" t="s">
        <v>20542</v>
      </c>
      <c r="Y4479">
        <v>0</v>
      </c>
      <c r="Z4479">
        <v>13</v>
      </c>
    </row>
    <row r="4480" spans="1:26">
      <c r="A4480" s="1">
        <v>4478</v>
      </c>
      <c r="B4480" t="str">
        <f>HYPERLINK("https://bugs.eclipse.org/bugs/show_bug.cgi?id=422494", "422494")</f>
        <v>422494</v>
      </c>
      <c r="C4480" t="s">
        <v>25</v>
      </c>
      <c r="D4480" t="s">
        <v>25</v>
      </c>
      <c r="F4480" t="s">
        <v>460</v>
      </c>
      <c r="T4480" t="s">
        <v>20543</v>
      </c>
      <c r="U4480" t="s">
        <v>20544</v>
      </c>
      <c r="V4480" t="s">
        <v>20545</v>
      </c>
      <c r="W4480" t="s">
        <v>143</v>
      </c>
      <c r="X4480" t="s">
        <v>20546</v>
      </c>
      <c r="Y4480">
        <v>0</v>
      </c>
    </row>
    <row r="4481" spans="1:26">
      <c r="A4481" s="1">
        <v>4479</v>
      </c>
      <c r="B4481" t="str">
        <f>HYPERLINK("https://bugs.eclipse.org/bugs/show_bug.cgi?id=422780", "422780")</f>
        <v>422780</v>
      </c>
      <c r="C4481" t="s">
        <v>191</v>
      </c>
      <c r="D4481" t="s">
        <v>192</v>
      </c>
      <c r="E4481" t="s">
        <v>14</v>
      </c>
      <c r="F4481" t="s">
        <v>26</v>
      </c>
      <c r="T4481" t="s">
        <v>20547</v>
      </c>
      <c r="U4481" t="s">
        <v>20548</v>
      </c>
      <c r="V4481" t="s">
        <v>20549</v>
      </c>
      <c r="W4481" t="s">
        <v>65</v>
      </c>
      <c r="X4481" t="s">
        <v>20550</v>
      </c>
      <c r="Y4481">
        <v>0</v>
      </c>
      <c r="Z4481">
        <v>2219</v>
      </c>
    </row>
    <row r="4482" spans="1:26">
      <c r="A4482" s="1">
        <v>4480</v>
      </c>
      <c r="B4482" t="str">
        <f>HYPERLINK("https://bugs.eclipse.org/bugs/show_bug.cgi?id=424166", "424166")</f>
        <v>424166</v>
      </c>
      <c r="C4482" t="s">
        <v>149</v>
      </c>
      <c r="D4482" t="s">
        <v>10</v>
      </c>
      <c r="E4482" t="s">
        <v>12</v>
      </c>
      <c r="F4482" t="s">
        <v>26</v>
      </c>
      <c r="L4482" t="s">
        <v>20551</v>
      </c>
      <c r="N4482" t="s">
        <v>20551</v>
      </c>
      <c r="T4482" t="s">
        <v>20552</v>
      </c>
      <c r="U4482" t="s">
        <v>20553</v>
      </c>
      <c r="V4482" t="s">
        <v>20551</v>
      </c>
      <c r="W4482" t="s">
        <v>851</v>
      </c>
      <c r="X4482" t="s">
        <v>20554</v>
      </c>
      <c r="Y4482">
        <v>1</v>
      </c>
      <c r="Z4482">
        <v>23</v>
      </c>
    </row>
    <row r="4483" spans="1:26">
      <c r="A4483" s="1">
        <v>4481</v>
      </c>
      <c r="B4483" t="str">
        <f>HYPERLINK("https://bugs.eclipse.org/bugs/show_bug.cgi?id=424214", "424214")</f>
        <v>424214</v>
      </c>
      <c r="C4483" t="s">
        <v>35</v>
      </c>
      <c r="D4483" t="s">
        <v>11</v>
      </c>
      <c r="E4483" t="s">
        <v>12</v>
      </c>
      <c r="F4483" t="s">
        <v>26</v>
      </c>
      <c r="G4483" t="s">
        <v>20555</v>
      </c>
      <c r="L4483" t="s">
        <v>20556</v>
      </c>
      <c r="M4483" t="s">
        <v>20557</v>
      </c>
      <c r="N4483" t="s">
        <v>20556</v>
      </c>
      <c r="T4483" t="s">
        <v>20558</v>
      </c>
      <c r="U4483" t="s">
        <v>20559</v>
      </c>
      <c r="V4483" t="s">
        <v>20560</v>
      </c>
      <c r="W4483" t="s">
        <v>6360</v>
      </c>
      <c r="X4483" t="s">
        <v>20561</v>
      </c>
      <c r="Y4483">
        <v>285.95833333333331</v>
      </c>
      <c r="Z4483">
        <v>1744.958333333333</v>
      </c>
    </row>
    <row r="4484" spans="1:26">
      <c r="A4484" s="1">
        <v>4482</v>
      </c>
      <c r="B4484" t="str">
        <f>HYPERLINK("https://bugs.eclipse.org/bugs/show_bug.cgi?id=424266", "424266")</f>
        <v>424266</v>
      </c>
      <c r="C4484" t="s">
        <v>25</v>
      </c>
      <c r="D4484" t="s">
        <v>25</v>
      </c>
      <c r="F4484" t="s">
        <v>26</v>
      </c>
      <c r="G4484" t="s">
        <v>20562</v>
      </c>
      <c r="T4484" t="s">
        <v>20563</v>
      </c>
      <c r="U4484" t="s">
        <v>20564</v>
      </c>
      <c r="V4484" t="s">
        <v>20565</v>
      </c>
      <c r="W4484" t="s">
        <v>19597</v>
      </c>
      <c r="X4484" t="s">
        <v>20566</v>
      </c>
      <c r="Y4484">
        <v>0</v>
      </c>
    </row>
    <row r="4485" spans="1:26">
      <c r="A4485" s="1">
        <v>4483</v>
      </c>
      <c r="B4485" t="str">
        <f>HYPERLINK("https://bugs.eclipse.org/bugs/show_bug.cgi?id=424388", "424388")</f>
        <v>424388</v>
      </c>
      <c r="C4485" t="s">
        <v>191</v>
      </c>
      <c r="D4485" t="s">
        <v>192</v>
      </c>
      <c r="E4485" t="s">
        <v>14</v>
      </c>
      <c r="F4485" t="s">
        <v>26</v>
      </c>
      <c r="Q4485" t="s">
        <v>20567</v>
      </c>
      <c r="S4485" t="s">
        <v>20568</v>
      </c>
      <c r="T4485" t="s">
        <v>20569</v>
      </c>
      <c r="U4485" t="s">
        <v>20570</v>
      </c>
      <c r="V4485" t="s">
        <v>20571</v>
      </c>
      <c r="W4485" t="s">
        <v>65</v>
      </c>
      <c r="X4485" t="s">
        <v>20572</v>
      </c>
      <c r="Y4485">
        <v>0</v>
      </c>
      <c r="Z4485">
        <v>1830</v>
      </c>
    </row>
    <row r="4486" spans="1:26">
      <c r="A4486" s="1">
        <v>4484</v>
      </c>
      <c r="B4486" t="str">
        <f>HYPERLINK("https://bugs.eclipse.org/bugs/show_bug.cgi?id=424452", "424452")</f>
        <v>424452</v>
      </c>
      <c r="C4486" t="s">
        <v>20573</v>
      </c>
      <c r="D4486" t="s">
        <v>192</v>
      </c>
      <c r="E4486" t="s">
        <v>15</v>
      </c>
      <c r="F4486" t="s">
        <v>26</v>
      </c>
      <c r="Q4486" t="s">
        <v>20574</v>
      </c>
      <c r="T4486" t="s">
        <v>20575</v>
      </c>
      <c r="U4486" t="s">
        <v>20574</v>
      </c>
      <c r="V4486" t="s">
        <v>20574</v>
      </c>
      <c r="W4486" t="s">
        <v>9181</v>
      </c>
      <c r="X4486" t="s">
        <v>20576</v>
      </c>
      <c r="Y4486">
        <v>1</v>
      </c>
      <c r="Z4486">
        <v>1</v>
      </c>
    </row>
    <row r="4487" spans="1:26">
      <c r="A4487" s="1">
        <v>4485</v>
      </c>
      <c r="B4487" t="str">
        <f>HYPERLINK("https://bugs.eclipse.org/bugs/show_bug.cgi?id=424581", "424581")</f>
        <v>424581</v>
      </c>
      <c r="C4487" t="s">
        <v>149</v>
      </c>
      <c r="D4487" t="s">
        <v>10</v>
      </c>
      <c r="E4487" t="s">
        <v>12</v>
      </c>
      <c r="F4487" t="s">
        <v>26</v>
      </c>
      <c r="L4487" t="s">
        <v>20577</v>
      </c>
      <c r="N4487" t="s">
        <v>20577</v>
      </c>
      <c r="T4487" t="s">
        <v>20578</v>
      </c>
      <c r="U4487" t="s">
        <v>20579</v>
      </c>
      <c r="V4487" t="s">
        <v>20577</v>
      </c>
      <c r="W4487" t="s">
        <v>851</v>
      </c>
      <c r="X4487" t="s">
        <v>20580</v>
      </c>
      <c r="Y4487">
        <v>1</v>
      </c>
      <c r="Z4487">
        <v>122.9583333333333</v>
      </c>
    </row>
    <row r="4488" spans="1:26">
      <c r="A4488" s="1">
        <v>4486</v>
      </c>
      <c r="B4488" t="str">
        <f>HYPERLINK("https://bugs.eclipse.org/bugs/show_bug.cgi?id=424654", "424654")</f>
        <v>424654</v>
      </c>
      <c r="C4488" t="s">
        <v>20581</v>
      </c>
      <c r="D4488" t="s">
        <v>192</v>
      </c>
      <c r="E4488" t="s">
        <v>15</v>
      </c>
      <c r="F4488" t="s">
        <v>26</v>
      </c>
      <c r="Q4488" t="s">
        <v>20582</v>
      </c>
      <c r="T4488" t="s">
        <v>20583</v>
      </c>
      <c r="U4488" t="s">
        <v>20584</v>
      </c>
      <c r="V4488" t="s">
        <v>20582</v>
      </c>
      <c r="W4488" t="s">
        <v>4846</v>
      </c>
      <c r="X4488" t="s">
        <v>20585</v>
      </c>
      <c r="Y4488">
        <v>1</v>
      </c>
      <c r="Z4488">
        <v>648.95833333333337</v>
      </c>
    </row>
    <row r="4489" spans="1:26">
      <c r="A4489" s="1">
        <v>4487</v>
      </c>
      <c r="B4489" t="str">
        <f>HYPERLINK("https://bugs.eclipse.org/bugs/show_bug.cgi?id=424745", "424745")</f>
        <v>424745</v>
      </c>
      <c r="C4489" t="s">
        <v>35</v>
      </c>
      <c r="D4489" t="s">
        <v>11</v>
      </c>
      <c r="E4489" t="s">
        <v>12</v>
      </c>
      <c r="F4489" t="s">
        <v>26</v>
      </c>
      <c r="G4489" t="s">
        <v>20586</v>
      </c>
      <c r="L4489" t="s">
        <v>20587</v>
      </c>
      <c r="M4489" t="s">
        <v>20588</v>
      </c>
      <c r="N4489" t="s">
        <v>20587</v>
      </c>
      <c r="T4489" t="s">
        <v>20589</v>
      </c>
      <c r="U4489" t="s">
        <v>20590</v>
      </c>
      <c r="V4489" t="s">
        <v>20588</v>
      </c>
      <c r="W4489" t="s">
        <v>851</v>
      </c>
      <c r="X4489" t="s">
        <v>20591</v>
      </c>
      <c r="Y4489">
        <v>0</v>
      </c>
      <c r="Z4489">
        <v>121.9583333333333</v>
      </c>
    </row>
    <row r="4490" spans="1:26">
      <c r="A4490" s="1">
        <v>4488</v>
      </c>
      <c r="B4490" t="str">
        <f>HYPERLINK("https://bugs.eclipse.org/bugs/show_bug.cgi?id=425411", "425411")</f>
        <v>425411</v>
      </c>
      <c r="C4490" t="s">
        <v>191</v>
      </c>
      <c r="D4490" t="s">
        <v>192</v>
      </c>
      <c r="E4490" t="s">
        <v>14</v>
      </c>
      <c r="F4490" t="s">
        <v>51</v>
      </c>
      <c r="H4490" t="s">
        <v>20592</v>
      </c>
      <c r="P4490" t="s">
        <v>20593</v>
      </c>
      <c r="T4490" t="s">
        <v>20594</v>
      </c>
      <c r="U4490" t="s">
        <v>20595</v>
      </c>
      <c r="V4490" t="s">
        <v>20593</v>
      </c>
      <c r="W4490" t="s">
        <v>65</v>
      </c>
      <c r="X4490" t="s">
        <v>20596</v>
      </c>
      <c r="Y4490">
        <v>0</v>
      </c>
      <c r="Z4490">
        <v>2215</v>
      </c>
    </row>
    <row r="4491" spans="1:26">
      <c r="A4491" s="1">
        <v>4489</v>
      </c>
      <c r="B4491" t="str">
        <f>HYPERLINK("https://bugs.eclipse.org/bugs/show_bug.cgi?id=425413", "425413")</f>
        <v>425413</v>
      </c>
      <c r="C4491" t="s">
        <v>149</v>
      </c>
      <c r="D4491" t="s">
        <v>10</v>
      </c>
      <c r="E4491" t="s">
        <v>12</v>
      </c>
      <c r="F4491" t="s">
        <v>26</v>
      </c>
      <c r="H4491" t="s">
        <v>20592</v>
      </c>
      <c r="L4491" t="s">
        <v>20597</v>
      </c>
      <c r="N4491" t="s">
        <v>20597</v>
      </c>
      <c r="T4491" t="s">
        <v>20598</v>
      </c>
      <c r="U4491" t="s">
        <v>20599</v>
      </c>
      <c r="V4491" t="s">
        <v>20597</v>
      </c>
      <c r="W4491" t="s">
        <v>4846</v>
      </c>
      <c r="X4491" t="s">
        <v>20600</v>
      </c>
      <c r="Y4491">
        <v>0</v>
      </c>
      <c r="Z4491">
        <v>797.95833333333337</v>
      </c>
    </row>
    <row r="4492" spans="1:26">
      <c r="A4492" s="1">
        <v>4490</v>
      </c>
      <c r="B4492" t="str">
        <f>HYPERLINK("https://bugs.eclipse.org/bugs/show_bug.cgi?id=425419", "425419")</f>
        <v>425419</v>
      </c>
      <c r="C4492" t="s">
        <v>20601</v>
      </c>
      <c r="D4492" t="s">
        <v>192</v>
      </c>
      <c r="E4492" t="s">
        <v>15</v>
      </c>
      <c r="F4492" t="s">
        <v>26</v>
      </c>
      <c r="Q4492" t="s">
        <v>16388</v>
      </c>
      <c r="T4492" t="s">
        <v>20602</v>
      </c>
      <c r="U4492" t="s">
        <v>16388</v>
      </c>
      <c r="V4492" t="s">
        <v>16388</v>
      </c>
      <c r="W4492" t="s">
        <v>9181</v>
      </c>
      <c r="X4492" t="s">
        <v>20603</v>
      </c>
      <c r="Y4492">
        <v>3</v>
      </c>
      <c r="Z4492">
        <v>3</v>
      </c>
    </row>
    <row r="4493" spans="1:26">
      <c r="A4493" s="1">
        <v>4491</v>
      </c>
      <c r="B4493" t="str">
        <f>HYPERLINK("https://bugs.eclipse.org/bugs/show_bug.cgi?id=425759", "425759")</f>
        <v>425759</v>
      </c>
      <c r="C4493" t="s">
        <v>20429</v>
      </c>
      <c r="D4493" t="s">
        <v>192</v>
      </c>
      <c r="E4493" t="s">
        <v>15</v>
      </c>
      <c r="F4493" t="s">
        <v>26</v>
      </c>
      <c r="Q4493" t="s">
        <v>20604</v>
      </c>
      <c r="T4493" t="s">
        <v>20605</v>
      </c>
      <c r="U4493" t="s">
        <v>20604</v>
      </c>
      <c r="V4493" t="s">
        <v>20604</v>
      </c>
      <c r="W4493" t="s">
        <v>4846</v>
      </c>
      <c r="X4493" t="s">
        <v>20606</v>
      </c>
      <c r="Y4493">
        <v>0</v>
      </c>
      <c r="Z4493">
        <v>0</v>
      </c>
    </row>
    <row r="4494" spans="1:26">
      <c r="A4494" s="1">
        <v>4492</v>
      </c>
      <c r="B4494" t="str">
        <f>HYPERLINK("https://bugs.eclipse.org/bugs/show_bug.cgi?id=425949", "425949")</f>
        <v>425949</v>
      </c>
      <c r="C4494" t="s">
        <v>191</v>
      </c>
      <c r="D4494" t="s">
        <v>192</v>
      </c>
      <c r="E4494" t="s">
        <v>14</v>
      </c>
      <c r="F4494" t="s">
        <v>26</v>
      </c>
      <c r="G4494" t="s">
        <v>20607</v>
      </c>
      <c r="T4494" t="s">
        <v>20608</v>
      </c>
      <c r="U4494" t="s">
        <v>20609</v>
      </c>
      <c r="V4494" t="s">
        <v>20610</v>
      </c>
      <c r="W4494" t="s">
        <v>65</v>
      </c>
      <c r="X4494" t="s">
        <v>20611</v>
      </c>
      <c r="Y4494">
        <v>0</v>
      </c>
      <c r="Z4494">
        <v>2067.958333333333</v>
      </c>
    </row>
    <row r="4495" spans="1:26">
      <c r="A4495" s="1">
        <v>4493</v>
      </c>
      <c r="B4495" t="str">
        <f>HYPERLINK("https://bugs.eclipse.org/bugs/show_bug.cgi?id=425950", "425950")</f>
        <v>425950</v>
      </c>
      <c r="C4495" t="s">
        <v>35</v>
      </c>
      <c r="D4495" t="s">
        <v>11</v>
      </c>
      <c r="E4495" t="s">
        <v>12</v>
      </c>
      <c r="F4495" t="s">
        <v>26</v>
      </c>
      <c r="L4495" t="s">
        <v>20612</v>
      </c>
      <c r="M4495" t="s">
        <v>20613</v>
      </c>
      <c r="N4495" t="s">
        <v>20612</v>
      </c>
      <c r="T4495" t="s">
        <v>20614</v>
      </c>
      <c r="U4495" t="s">
        <v>20615</v>
      </c>
      <c r="V4495" t="s">
        <v>20613</v>
      </c>
      <c r="W4495" t="s">
        <v>9181</v>
      </c>
      <c r="X4495" t="s">
        <v>20616</v>
      </c>
      <c r="Y4495">
        <v>0</v>
      </c>
      <c r="Z4495">
        <v>35</v>
      </c>
    </row>
    <row r="4496" spans="1:26">
      <c r="A4496" s="1">
        <v>4494</v>
      </c>
      <c r="B4496" t="str">
        <f>HYPERLINK("https://bugs.eclipse.org/bugs/show_bug.cgi?id=425982", "425982")</f>
        <v>425982</v>
      </c>
      <c r="C4496" t="s">
        <v>140</v>
      </c>
      <c r="D4496" t="s">
        <v>10</v>
      </c>
      <c r="E4496" t="s">
        <v>16</v>
      </c>
      <c r="F4496" t="s">
        <v>26</v>
      </c>
      <c r="L4496" t="s">
        <v>20617</v>
      </c>
      <c r="Q4496" t="s">
        <v>5402</v>
      </c>
      <c r="R4496" t="s">
        <v>20617</v>
      </c>
      <c r="S4496" t="s">
        <v>20618</v>
      </c>
      <c r="T4496" t="s">
        <v>20619</v>
      </c>
      <c r="U4496" t="s">
        <v>20620</v>
      </c>
      <c r="V4496" t="s">
        <v>20617</v>
      </c>
      <c r="W4496" t="s">
        <v>143</v>
      </c>
      <c r="X4496" t="s">
        <v>20621</v>
      </c>
      <c r="Y4496">
        <v>0</v>
      </c>
      <c r="Z4496">
        <v>88.958333333333329</v>
      </c>
    </row>
    <row r="4497" spans="1:26">
      <c r="A4497" s="1">
        <v>4495</v>
      </c>
      <c r="B4497" t="str">
        <f>HYPERLINK("https://bugs.eclipse.org/bugs/show_bug.cgi?id=426112", "426112")</f>
        <v>426112</v>
      </c>
      <c r="C4497" t="s">
        <v>149</v>
      </c>
      <c r="D4497" t="s">
        <v>10</v>
      </c>
      <c r="E4497" t="s">
        <v>12</v>
      </c>
      <c r="F4497" t="s">
        <v>26</v>
      </c>
      <c r="L4497" t="s">
        <v>20622</v>
      </c>
      <c r="N4497" t="s">
        <v>20622</v>
      </c>
      <c r="T4497" t="s">
        <v>20623</v>
      </c>
      <c r="U4497" t="s">
        <v>20624</v>
      </c>
      <c r="V4497" t="s">
        <v>20625</v>
      </c>
      <c r="W4497" t="s">
        <v>851</v>
      </c>
      <c r="X4497" t="s">
        <v>20626</v>
      </c>
      <c r="Y4497">
        <v>0</v>
      </c>
      <c r="Z4497">
        <v>79.958333333333329</v>
      </c>
    </row>
    <row r="4498" spans="1:26">
      <c r="A4498" s="1">
        <v>4496</v>
      </c>
      <c r="B4498" t="str">
        <f>HYPERLINK("https://bugs.eclipse.org/bugs/show_bug.cgi?id=426868", "426868")</f>
        <v>426868</v>
      </c>
      <c r="C4498" t="s">
        <v>35</v>
      </c>
      <c r="D4498" t="s">
        <v>11</v>
      </c>
      <c r="E4498" t="s">
        <v>12</v>
      </c>
      <c r="F4498" t="s">
        <v>26</v>
      </c>
      <c r="G4498" t="s">
        <v>20627</v>
      </c>
      <c r="L4498" t="s">
        <v>20628</v>
      </c>
      <c r="M4498" t="s">
        <v>20629</v>
      </c>
      <c r="N4498" t="s">
        <v>20628</v>
      </c>
      <c r="T4498" t="s">
        <v>20630</v>
      </c>
      <c r="U4498" t="s">
        <v>20631</v>
      </c>
      <c r="V4498" t="s">
        <v>20629</v>
      </c>
      <c r="W4498" t="s">
        <v>20632</v>
      </c>
      <c r="X4498" t="s">
        <v>20633</v>
      </c>
      <c r="Y4498">
        <v>0</v>
      </c>
      <c r="Z4498">
        <v>23</v>
      </c>
    </row>
    <row r="4499" spans="1:26">
      <c r="A4499" s="1">
        <v>4497</v>
      </c>
      <c r="B4499" t="str">
        <f>HYPERLINK("https://bugs.eclipse.org/bugs/show_bug.cgi?id=426963", "426963")</f>
        <v>426963</v>
      </c>
      <c r="C4499" t="s">
        <v>149</v>
      </c>
      <c r="D4499" t="s">
        <v>10</v>
      </c>
      <c r="E4499" t="s">
        <v>12</v>
      </c>
      <c r="F4499" t="s">
        <v>26</v>
      </c>
      <c r="L4499" t="s">
        <v>20634</v>
      </c>
      <c r="N4499" t="s">
        <v>20634</v>
      </c>
      <c r="T4499" t="s">
        <v>20635</v>
      </c>
      <c r="U4499" t="s">
        <v>20636</v>
      </c>
      <c r="V4499" t="s">
        <v>20634</v>
      </c>
      <c r="W4499" t="s">
        <v>9181</v>
      </c>
      <c r="X4499" t="s">
        <v>20637</v>
      </c>
      <c r="Y4499">
        <v>1</v>
      </c>
      <c r="Z4499">
        <v>68.958333333333329</v>
      </c>
    </row>
    <row r="4500" spans="1:26">
      <c r="A4500" s="1">
        <v>4498</v>
      </c>
      <c r="B4500" t="str">
        <f>HYPERLINK("https://bugs.eclipse.org/bugs/show_bug.cgi?id=426979", "426979")</f>
        <v>426979</v>
      </c>
      <c r="C4500" t="s">
        <v>25</v>
      </c>
      <c r="D4500" t="s">
        <v>25</v>
      </c>
      <c r="F4500" t="s">
        <v>26</v>
      </c>
      <c r="T4500" t="s">
        <v>20638</v>
      </c>
      <c r="U4500" t="s">
        <v>20639</v>
      </c>
      <c r="V4500" t="s">
        <v>20640</v>
      </c>
      <c r="W4500" t="s">
        <v>20641</v>
      </c>
      <c r="X4500" t="s">
        <v>20642</v>
      </c>
      <c r="Y4500">
        <v>0</v>
      </c>
    </row>
    <row r="4501" spans="1:26">
      <c r="A4501" s="1">
        <v>4499</v>
      </c>
      <c r="B4501" t="str">
        <f>HYPERLINK("https://bugs.eclipse.org/bugs/show_bug.cgi?id=427206", "427206")</f>
        <v>427206</v>
      </c>
      <c r="C4501" t="s">
        <v>140</v>
      </c>
      <c r="D4501" t="s">
        <v>10</v>
      </c>
      <c r="E4501" t="s">
        <v>16</v>
      </c>
      <c r="F4501" t="s">
        <v>26</v>
      </c>
      <c r="L4501" t="s">
        <v>20643</v>
      </c>
      <c r="R4501" t="s">
        <v>20643</v>
      </c>
      <c r="T4501" t="s">
        <v>20644</v>
      </c>
      <c r="U4501" t="s">
        <v>20645</v>
      </c>
      <c r="V4501" t="s">
        <v>20643</v>
      </c>
      <c r="W4501" t="s">
        <v>4846</v>
      </c>
      <c r="X4501" t="s">
        <v>20646</v>
      </c>
      <c r="Y4501">
        <v>2</v>
      </c>
      <c r="Z4501">
        <v>3</v>
      </c>
    </row>
    <row r="4502" spans="1:26">
      <c r="A4502" s="1">
        <v>4500</v>
      </c>
      <c r="B4502" t="str">
        <f>HYPERLINK("https://bugs.eclipse.org/bugs/show_bug.cgi?id=427832", "427832")</f>
        <v>427832</v>
      </c>
      <c r="C4502" t="s">
        <v>140</v>
      </c>
      <c r="D4502" t="s">
        <v>10</v>
      </c>
      <c r="E4502" t="s">
        <v>16</v>
      </c>
      <c r="F4502" t="s">
        <v>26</v>
      </c>
      <c r="L4502" t="s">
        <v>20647</v>
      </c>
      <c r="R4502" t="s">
        <v>20647</v>
      </c>
      <c r="T4502" t="s">
        <v>20648</v>
      </c>
      <c r="U4502" t="s">
        <v>20649</v>
      </c>
      <c r="V4502" t="s">
        <v>20647</v>
      </c>
      <c r="W4502" t="s">
        <v>143</v>
      </c>
      <c r="X4502" t="s">
        <v>20650</v>
      </c>
      <c r="Y4502">
        <v>1</v>
      </c>
      <c r="Z4502">
        <v>59.958333333333343</v>
      </c>
    </row>
    <row r="4503" spans="1:26">
      <c r="A4503" s="1">
        <v>4501</v>
      </c>
      <c r="B4503" t="str">
        <f>HYPERLINK("https://bugs.eclipse.org/bugs/show_bug.cgi?id=428139", "428139")</f>
        <v>428139</v>
      </c>
      <c r="C4503" t="s">
        <v>25</v>
      </c>
      <c r="D4503" t="s">
        <v>25</v>
      </c>
      <c r="F4503" t="s">
        <v>26</v>
      </c>
      <c r="T4503" t="s">
        <v>20651</v>
      </c>
      <c r="U4503" t="s">
        <v>20652</v>
      </c>
      <c r="V4503" t="s">
        <v>20653</v>
      </c>
      <c r="W4503" t="s">
        <v>143</v>
      </c>
      <c r="X4503" t="s">
        <v>20654</v>
      </c>
      <c r="Y4503">
        <v>1</v>
      </c>
    </row>
    <row r="4504" spans="1:26">
      <c r="A4504" s="1">
        <v>4502</v>
      </c>
      <c r="B4504" t="str">
        <f>HYPERLINK("https://bugs.eclipse.org/bugs/show_bug.cgi?id=428143", "428143")</f>
        <v>428143</v>
      </c>
      <c r="C4504" t="s">
        <v>149</v>
      </c>
      <c r="D4504" t="s">
        <v>10</v>
      </c>
      <c r="E4504" t="s">
        <v>12</v>
      </c>
      <c r="F4504" t="s">
        <v>26</v>
      </c>
      <c r="L4504" t="s">
        <v>20655</v>
      </c>
      <c r="N4504" t="s">
        <v>20655</v>
      </c>
      <c r="T4504" t="s">
        <v>20656</v>
      </c>
      <c r="U4504" t="s">
        <v>20657</v>
      </c>
      <c r="V4504" t="s">
        <v>20655</v>
      </c>
      <c r="W4504" t="s">
        <v>18080</v>
      </c>
      <c r="X4504" t="s">
        <v>20658</v>
      </c>
      <c r="Y4504">
        <v>1</v>
      </c>
      <c r="Z4504">
        <v>2282.958333333333</v>
      </c>
    </row>
    <row r="4505" spans="1:26">
      <c r="A4505" s="1">
        <v>4503</v>
      </c>
      <c r="B4505" t="str">
        <f>HYPERLINK("https://bugs.eclipse.org/bugs/show_bug.cgi?id=428706", "428706")</f>
        <v>428706</v>
      </c>
      <c r="C4505" t="s">
        <v>17</v>
      </c>
      <c r="D4505" t="s">
        <v>17</v>
      </c>
      <c r="F4505" t="s">
        <v>26</v>
      </c>
      <c r="P4505" t="s">
        <v>20659</v>
      </c>
      <c r="S4505" t="s">
        <v>20660</v>
      </c>
      <c r="T4505" t="s">
        <v>20661</v>
      </c>
      <c r="U4505" t="s">
        <v>20662</v>
      </c>
      <c r="V4505" t="s">
        <v>20660</v>
      </c>
      <c r="W4505" t="s">
        <v>16518</v>
      </c>
      <c r="X4505" t="s">
        <v>20663</v>
      </c>
      <c r="Y4505">
        <v>0</v>
      </c>
    </row>
    <row r="4506" spans="1:26">
      <c r="A4506" s="1">
        <v>4504</v>
      </c>
      <c r="B4506" t="str">
        <f>HYPERLINK("https://bugs.eclipse.org/bugs/show_bug.cgi?id=428739", "428739")</f>
        <v>428739</v>
      </c>
      <c r="C4506" t="s">
        <v>140</v>
      </c>
      <c r="D4506" t="s">
        <v>10</v>
      </c>
      <c r="E4506" t="s">
        <v>16</v>
      </c>
      <c r="F4506" t="s">
        <v>26</v>
      </c>
      <c r="G4506" t="s">
        <v>20664</v>
      </c>
      <c r="L4506" t="s">
        <v>20665</v>
      </c>
      <c r="R4506" t="s">
        <v>20665</v>
      </c>
      <c r="S4506" t="s">
        <v>20666</v>
      </c>
      <c r="T4506" t="s">
        <v>20667</v>
      </c>
      <c r="U4506" t="s">
        <v>20668</v>
      </c>
      <c r="V4506" t="s">
        <v>20665</v>
      </c>
      <c r="W4506" t="s">
        <v>9181</v>
      </c>
      <c r="X4506" t="s">
        <v>20669</v>
      </c>
      <c r="Y4506">
        <v>4</v>
      </c>
      <c r="Z4506">
        <v>9</v>
      </c>
    </row>
    <row r="4507" spans="1:26">
      <c r="A4507" s="1">
        <v>4505</v>
      </c>
      <c r="B4507" t="str">
        <f>HYPERLINK("https://bugs.eclipse.org/bugs/show_bug.cgi?id=428808", "428808")</f>
        <v>428808</v>
      </c>
      <c r="C4507" t="s">
        <v>191</v>
      </c>
      <c r="D4507" t="s">
        <v>192</v>
      </c>
      <c r="E4507" t="s">
        <v>14</v>
      </c>
      <c r="F4507" t="s">
        <v>26</v>
      </c>
      <c r="P4507" t="s">
        <v>20670</v>
      </c>
      <c r="T4507" t="s">
        <v>20671</v>
      </c>
      <c r="U4507" t="s">
        <v>20672</v>
      </c>
      <c r="V4507" t="s">
        <v>20670</v>
      </c>
      <c r="W4507" t="s">
        <v>65</v>
      </c>
      <c r="X4507" t="s">
        <v>20673</v>
      </c>
      <c r="Y4507">
        <v>5</v>
      </c>
      <c r="Z4507">
        <v>2203</v>
      </c>
    </row>
    <row r="4508" spans="1:26">
      <c r="A4508" s="1">
        <v>4506</v>
      </c>
      <c r="B4508" t="str">
        <f>HYPERLINK("https://bugs.eclipse.org/bugs/show_bug.cgi?id=428856", "428856")</f>
        <v>428856</v>
      </c>
      <c r="C4508" t="s">
        <v>35</v>
      </c>
      <c r="D4508" t="s">
        <v>11</v>
      </c>
      <c r="E4508" t="s">
        <v>12</v>
      </c>
      <c r="F4508" t="s">
        <v>26</v>
      </c>
      <c r="L4508" t="s">
        <v>20674</v>
      </c>
      <c r="M4508" t="s">
        <v>20675</v>
      </c>
      <c r="N4508" t="s">
        <v>20674</v>
      </c>
      <c r="T4508" t="s">
        <v>20676</v>
      </c>
      <c r="U4508" t="s">
        <v>20677</v>
      </c>
      <c r="V4508" t="s">
        <v>20675</v>
      </c>
      <c r="W4508" t="s">
        <v>851</v>
      </c>
      <c r="X4508" t="s">
        <v>20678</v>
      </c>
      <c r="Y4508">
        <v>0</v>
      </c>
      <c r="Z4508">
        <v>66.958333333333329</v>
      </c>
    </row>
    <row r="4509" spans="1:26">
      <c r="A4509" s="1">
        <v>4507</v>
      </c>
      <c r="B4509" t="str">
        <f>HYPERLINK("https://bugs.eclipse.org/bugs/show_bug.cgi?id=429182", "429182")</f>
        <v>429182</v>
      </c>
      <c r="C4509" t="s">
        <v>191</v>
      </c>
      <c r="D4509" t="s">
        <v>192</v>
      </c>
      <c r="E4509" t="s">
        <v>14</v>
      </c>
      <c r="F4509" t="s">
        <v>26</v>
      </c>
      <c r="P4509" t="s">
        <v>20679</v>
      </c>
      <c r="T4509" t="s">
        <v>20680</v>
      </c>
      <c r="U4509" t="s">
        <v>20681</v>
      </c>
      <c r="V4509" t="s">
        <v>20679</v>
      </c>
      <c r="W4509" t="s">
        <v>65</v>
      </c>
      <c r="X4509" t="s">
        <v>20682</v>
      </c>
      <c r="Y4509">
        <v>0</v>
      </c>
      <c r="Z4509">
        <v>2247.958333333333</v>
      </c>
    </row>
    <row r="4510" spans="1:26">
      <c r="A4510" s="1">
        <v>4508</v>
      </c>
      <c r="B4510" t="str">
        <f>HYPERLINK("https://bugs.eclipse.org/bugs/show_bug.cgi?id=429416", "429416")</f>
        <v>429416</v>
      </c>
      <c r="C4510" t="s">
        <v>191</v>
      </c>
      <c r="D4510" t="s">
        <v>192</v>
      </c>
      <c r="E4510" t="s">
        <v>14</v>
      </c>
      <c r="F4510" t="s">
        <v>26</v>
      </c>
      <c r="P4510" t="s">
        <v>20683</v>
      </c>
      <c r="T4510" t="s">
        <v>20684</v>
      </c>
      <c r="U4510" t="s">
        <v>20685</v>
      </c>
      <c r="V4510" t="s">
        <v>20683</v>
      </c>
      <c r="W4510" t="s">
        <v>65</v>
      </c>
      <c r="X4510" t="s">
        <v>20686</v>
      </c>
      <c r="Y4510">
        <v>0</v>
      </c>
      <c r="Z4510">
        <v>2203.958333333333</v>
      </c>
    </row>
    <row r="4511" spans="1:26">
      <c r="A4511" s="1">
        <v>4509</v>
      </c>
      <c r="B4511" t="str">
        <f>HYPERLINK("https://bugs.eclipse.org/bugs/show_bug.cgi?id=429427", "429427")</f>
        <v>429427</v>
      </c>
      <c r="C4511" t="s">
        <v>191</v>
      </c>
      <c r="D4511" t="s">
        <v>192</v>
      </c>
      <c r="E4511" t="s">
        <v>14</v>
      </c>
      <c r="F4511" t="s">
        <v>26</v>
      </c>
      <c r="T4511" t="s">
        <v>20687</v>
      </c>
      <c r="U4511" t="s">
        <v>20688</v>
      </c>
      <c r="V4511" t="s">
        <v>20689</v>
      </c>
      <c r="W4511" t="s">
        <v>65</v>
      </c>
      <c r="X4511" t="s">
        <v>20690</v>
      </c>
      <c r="Y4511">
        <v>0</v>
      </c>
      <c r="Z4511">
        <v>1715</v>
      </c>
    </row>
    <row r="4512" spans="1:26">
      <c r="A4512" s="1">
        <v>4510</v>
      </c>
      <c r="B4512" t="str">
        <f>HYPERLINK("https://bugs.eclipse.org/bugs/show_bug.cgi?id=429498", "429498")</f>
        <v>429498</v>
      </c>
      <c r="C4512" t="s">
        <v>149</v>
      </c>
      <c r="D4512" t="s">
        <v>10</v>
      </c>
      <c r="E4512" t="s">
        <v>12</v>
      </c>
      <c r="F4512" t="s">
        <v>26</v>
      </c>
      <c r="G4512" t="s">
        <v>20691</v>
      </c>
      <c r="L4512" t="s">
        <v>20692</v>
      </c>
      <c r="N4512" t="s">
        <v>20692</v>
      </c>
      <c r="T4512" t="s">
        <v>20693</v>
      </c>
      <c r="U4512" t="s">
        <v>20694</v>
      </c>
      <c r="V4512" t="s">
        <v>20692</v>
      </c>
      <c r="W4512" t="s">
        <v>851</v>
      </c>
      <c r="X4512" t="s">
        <v>20695</v>
      </c>
      <c r="Y4512">
        <v>0</v>
      </c>
      <c r="Z4512">
        <v>12.95833333333333</v>
      </c>
    </row>
    <row r="4513" spans="1:26">
      <c r="A4513" s="1">
        <v>4511</v>
      </c>
      <c r="B4513" t="str">
        <f>HYPERLINK("https://bugs.eclipse.org/bugs/show_bug.cgi?id=429804", "429804")</f>
        <v>429804</v>
      </c>
      <c r="C4513" t="s">
        <v>25</v>
      </c>
      <c r="D4513" t="s">
        <v>25</v>
      </c>
      <c r="F4513" t="s">
        <v>26</v>
      </c>
      <c r="L4513" t="s">
        <v>20696</v>
      </c>
      <c r="P4513" t="s">
        <v>20696</v>
      </c>
      <c r="S4513" t="s">
        <v>20697</v>
      </c>
      <c r="T4513" t="s">
        <v>20698</v>
      </c>
      <c r="U4513" t="s">
        <v>20696</v>
      </c>
      <c r="V4513" t="s">
        <v>20699</v>
      </c>
      <c r="W4513" t="s">
        <v>143</v>
      </c>
      <c r="X4513" t="s">
        <v>20700</v>
      </c>
      <c r="Y4513">
        <v>6.958333333333333</v>
      </c>
    </row>
    <row r="4514" spans="1:26">
      <c r="A4514" s="1">
        <v>4512</v>
      </c>
      <c r="B4514" t="str">
        <f>HYPERLINK("https://bugs.eclipse.org/bugs/show_bug.cgi?id=429954", "429954")</f>
        <v>429954</v>
      </c>
      <c r="C4514" t="s">
        <v>191</v>
      </c>
      <c r="D4514" t="s">
        <v>192</v>
      </c>
      <c r="E4514" t="s">
        <v>14</v>
      </c>
      <c r="F4514" t="s">
        <v>26</v>
      </c>
      <c r="T4514" t="s">
        <v>20701</v>
      </c>
      <c r="U4514" t="s">
        <v>20702</v>
      </c>
      <c r="V4514" t="s">
        <v>20703</v>
      </c>
      <c r="W4514" t="s">
        <v>65</v>
      </c>
      <c r="X4514" t="s">
        <v>20704</v>
      </c>
      <c r="Y4514">
        <v>0</v>
      </c>
      <c r="Z4514">
        <v>2006.958333333333</v>
      </c>
    </row>
    <row r="4515" spans="1:26">
      <c r="A4515" s="1">
        <v>4513</v>
      </c>
      <c r="B4515" t="str">
        <f>HYPERLINK("https://bugs.eclipse.org/bugs/show_bug.cgi?id=430267", "430267")</f>
        <v>430267</v>
      </c>
      <c r="C4515" t="s">
        <v>149</v>
      </c>
      <c r="D4515" t="s">
        <v>10</v>
      </c>
      <c r="E4515" t="s">
        <v>12</v>
      </c>
      <c r="F4515" t="s">
        <v>26</v>
      </c>
      <c r="L4515" t="s">
        <v>20705</v>
      </c>
      <c r="N4515" t="s">
        <v>20705</v>
      </c>
      <c r="T4515" t="s">
        <v>20706</v>
      </c>
      <c r="U4515" t="s">
        <v>20707</v>
      </c>
      <c r="V4515" t="s">
        <v>20705</v>
      </c>
      <c r="W4515" t="s">
        <v>851</v>
      </c>
      <c r="X4515" t="s">
        <v>20708</v>
      </c>
      <c r="Y4515">
        <v>3</v>
      </c>
      <c r="Z4515">
        <v>266.04166666666669</v>
      </c>
    </row>
    <row r="4516" spans="1:26">
      <c r="A4516" s="1">
        <v>4514</v>
      </c>
      <c r="B4516" t="str">
        <f>HYPERLINK("https://bugs.eclipse.org/bugs/show_bug.cgi?id=430286", "430286")</f>
        <v>430286</v>
      </c>
      <c r="C4516" t="s">
        <v>149</v>
      </c>
      <c r="D4516" t="s">
        <v>10</v>
      </c>
      <c r="E4516" t="s">
        <v>12</v>
      </c>
      <c r="F4516" t="s">
        <v>26</v>
      </c>
      <c r="G4516" t="s">
        <v>20709</v>
      </c>
      <c r="L4516" t="s">
        <v>20710</v>
      </c>
      <c r="N4516" t="s">
        <v>20710</v>
      </c>
      <c r="T4516" t="s">
        <v>20711</v>
      </c>
      <c r="U4516" t="s">
        <v>20712</v>
      </c>
      <c r="V4516" t="s">
        <v>20713</v>
      </c>
      <c r="W4516" t="s">
        <v>851</v>
      </c>
      <c r="X4516" t="s">
        <v>20714</v>
      </c>
      <c r="Y4516">
        <v>0</v>
      </c>
      <c r="Z4516">
        <v>43</v>
      </c>
    </row>
    <row r="4517" spans="1:26">
      <c r="A4517" s="1">
        <v>4515</v>
      </c>
      <c r="B4517" t="str">
        <f>HYPERLINK("https://bugs.eclipse.org/bugs/show_bug.cgi?id=430469", "430469")</f>
        <v>430469</v>
      </c>
      <c r="C4517" t="s">
        <v>25</v>
      </c>
      <c r="D4517" t="s">
        <v>25</v>
      </c>
      <c r="F4517" t="s">
        <v>26</v>
      </c>
      <c r="T4517" t="s">
        <v>20715</v>
      </c>
      <c r="U4517" t="s">
        <v>20716</v>
      </c>
      <c r="V4517" t="s">
        <v>20716</v>
      </c>
      <c r="W4517" t="s">
        <v>9181</v>
      </c>
      <c r="X4517" t="s">
        <v>20717</v>
      </c>
      <c r="Y4517">
        <v>0</v>
      </c>
    </row>
    <row r="4518" spans="1:26">
      <c r="A4518" s="1">
        <v>4516</v>
      </c>
      <c r="B4518" t="str">
        <f>HYPERLINK("https://bugs.eclipse.org/bugs/show_bug.cgi?id=430487", "430487")</f>
        <v>430487</v>
      </c>
      <c r="C4518" t="s">
        <v>149</v>
      </c>
      <c r="D4518" t="s">
        <v>10</v>
      </c>
      <c r="E4518" t="s">
        <v>12</v>
      </c>
      <c r="F4518" t="s">
        <v>26</v>
      </c>
      <c r="L4518" t="s">
        <v>20718</v>
      </c>
      <c r="N4518" t="s">
        <v>20718</v>
      </c>
      <c r="T4518" t="s">
        <v>20719</v>
      </c>
      <c r="U4518" t="s">
        <v>20718</v>
      </c>
      <c r="V4518" t="s">
        <v>20718</v>
      </c>
      <c r="W4518" t="s">
        <v>851</v>
      </c>
      <c r="X4518" t="s">
        <v>20720</v>
      </c>
      <c r="Y4518">
        <v>0</v>
      </c>
      <c r="Z4518">
        <v>0</v>
      </c>
    </row>
    <row r="4519" spans="1:26">
      <c r="A4519" s="1">
        <v>4517</v>
      </c>
      <c r="B4519" t="str">
        <f>HYPERLINK("https://bugs.eclipse.org/bugs/show_bug.cgi?id=430574", "430574")</f>
        <v>430574</v>
      </c>
      <c r="C4519" t="s">
        <v>149</v>
      </c>
      <c r="D4519" t="s">
        <v>10</v>
      </c>
      <c r="E4519" t="s">
        <v>12</v>
      </c>
      <c r="F4519" t="s">
        <v>26</v>
      </c>
      <c r="L4519" t="s">
        <v>20721</v>
      </c>
      <c r="N4519" t="s">
        <v>20721</v>
      </c>
      <c r="T4519" t="s">
        <v>20722</v>
      </c>
      <c r="U4519" t="s">
        <v>20723</v>
      </c>
      <c r="V4519" t="s">
        <v>20721</v>
      </c>
      <c r="W4519" t="s">
        <v>851</v>
      </c>
      <c r="X4519" t="s">
        <v>20724</v>
      </c>
      <c r="Y4519">
        <v>1</v>
      </c>
      <c r="Z4519">
        <v>2</v>
      </c>
    </row>
    <row r="4520" spans="1:26">
      <c r="A4520" s="1">
        <v>4518</v>
      </c>
      <c r="B4520" t="str">
        <f>HYPERLINK("https://bugs.eclipse.org/bugs/show_bug.cgi?id=430750", "430750")</f>
        <v>430750</v>
      </c>
      <c r="C4520" t="s">
        <v>35</v>
      </c>
      <c r="D4520" t="s">
        <v>11</v>
      </c>
      <c r="E4520" t="s">
        <v>12</v>
      </c>
      <c r="F4520" t="s">
        <v>26</v>
      </c>
      <c r="L4520" t="s">
        <v>20725</v>
      </c>
      <c r="M4520" t="s">
        <v>20726</v>
      </c>
      <c r="N4520" t="s">
        <v>20725</v>
      </c>
      <c r="T4520" t="s">
        <v>20727</v>
      </c>
      <c r="U4520" t="s">
        <v>20728</v>
      </c>
      <c r="V4520" t="s">
        <v>20726</v>
      </c>
      <c r="W4520" t="s">
        <v>4846</v>
      </c>
      <c r="X4520" t="s">
        <v>20729</v>
      </c>
      <c r="Y4520">
        <v>14</v>
      </c>
      <c r="Z4520">
        <v>139</v>
      </c>
    </row>
    <row r="4521" spans="1:26">
      <c r="A4521" s="1">
        <v>4519</v>
      </c>
      <c r="B4521" t="str">
        <f>HYPERLINK("https://bugs.eclipse.org/bugs/show_bug.cgi?id=431158", "431158")</f>
        <v>431158</v>
      </c>
      <c r="C4521" t="s">
        <v>35</v>
      </c>
      <c r="D4521" t="s">
        <v>11</v>
      </c>
      <c r="E4521" t="s">
        <v>12</v>
      </c>
      <c r="F4521" t="s">
        <v>26</v>
      </c>
      <c r="L4521" t="s">
        <v>20730</v>
      </c>
      <c r="M4521" t="s">
        <v>20731</v>
      </c>
      <c r="N4521" t="s">
        <v>20730</v>
      </c>
      <c r="T4521" t="s">
        <v>20732</v>
      </c>
      <c r="U4521" t="s">
        <v>20733</v>
      </c>
      <c r="V4521" t="s">
        <v>20731</v>
      </c>
      <c r="W4521" t="s">
        <v>851</v>
      </c>
      <c r="X4521" t="s">
        <v>20734</v>
      </c>
      <c r="Y4521">
        <v>0</v>
      </c>
      <c r="Z4521">
        <v>2</v>
      </c>
    </row>
    <row r="4522" spans="1:26">
      <c r="A4522" s="1">
        <v>4520</v>
      </c>
      <c r="B4522" t="str">
        <f>HYPERLINK("https://bugs.eclipse.org/bugs/show_bug.cgi?id=431860", "431860")</f>
        <v>431860</v>
      </c>
      <c r="C4522" t="s">
        <v>191</v>
      </c>
      <c r="D4522" t="s">
        <v>192</v>
      </c>
      <c r="E4522" t="s">
        <v>14</v>
      </c>
      <c r="F4522" t="s">
        <v>26</v>
      </c>
      <c r="P4522" t="s">
        <v>20735</v>
      </c>
      <c r="T4522" t="s">
        <v>20736</v>
      </c>
      <c r="U4522" t="s">
        <v>20737</v>
      </c>
      <c r="V4522" t="s">
        <v>20735</v>
      </c>
      <c r="W4522" t="s">
        <v>65</v>
      </c>
      <c r="X4522" t="s">
        <v>20738</v>
      </c>
      <c r="Y4522">
        <v>0</v>
      </c>
      <c r="Z4522">
        <v>2122.041666666667</v>
      </c>
    </row>
    <row r="4523" spans="1:26">
      <c r="A4523" s="1">
        <v>4521</v>
      </c>
      <c r="B4523" t="str">
        <f>HYPERLINK("https://bugs.eclipse.org/bugs/show_bug.cgi?id=432147", "432147")</f>
        <v>432147</v>
      </c>
      <c r="C4523" t="s">
        <v>25</v>
      </c>
      <c r="D4523" t="s">
        <v>25</v>
      </c>
      <c r="F4523" t="s">
        <v>26</v>
      </c>
      <c r="T4523" t="s">
        <v>20739</v>
      </c>
      <c r="U4523" t="s">
        <v>20740</v>
      </c>
      <c r="V4523" t="s">
        <v>20741</v>
      </c>
      <c r="W4523" t="s">
        <v>4846</v>
      </c>
      <c r="X4523" t="s">
        <v>20742</v>
      </c>
      <c r="Y4523">
        <v>1</v>
      </c>
    </row>
    <row r="4524" spans="1:26">
      <c r="A4524" s="1">
        <v>4522</v>
      </c>
      <c r="B4524" t="str">
        <f>HYPERLINK("https://bugs.eclipse.org/bugs/show_bug.cgi?id=432515", "432515")</f>
        <v>432515</v>
      </c>
      <c r="C4524" t="s">
        <v>149</v>
      </c>
      <c r="D4524" t="s">
        <v>10</v>
      </c>
      <c r="E4524" t="s">
        <v>12</v>
      </c>
      <c r="F4524" t="s">
        <v>26</v>
      </c>
      <c r="G4524" t="s">
        <v>20743</v>
      </c>
      <c r="L4524" t="s">
        <v>20744</v>
      </c>
      <c r="N4524" t="s">
        <v>20744</v>
      </c>
      <c r="T4524" t="s">
        <v>20745</v>
      </c>
      <c r="U4524" t="s">
        <v>20746</v>
      </c>
      <c r="V4524" t="s">
        <v>20744</v>
      </c>
      <c r="W4524" t="s">
        <v>4846</v>
      </c>
      <c r="X4524" t="s">
        <v>20747</v>
      </c>
      <c r="Y4524">
        <v>0</v>
      </c>
      <c r="Z4524">
        <v>8</v>
      </c>
    </row>
    <row r="4525" spans="1:26">
      <c r="A4525" s="1">
        <v>4523</v>
      </c>
      <c r="B4525" t="str">
        <f>HYPERLINK("https://bugs.eclipse.org/bugs/show_bug.cgi?id=432575", "432575")</f>
        <v>432575</v>
      </c>
      <c r="C4525" t="s">
        <v>35</v>
      </c>
      <c r="D4525" t="s">
        <v>11</v>
      </c>
      <c r="E4525" t="s">
        <v>12</v>
      </c>
      <c r="F4525" t="s">
        <v>26</v>
      </c>
      <c r="L4525" t="s">
        <v>20748</v>
      </c>
      <c r="M4525" t="s">
        <v>20749</v>
      </c>
      <c r="N4525" t="s">
        <v>20748</v>
      </c>
      <c r="T4525" t="s">
        <v>20750</v>
      </c>
      <c r="U4525" t="s">
        <v>20751</v>
      </c>
      <c r="V4525" t="s">
        <v>20749</v>
      </c>
      <c r="W4525" t="s">
        <v>4846</v>
      </c>
      <c r="X4525" t="s">
        <v>20752</v>
      </c>
      <c r="Y4525">
        <v>1</v>
      </c>
      <c r="Z4525">
        <v>39</v>
      </c>
    </row>
    <row r="4526" spans="1:26">
      <c r="A4526" s="1">
        <v>4524</v>
      </c>
      <c r="B4526" t="str">
        <f>HYPERLINK("https://bugs.eclipse.org/bugs/show_bug.cgi?id=432689", "432689")</f>
        <v>432689</v>
      </c>
      <c r="C4526" t="s">
        <v>191</v>
      </c>
      <c r="D4526" t="s">
        <v>192</v>
      </c>
      <c r="E4526" t="s">
        <v>14</v>
      </c>
      <c r="F4526" t="s">
        <v>26</v>
      </c>
      <c r="G4526" t="s">
        <v>20753</v>
      </c>
      <c r="P4526" t="s">
        <v>20754</v>
      </c>
      <c r="T4526" t="s">
        <v>20755</v>
      </c>
      <c r="U4526" t="s">
        <v>20756</v>
      </c>
      <c r="V4526" t="s">
        <v>20754</v>
      </c>
      <c r="W4526" t="s">
        <v>65</v>
      </c>
      <c r="X4526" t="s">
        <v>20757</v>
      </c>
      <c r="Y4526">
        <v>1</v>
      </c>
      <c r="Z4526">
        <v>2124.041666666667</v>
      </c>
    </row>
    <row r="4527" spans="1:26">
      <c r="A4527" s="1">
        <v>4525</v>
      </c>
      <c r="B4527" t="str">
        <f>HYPERLINK("https://bugs.eclipse.org/bugs/show_bug.cgi?id=432845", "432845")</f>
        <v>432845</v>
      </c>
      <c r="C4527" t="s">
        <v>25</v>
      </c>
      <c r="D4527" t="s">
        <v>25</v>
      </c>
      <c r="F4527" t="s">
        <v>26</v>
      </c>
      <c r="G4527" t="s">
        <v>20758</v>
      </c>
      <c r="T4527" t="s">
        <v>20759</v>
      </c>
      <c r="U4527" t="s">
        <v>20760</v>
      </c>
      <c r="V4527" t="s">
        <v>20761</v>
      </c>
      <c r="W4527" t="s">
        <v>65</v>
      </c>
      <c r="X4527" t="s">
        <v>20762</v>
      </c>
      <c r="Y4527">
        <v>0</v>
      </c>
    </row>
    <row r="4528" spans="1:26">
      <c r="A4528" s="1">
        <v>4526</v>
      </c>
      <c r="B4528" t="str">
        <f>HYPERLINK("https://bugs.eclipse.org/bugs/show_bug.cgi?id=432971", "432971")</f>
        <v>432971</v>
      </c>
      <c r="C4528" t="s">
        <v>19830</v>
      </c>
      <c r="D4528" t="s">
        <v>192</v>
      </c>
      <c r="E4528" t="s">
        <v>15</v>
      </c>
      <c r="F4528" t="s">
        <v>26</v>
      </c>
      <c r="Q4528" t="s">
        <v>20763</v>
      </c>
      <c r="S4528" t="s">
        <v>20764</v>
      </c>
      <c r="T4528" t="s">
        <v>20765</v>
      </c>
      <c r="U4528" t="s">
        <v>20766</v>
      </c>
      <c r="V4528" t="s">
        <v>20763</v>
      </c>
      <c r="W4528" t="s">
        <v>9181</v>
      </c>
      <c r="X4528" t="s">
        <v>20767</v>
      </c>
      <c r="Y4528">
        <v>1</v>
      </c>
      <c r="Z4528">
        <v>51</v>
      </c>
    </row>
    <row r="4529" spans="1:26">
      <c r="A4529" s="1">
        <v>4527</v>
      </c>
      <c r="B4529" t="str">
        <f>HYPERLINK("https://bugs.eclipse.org/bugs/show_bug.cgi?id=433295", "433295")</f>
        <v>433295</v>
      </c>
      <c r="C4529" t="s">
        <v>25</v>
      </c>
      <c r="D4529" t="s">
        <v>25</v>
      </c>
      <c r="F4529" t="s">
        <v>26</v>
      </c>
      <c r="T4529" t="s">
        <v>20768</v>
      </c>
      <c r="U4529" t="s">
        <v>20769</v>
      </c>
      <c r="V4529" t="s">
        <v>20770</v>
      </c>
      <c r="W4529" t="s">
        <v>65</v>
      </c>
      <c r="X4529" t="s">
        <v>20771</v>
      </c>
      <c r="Y4529">
        <v>0</v>
      </c>
    </row>
    <row r="4530" spans="1:26">
      <c r="A4530" s="1">
        <v>4528</v>
      </c>
      <c r="B4530" t="str">
        <f>HYPERLINK("https://bugs.eclipse.org/bugs/show_bug.cgi?id=433373", "433373")</f>
        <v>433373</v>
      </c>
      <c r="C4530" t="s">
        <v>149</v>
      </c>
      <c r="D4530" t="s">
        <v>10</v>
      </c>
      <c r="E4530" t="s">
        <v>12</v>
      </c>
      <c r="F4530" t="s">
        <v>26</v>
      </c>
      <c r="L4530" t="s">
        <v>20772</v>
      </c>
      <c r="N4530" t="s">
        <v>20772</v>
      </c>
      <c r="T4530" t="s">
        <v>20773</v>
      </c>
      <c r="U4530" t="s">
        <v>20774</v>
      </c>
      <c r="V4530" t="s">
        <v>20772</v>
      </c>
      <c r="W4530" t="s">
        <v>851</v>
      </c>
      <c r="X4530" t="s">
        <v>20775</v>
      </c>
      <c r="Y4530">
        <v>0</v>
      </c>
      <c r="Z4530">
        <v>0</v>
      </c>
    </row>
    <row r="4531" spans="1:26">
      <c r="A4531" s="1">
        <v>4529</v>
      </c>
      <c r="B4531" t="str">
        <f>HYPERLINK("https://bugs.eclipse.org/bugs/show_bug.cgi?id=433426", "433426")</f>
        <v>433426</v>
      </c>
      <c r="C4531" t="s">
        <v>191</v>
      </c>
      <c r="D4531" t="s">
        <v>192</v>
      </c>
      <c r="E4531" t="s">
        <v>14</v>
      </c>
      <c r="F4531" t="s">
        <v>26</v>
      </c>
      <c r="P4531" t="s">
        <v>20776</v>
      </c>
      <c r="Q4531" t="s">
        <v>20777</v>
      </c>
      <c r="S4531" t="s">
        <v>20778</v>
      </c>
      <c r="T4531" t="s">
        <v>20779</v>
      </c>
      <c r="U4531" t="s">
        <v>20780</v>
      </c>
      <c r="V4531" t="s">
        <v>20776</v>
      </c>
      <c r="W4531" t="s">
        <v>65</v>
      </c>
      <c r="X4531" t="s">
        <v>20781</v>
      </c>
      <c r="Y4531">
        <v>6</v>
      </c>
      <c r="Z4531">
        <v>2179</v>
      </c>
    </row>
    <row r="4532" spans="1:26">
      <c r="A4532" s="1">
        <v>4530</v>
      </c>
      <c r="B4532" t="str">
        <f>HYPERLINK("https://bugs.eclipse.org/bugs/show_bug.cgi?id=433691", "433691")</f>
        <v>433691</v>
      </c>
      <c r="C4532" t="s">
        <v>20782</v>
      </c>
      <c r="D4532" t="s">
        <v>192</v>
      </c>
      <c r="E4532" t="s">
        <v>15</v>
      </c>
      <c r="F4532" t="s">
        <v>26</v>
      </c>
      <c r="Q4532" t="s">
        <v>20783</v>
      </c>
      <c r="T4532" t="s">
        <v>20784</v>
      </c>
      <c r="U4532" t="s">
        <v>20783</v>
      </c>
      <c r="V4532" t="s">
        <v>20783</v>
      </c>
      <c r="W4532" t="s">
        <v>4846</v>
      </c>
      <c r="X4532" t="s">
        <v>20785</v>
      </c>
      <c r="Y4532">
        <v>2</v>
      </c>
      <c r="Z4532">
        <v>2</v>
      </c>
    </row>
    <row r="4533" spans="1:26">
      <c r="A4533" s="1">
        <v>4531</v>
      </c>
      <c r="B4533" t="str">
        <f>HYPERLINK("https://bugs.eclipse.org/bugs/show_bug.cgi?id=433715", "433715")</f>
        <v>433715</v>
      </c>
      <c r="C4533" t="s">
        <v>35</v>
      </c>
      <c r="D4533" t="s">
        <v>11</v>
      </c>
      <c r="E4533" t="s">
        <v>12</v>
      </c>
      <c r="F4533" t="s">
        <v>26</v>
      </c>
      <c r="L4533" t="s">
        <v>20786</v>
      </c>
      <c r="M4533" t="s">
        <v>20787</v>
      </c>
      <c r="N4533" t="s">
        <v>20786</v>
      </c>
      <c r="T4533" t="s">
        <v>20788</v>
      </c>
      <c r="U4533" t="s">
        <v>20789</v>
      </c>
      <c r="V4533" t="s">
        <v>20787</v>
      </c>
      <c r="W4533" t="s">
        <v>851</v>
      </c>
      <c r="X4533" t="s">
        <v>20790</v>
      </c>
      <c r="Y4533">
        <v>1</v>
      </c>
      <c r="Z4533">
        <v>3</v>
      </c>
    </row>
    <row r="4534" spans="1:26">
      <c r="A4534" s="1">
        <v>4532</v>
      </c>
      <c r="B4534" t="str">
        <f>HYPERLINK("https://bugs.eclipse.org/bugs/show_bug.cgi?id=433759", "433759")</f>
        <v>433759</v>
      </c>
      <c r="C4534" t="s">
        <v>14765</v>
      </c>
      <c r="D4534" t="s">
        <v>192</v>
      </c>
      <c r="E4534" t="s">
        <v>15</v>
      </c>
      <c r="F4534" t="s">
        <v>26</v>
      </c>
      <c r="Q4534" t="s">
        <v>20791</v>
      </c>
      <c r="T4534" t="s">
        <v>20792</v>
      </c>
      <c r="U4534" t="s">
        <v>20791</v>
      </c>
      <c r="V4534" t="s">
        <v>20791</v>
      </c>
      <c r="W4534" t="s">
        <v>143</v>
      </c>
      <c r="X4534" t="s">
        <v>20793</v>
      </c>
      <c r="Y4534">
        <v>0</v>
      </c>
      <c r="Z4534">
        <v>0</v>
      </c>
    </row>
    <row r="4535" spans="1:26">
      <c r="A4535" s="1">
        <v>4533</v>
      </c>
      <c r="B4535" t="str">
        <f>HYPERLINK("https://bugs.eclipse.org/bugs/show_bug.cgi?id=433783", "433783")</f>
        <v>433783</v>
      </c>
      <c r="C4535" t="s">
        <v>140</v>
      </c>
      <c r="D4535" t="s">
        <v>10</v>
      </c>
      <c r="E4535" t="s">
        <v>16</v>
      </c>
      <c r="F4535" t="s">
        <v>26</v>
      </c>
      <c r="L4535" t="s">
        <v>20794</v>
      </c>
      <c r="R4535" t="s">
        <v>20794</v>
      </c>
      <c r="T4535" t="s">
        <v>20795</v>
      </c>
      <c r="U4535" t="s">
        <v>20796</v>
      </c>
      <c r="V4535" t="s">
        <v>20794</v>
      </c>
      <c r="W4535" t="s">
        <v>4846</v>
      </c>
      <c r="X4535" t="s">
        <v>20797</v>
      </c>
      <c r="Y4535">
        <v>1</v>
      </c>
      <c r="Z4535">
        <v>153</v>
      </c>
    </row>
    <row r="4536" spans="1:26">
      <c r="A4536" s="1">
        <v>4534</v>
      </c>
      <c r="B4536" t="str">
        <f>HYPERLINK("https://bugs.eclipse.org/bugs/show_bug.cgi?id=433932", "433932")</f>
        <v>433932</v>
      </c>
      <c r="C4536" t="s">
        <v>35</v>
      </c>
      <c r="D4536" t="s">
        <v>11</v>
      </c>
      <c r="E4536" t="s">
        <v>12</v>
      </c>
      <c r="F4536" t="s">
        <v>26</v>
      </c>
      <c r="L4536" t="s">
        <v>20798</v>
      </c>
      <c r="M4536" t="s">
        <v>20799</v>
      </c>
      <c r="N4536" t="s">
        <v>20798</v>
      </c>
      <c r="R4536" t="s">
        <v>20800</v>
      </c>
      <c r="S4536" t="s">
        <v>20801</v>
      </c>
      <c r="T4536" t="s">
        <v>20802</v>
      </c>
      <c r="U4536" t="s">
        <v>20803</v>
      </c>
      <c r="V4536" t="s">
        <v>20799</v>
      </c>
      <c r="W4536" t="s">
        <v>143</v>
      </c>
      <c r="X4536" t="s">
        <v>20804</v>
      </c>
      <c r="Y4536">
        <v>0</v>
      </c>
      <c r="Z4536">
        <v>21</v>
      </c>
    </row>
    <row r="4537" spans="1:26">
      <c r="A4537" s="1">
        <v>4535</v>
      </c>
      <c r="B4537" t="str">
        <f>HYPERLINK("https://bugs.eclipse.org/bugs/show_bug.cgi?id=434011", "434011")</f>
        <v>434011</v>
      </c>
      <c r="C4537" t="s">
        <v>56</v>
      </c>
      <c r="D4537" t="s">
        <v>10</v>
      </c>
      <c r="E4537" t="s">
        <v>14</v>
      </c>
      <c r="F4537" t="s">
        <v>26</v>
      </c>
      <c r="L4537" t="s">
        <v>20805</v>
      </c>
      <c r="P4537" t="s">
        <v>20805</v>
      </c>
      <c r="S4537" t="s">
        <v>20806</v>
      </c>
      <c r="T4537" t="s">
        <v>20807</v>
      </c>
      <c r="U4537" t="s">
        <v>20808</v>
      </c>
      <c r="V4537" t="s">
        <v>20805</v>
      </c>
      <c r="W4537" t="s">
        <v>9181</v>
      </c>
      <c r="X4537" t="s">
        <v>20809</v>
      </c>
      <c r="Y4537">
        <v>2</v>
      </c>
      <c r="Z4537">
        <v>18</v>
      </c>
    </row>
    <row r="4538" spans="1:26">
      <c r="A4538" s="1">
        <v>4536</v>
      </c>
      <c r="B4538" t="str">
        <f>HYPERLINK("https://bugs.eclipse.org/bugs/show_bug.cgi?id=434604", "434604")</f>
        <v>434604</v>
      </c>
      <c r="C4538" t="s">
        <v>191</v>
      </c>
      <c r="D4538" t="s">
        <v>192</v>
      </c>
      <c r="E4538" t="s">
        <v>14</v>
      </c>
      <c r="F4538" t="s">
        <v>26</v>
      </c>
      <c r="T4538" t="s">
        <v>20810</v>
      </c>
      <c r="U4538" t="s">
        <v>20811</v>
      </c>
      <c r="V4538" t="s">
        <v>20812</v>
      </c>
      <c r="W4538" t="s">
        <v>65</v>
      </c>
      <c r="X4538" t="s">
        <v>20813</v>
      </c>
      <c r="Y4538">
        <v>0</v>
      </c>
      <c r="Z4538">
        <v>1968</v>
      </c>
    </row>
    <row r="4539" spans="1:26">
      <c r="A4539" s="1">
        <v>4537</v>
      </c>
      <c r="B4539" t="str">
        <f>HYPERLINK("https://bugs.eclipse.org/bugs/show_bug.cgi?id=434745", "434745")</f>
        <v>434745</v>
      </c>
      <c r="C4539" t="s">
        <v>20814</v>
      </c>
      <c r="D4539" t="s">
        <v>192</v>
      </c>
      <c r="E4539" t="s">
        <v>15</v>
      </c>
      <c r="F4539" t="s">
        <v>26</v>
      </c>
      <c r="Q4539" t="s">
        <v>20815</v>
      </c>
      <c r="T4539" t="s">
        <v>20816</v>
      </c>
      <c r="U4539" t="s">
        <v>20815</v>
      </c>
      <c r="V4539" t="s">
        <v>20817</v>
      </c>
      <c r="W4539" t="s">
        <v>3016</v>
      </c>
      <c r="X4539" t="s">
        <v>20818</v>
      </c>
      <c r="Y4539">
        <v>1</v>
      </c>
      <c r="Z4539">
        <v>2023.041666666667</v>
      </c>
    </row>
    <row r="4540" spans="1:26">
      <c r="A4540" s="1">
        <v>4538</v>
      </c>
      <c r="B4540" t="str">
        <f>HYPERLINK("https://bugs.eclipse.org/bugs/show_bug.cgi?id=434747", "434747")</f>
        <v>434747</v>
      </c>
      <c r="C4540" t="s">
        <v>149</v>
      </c>
      <c r="D4540" t="s">
        <v>10</v>
      </c>
      <c r="E4540" t="s">
        <v>12</v>
      </c>
      <c r="F4540" t="s">
        <v>26</v>
      </c>
      <c r="L4540" t="s">
        <v>20819</v>
      </c>
      <c r="N4540" t="s">
        <v>20819</v>
      </c>
      <c r="T4540" t="s">
        <v>20820</v>
      </c>
      <c r="U4540" t="s">
        <v>20821</v>
      </c>
      <c r="V4540" t="s">
        <v>20822</v>
      </c>
      <c r="W4540" t="s">
        <v>6360</v>
      </c>
      <c r="X4540" t="s">
        <v>20823</v>
      </c>
      <c r="Y4540">
        <v>1</v>
      </c>
      <c r="Z4540">
        <v>2105.041666666667</v>
      </c>
    </row>
    <row r="4541" spans="1:26">
      <c r="A4541" s="1">
        <v>4539</v>
      </c>
      <c r="B4541" t="str">
        <f>HYPERLINK("https://bugs.eclipse.org/bugs/show_bug.cgi?id=434862", "434862")</f>
        <v>434862</v>
      </c>
      <c r="C4541" t="s">
        <v>17211</v>
      </c>
      <c r="D4541" t="s">
        <v>192</v>
      </c>
      <c r="E4541" t="s">
        <v>15</v>
      </c>
      <c r="F4541" t="s">
        <v>26</v>
      </c>
      <c r="Q4541" t="s">
        <v>20824</v>
      </c>
      <c r="T4541" t="s">
        <v>20825</v>
      </c>
      <c r="U4541" t="s">
        <v>20826</v>
      </c>
      <c r="V4541" t="s">
        <v>20824</v>
      </c>
      <c r="W4541" t="s">
        <v>143</v>
      </c>
      <c r="X4541" t="s">
        <v>20827</v>
      </c>
      <c r="Y4541">
        <v>0</v>
      </c>
      <c r="Z4541">
        <v>0</v>
      </c>
    </row>
    <row r="4542" spans="1:26">
      <c r="A4542" s="1">
        <v>4540</v>
      </c>
      <c r="B4542" t="str">
        <f>HYPERLINK("https://bugs.eclipse.org/bugs/show_bug.cgi?id=434878", "434878")</f>
        <v>434878</v>
      </c>
      <c r="C4542" t="s">
        <v>18241</v>
      </c>
      <c r="D4542" t="s">
        <v>192</v>
      </c>
      <c r="E4542" t="s">
        <v>15</v>
      </c>
      <c r="F4542" t="s">
        <v>26</v>
      </c>
      <c r="Q4542" t="s">
        <v>20828</v>
      </c>
      <c r="T4542" t="s">
        <v>20829</v>
      </c>
      <c r="U4542" t="s">
        <v>20828</v>
      </c>
      <c r="V4542" t="s">
        <v>20828</v>
      </c>
      <c r="W4542" t="s">
        <v>9181</v>
      </c>
      <c r="X4542" t="s">
        <v>20830</v>
      </c>
      <c r="Y4542">
        <v>0</v>
      </c>
      <c r="Z4542">
        <v>0</v>
      </c>
    </row>
    <row r="4543" spans="1:26">
      <c r="A4543" s="1">
        <v>4541</v>
      </c>
      <c r="B4543" t="str">
        <f>HYPERLINK("https://bugs.eclipse.org/bugs/show_bug.cgi?id=434881", "434881")</f>
        <v>434881</v>
      </c>
      <c r="C4543" t="s">
        <v>191</v>
      </c>
      <c r="D4543" t="s">
        <v>192</v>
      </c>
      <c r="E4543" t="s">
        <v>14</v>
      </c>
      <c r="F4543" t="s">
        <v>26</v>
      </c>
      <c r="P4543" t="s">
        <v>20831</v>
      </c>
      <c r="Q4543" t="s">
        <v>20832</v>
      </c>
      <c r="S4543" t="s">
        <v>20833</v>
      </c>
      <c r="T4543" t="s">
        <v>20834</v>
      </c>
      <c r="U4543" t="s">
        <v>20832</v>
      </c>
      <c r="V4543" t="s">
        <v>20831</v>
      </c>
      <c r="W4543" t="s">
        <v>65</v>
      </c>
      <c r="X4543" t="s">
        <v>20835</v>
      </c>
      <c r="Y4543">
        <v>1</v>
      </c>
      <c r="Z4543">
        <v>2159</v>
      </c>
    </row>
    <row r="4544" spans="1:26">
      <c r="A4544" s="1">
        <v>4542</v>
      </c>
      <c r="B4544" t="str">
        <f>HYPERLINK("https://bugs.eclipse.org/bugs/show_bug.cgi?id=434886", "434886")</f>
        <v>434886</v>
      </c>
      <c r="C4544" t="s">
        <v>25</v>
      </c>
      <c r="D4544" t="s">
        <v>25</v>
      </c>
      <c r="F4544" t="s">
        <v>26</v>
      </c>
      <c r="T4544" t="s">
        <v>20836</v>
      </c>
      <c r="U4544" t="s">
        <v>20837</v>
      </c>
      <c r="V4544" t="s">
        <v>20838</v>
      </c>
      <c r="W4544" t="s">
        <v>143</v>
      </c>
      <c r="X4544" t="s">
        <v>20839</v>
      </c>
      <c r="Y4544">
        <v>1</v>
      </c>
    </row>
    <row r="4545" spans="1:26">
      <c r="A4545" s="1">
        <v>4543</v>
      </c>
      <c r="B4545" t="str">
        <f>HYPERLINK("https://bugs.eclipse.org/bugs/show_bug.cgi?id=434934", "434934")</f>
        <v>434934</v>
      </c>
      <c r="C4545" t="s">
        <v>191</v>
      </c>
      <c r="D4545" t="s">
        <v>192</v>
      </c>
      <c r="E4545" t="s">
        <v>14</v>
      </c>
      <c r="F4545" t="s">
        <v>26</v>
      </c>
      <c r="T4545" t="s">
        <v>20840</v>
      </c>
      <c r="U4545" t="s">
        <v>20841</v>
      </c>
      <c r="V4545" t="s">
        <v>20842</v>
      </c>
      <c r="W4545" t="s">
        <v>65</v>
      </c>
      <c r="X4545" t="s">
        <v>20843</v>
      </c>
      <c r="Y4545">
        <v>0</v>
      </c>
      <c r="Z4545">
        <v>2004.041666666667</v>
      </c>
    </row>
    <row r="4546" spans="1:26">
      <c r="A4546" s="1">
        <v>4544</v>
      </c>
      <c r="B4546" t="str">
        <f>HYPERLINK("https://bugs.eclipse.org/bugs/show_bug.cgi?id=435772", "435772")</f>
        <v>435772</v>
      </c>
      <c r="C4546" t="s">
        <v>191</v>
      </c>
      <c r="D4546" t="s">
        <v>192</v>
      </c>
      <c r="E4546" t="s">
        <v>14</v>
      </c>
      <c r="F4546" t="s">
        <v>26</v>
      </c>
      <c r="P4546" t="s">
        <v>20844</v>
      </c>
      <c r="T4546" t="s">
        <v>20845</v>
      </c>
      <c r="U4546" t="s">
        <v>20846</v>
      </c>
      <c r="V4546" t="s">
        <v>20844</v>
      </c>
      <c r="W4546" t="s">
        <v>65</v>
      </c>
      <c r="X4546" t="s">
        <v>20847</v>
      </c>
      <c r="Y4546">
        <v>0</v>
      </c>
      <c r="Z4546">
        <v>2141</v>
      </c>
    </row>
    <row r="4547" spans="1:26">
      <c r="A4547" s="1">
        <v>4545</v>
      </c>
      <c r="B4547" t="str">
        <f>HYPERLINK("https://bugs.eclipse.org/bugs/show_bug.cgi?id=435999", "435999")</f>
        <v>435999</v>
      </c>
      <c r="C4547" t="s">
        <v>25</v>
      </c>
      <c r="D4547" t="s">
        <v>25</v>
      </c>
      <c r="F4547" t="s">
        <v>26</v>
      </c>
      <c r="T4547" t="s">
        <v>20848</v>
      </c>
      <c r="U4547" t="s">
        <v>20849</v>
      </c>
      <c r="V4547" t="s">
        <v>20850</v>
      </c>
      <c r="W4547" t="s">
        <v>4846</v>
      </c>
      <c r="X4547" t="s">
        <v>20851</v>
      </c>
      <c r="Y4547">
        <v>0</v>
      </c>
    </row>
    <row r="4548" spans="1:26">
      <c r="A4548" s="1">
        <v>4546</v>
      </c>
      <c r="B4548" t="str">
        <f>HYPERLINK("https://bugs.eclipse.org/bugs/show_bug.cgi?id=436581", "436581")</f>
        <v>436581</v>
      </c>
      <c r="C4548" t="s">
        <v>191</v>
      </c>
      <c r="D4548" t="s">
        <v>192</v>
      </c>
      <c r="E4548" t="s">
        <v>14</v>
      </c>
      <c r="F4548" t="s">
        <v>26</v>
      </c>
      <c r="P4548" t="s">
        <v>20852</v>
      </c>
      <c r="T4548" t="s">
        <v>20853</v>
      </c>
      <c r="U4548" t="s">
        <v>20854</v>
      </c>
      <c r="V4548" t="s">
        <v>20852</v>
      </c>
      <c r="W4548" t="s">
        <v>65</v>
      </c>
      <c r="X4548" t="s">
        <v>20855</v>
      </c>
      <c r="Y4548">
        <v>0</v>
      </c>
      <c r="Z4548">
        <v>2159</v>
      </c>
    </row>
    <row r="4549" spans="1:26">
      <c r="A4549" s="1">
        <v>4547</v>
      </c>
      <c r="B4549" t="str">
        <f>HYPERLINK("https://bugs.eclipse.org/bugs/show_bug.cgi?id=436677", "436677")</f>
        <v>436677</v>
      </c>
      <c r="C4549" t="s">
        <v>191</v>
      </c>
      <c r="D4549" t="s">
        <v>192</v>
      </c>
      <c r="E4549" t="s">
        <v>14</v>
      </c>
      <c r="F4549" t="s">
        <v>26</v>
      </c>
      <c r="P4549" t="s">
        <v>20856</v>
      </c>
      <c r="T4549" t="s">
        <v>20857</v>
      </c>
      <c r="U4549" t="s">
        <v>20856</v>
      </c>
      <c r="V4549" t="s">
        <v>20856</v>
      </c>
      <c r="W4549" t="s">
        <v>65</v>
      </c>
      <c r="X4549" t="s">
        <v>20858</v>
      </c>
      <c r="Y4549">
        <v>2115</v>
      </c>
      <c r="Z4549">
        <v>2115</v>
      </c>
    </row>
    <row r="4550" spans="1:26">
      <c r="A4550" s="1">
        <v>4548</v>
      </c>
      <c r="B4550" t="str">
        <f>HYPERLINK("https://bugs.eclipse.org/bugs/show_bug.cgi?id=436934", "436934")</f>
        <v>436934</v>
      </c>
      <c r="C4550" t="s">
        <v>140</v>
      </c>
      <c r="D4550" t="s">
        <v>10</v>
      </c>
      <c r="E4550" t="s">
        <v>16</v>
      </c>
      <c r="F4550" t="s">
        <v>26</v>
      </c>
      <c r="L4550" t="s">
        <v>20859</v>
      </c>
      <c r="R4550" t="s">
        <v>20859</v>
      </c>
      <c r="T4550" t="s">
        <v>20860</v>
      </c>
      <c r="U4550" t="s">
        <v>20861</v>
      </c>
      <c r="V4550" t="s">
        <v>20859</v>
      </c>
      <c r="W4550" t="s">
        <v>851</v>
      </c>
      <c r="X4550" t="s">
        <v>20862</v>
      </c>
      <c r="Y4550">
        <v>3</v>
      </c>
      <c r="Z4550">
        <v>4</v>
      </c>
    </row>
    <row r="4551" spans="1:26">
      <c r="A4551" s="1">
        <v>4549</v>
      </c>
      <c r="B4551" t="str">
        <f>HYPERLINK("https://bugs.eclipse.org/bugs/show_bug.cgi?id=436997", "436997")</f>
        <v>436997</v>
      </c>
      <c r="C4551" t="s">
        <v>149</v>
      </c>
      <c r="D4551" t="s">
        <v>10</v>
      </c>
      <c r="E4551" t="s">
        <v>12</v>
      </c>
      <c r="F4551" t="s">
        <v>26</v>
      </c>
      <c r="G4551" t="s">
        <v>20753</v>
      </c>
      <c r="L4551" t="s">
        <v>20863</v>
      </c>
      <c r="N4551" t="s">
        <v>20863</v>
      </c>
      <c r="T4551" t="s">
        <v>20864</v>
      </c>
      <c r="U4551" t="s">
        <v>20865</v>
      </c>
      <c r="V4551" t="s">
        <v>20863</v>
      </c>
      <c r="W4551" t="s">
        <v>851</v>
      </c>
      <c r="X4551" t="s">
        <v>20866</v>
      </c>
      <c r="Y4551">
        <v>0</v>
      </c>
      <c r="Z4551">
        <v>3</v>
      </c>
    </row>
    <row r="4552" spans="1:26">
      <c r="A4552" s="1">
        <v>4550</v>
      </c>
      <c r="B4552" t="str">
        <f>HYPERLINK("https://bugs.eclipse.org/bugs/show_bug.cgi?id=437129", "437129")</f>
        <v>437129</v>
      </c>
      <c r="C4552" t="s">
        <v>4692</v>
      </c>
      <c r="D4552" t="s">
        <v>4692</v>
      </c>
      <c r="F4552" t="s">
        <v>26</v>
      </c>
      <c r="T4552" t="s">
        <v>20867</v>
      </c>
      <c r="U4552" t="s">
        <v>20868</v>
      </c>
      <c r="V4552" t="s">
        <v>20869</v>
      </c>
      <c r="W4552" t="s">
        <v>16632</v>
      </c>
      <c r="X4552" t="s">
        <v>20870</v>
      </c>
      <c r="Y4552">
        <v>0</v>
      </c>
    </row>
    <row r="4553" spans="1:26">
      <c r="A4553" s="1">
        <v>4551</v>
      </c>
      <c r="B4553" t="str">
        <f>HYPERLINK("https://bugs.eclipse.org/bugs/show_bug.cgi?id=437398", "437398")</f>
        <v>437398</v>
      </c>
      <c r="C4553" t="s">
        <v>149</v>
      </c>
      <c r="D4553" t="s">
        <v>10</v>
      </c>
      <c r="E4553" t="s">
        <v>12</v>
      </c>
      <c r="F4553" t="s">
        <v>26</v>
      </c>
      <c r="G4553" t="s">
        <v>20871</v>
      </c>
      <c r="L4553" t="s">
        <v>20872</v>
      </c>
      <c r="N4553" t="s">
        <v>20872</v>
      </c>
      <c r="T4553" t="s">
        <v>20873</v>
      </c>
      <c r="U4553" t="s">
        <v>20874</v>
      </c>
      <c r="V4553" t="s">
        <v>20872</v>
      </c>
      <c r="W4553" t="s">
        <v>851</v>
      </c>
      <c r="X4553" t="s">
        <v>20875</v>
      </c>
      <c r="Y4553">
        <v>0</v>
      </c>
      <c r="Z4553">
        <v>33</v>
      </c>
    </row>
    <row r="4554" spans="1:26">
      <c r="A4554" s="1">
        <v>4552</v>
      </c>
      <c r="B4554" t="str">
        <f>HYPERLINK("https://bugs.eclipse.org/bugs/show_bug.cgi?id=437556", "437556")</f>
        <v>437556</v>
      </c>
      <c r="C4554" t="s">
        <v>20876</v>
      </c>
      <c r="D4554" t="s">
        <v>192</v>
      </c>
      <c r="E4554" t="s">
        <v>15</v>
      </c>
      <c r="F4554" t="s">
        <v>26</v>
      </c>
      <c r="Q4554" t="s">
        <v>20877</v>
      </c>
      <c r="T4554" t="s">
        <v>20878</v>
      </c>
      <c r="U4554" t="s">
        <v>20879</v>
      </c>
      <c r="V4554" t="s">
        <v>20880</v>
      </c>
      <c r="W4554" t="s">
        <v>19215</v>
      </c>
      <c r="X4554" t="s">
        <v>20881</v>
      </c>
      <c r="Y4554">
        <v>0</v>
      </c>
      <c r="Z4554">
        <v>73</v>
      </c>
    </row>
    <row r="4555" spans="1:26">
      <c r="A4555" s="1">
        <v>4553</v>
      </c>
      <c r="B4555" t="str">
        <f>HYPERLINK("https://bugs.eclipse.org/bugs/show_bug.cgi?id=437762", "437762")</f>
        <v>437762</v>
      </c>
      <c r="C4555" t="s">
        <v>140</v>
      </c>
      <c r="D4555" t="s">
        <v>10</v>
      </c>
      <c r="E4555" t="s">
        <v>16</v>
      </c>
      <c r="F4555" t="s">
        <v>26</v>
      </c>
      <c r="L4555" t="s">
        <v>20882</v>
      </c>
      <c r="R4555" t="s">
        <v>20882</v>
      </c>
      <c r="T4555" t="s">
        <v>20883</v>
      </c>
      <c r="U4555" t="s">
        <v>20884</v>
      </c>
      <c r="V4555" t="s">
        <v>20882</v>
      </c>
      <c r="W4555" t="s">
        <v>4846</v>
      </c>
      <c r="X4555" t="s">
        <v>20885</v>
      </c>
      <c r="Y4555">
        <v>0</v>
      </c>
      <c r="Z4555">
        <v>1</v>
      </c>
    </row>
    <row r="4556" spans="1:26">
      <c r="A4556" s="1">
        <v>4554</v>
      </c>
      <c r="B4556" t="str">
        <f>HYPERLINK("https://bugs.eclipse.org/bugs/show_bug.cgi?id=438266", "438266")</f>
        <v>438266</v>
      </c>
      <c r="C4556" t="s">
        <v>17</v>
      </c>
      <c r="D4556" t="s">
        <v>17</v>
      </c>
      <c r="F4556" t="s">
        <v>26</v>
      </c>
      <c r="P4556" t="s">
        <v>20886</v>
      </c>
      <c r="S4556" t="s">
        <v>20887</v>
      </c>
      <c r="T4556" t="s">
        <v>20888</v>
      </c>
      <c r="U4556" t="s">
        <v>20889</v>
      </c>
      <c r="V4556" t="s">
        <v>20887</v>
      </c>
      <c r="W4556" t="s">
        <v>1161</v>
      </c>
      <c r="X4556" t="s">
        <v>20890</v>
      </c>
      <c r="Y4556">
        <v>0</v>
      </c>
    </row>
    <row r="4557" spans="1:26">
      <c r="A4557" s="1">
        <v>4555</v>
      </c>
      <c r="B4557" t="str">
        <f>HYPERLINK("https://bugs.eclipse.org/bugs/show_bug.cgi?id=439085", "439085")</f>
        <v>439085</v>
      </c>
      <c r="C4557" t="s">
        <v>140</v>
      </c>
      <c r="D4557" t="s">
        <v>10</v>
      </c>
      <c r="E4557" t="s">
        <v>16</v>
      </c>
      <c r="F4557" t="s">
        <v>26</v>
      </c>
      <c r="L4557" t="s">
        <v>20891</v>
      </c>
      <c r="R4557" t="s">
        <v>20891</v>
      </c>
      <c r="T4557" t="s">
        <v>20892</v>
      </c>
      <c r="U4557" t="s">
        <v>20893</v>
      </c>
      <c r="V4557" t="s">
        <v>20891</v>
      </c>
      <c r="W4557" t="s">
        <v>143</v>
      </c>
      <c r="X4557" t="s">
        <v>20894</v>
      </c>
      <c r="Y4557">
        <v>1</v>
      </c>
      <c r="Z4557">
        <v>1788</v>
      </c>
    </row>
    <row r="4558" spans="1:26">
      <c r="A4558" s="1">
        <v>4556</v>
      </c>
      <c r="B4558" t="str">
        <f>HYPERLINK("https://bugs.eclipse.org/bugs/show_bug.cgi?id=439090", "439090")</f>
        <v>439090</v>
      </c>
      <c r="C4558" t="s">
        <v>191</v>
      </c>
      <c r="D4558" t="s">
        <v>192</v>
      </c>
      <c r="E4558" t="s">
        <v>14</v>
      </c>
      <c r="F4558" t="s">
        <v>26</v>
      </c>
      <c r="P4558" t="s">
        <v>20895</v>
      </c>
      <c r="T4558" t="s">
        <v>20896</v>
      </c>
      <c r="U4558" t="s">
        <v>20897</v>
      </c>
      <c r="V4558" t="s">
        <v>20895</v>
      </c>
      <c r="W4558" t="s">
        <v>65</v>
      </c>
      <c r="X4558" t="s">
        <v>20898</v>
      </c>
      <c r="Y4558">
        <v>0</v>
      </c>
      <c r="Z4558">
        <v>2124</v>
      </c>
    </row>
    <row r="4559" spans="1:26">
      <c r="A4559" s="1">
        <v>4557</v>
      </c>
      <c r="B4559" t="str">
        <f>HYPERLINK("https://bugs.eclipse.org/bugs/show_bug.cgi?id=439514", "439514")</f>
        <v>439514</v>
      </c>
      <c r="C4559" t="s">
        <v>56</v>
      </c>
      <c r="D4559" t="s">
        <v>10</v>
      </c>
      <c r="E4559" t="s">
        <v>14</v>
      </c>
      <c r="F4559" t="s">
        <v>26</v>
      </c>
      <c r="L4559" t="s">
        <v>20899</v>
      </c>
      <c r="P4559" t="s">
        <v>20899</v>
      </c>
      <c r="T4559" t="s">
        <v>20900</v>
      </c>
      <c r="U4559" t="s">
        <v>20901</v>
      </c>
      <c r="V4559" t="s">
        <v>20899</v>
      </c>
      <c r="W4559" t="s">
        <v>9181</v>
      </c>
      <c r="X4559" t="s">
        <v>20902</v>
      </c>
      <c r="Y4559">
        <v>8</v>
      </c>
      <c r="Z4559">
        <v>9</v>
      </c>
    </row>
    <row r="4560" spans="1:26">
      <c r="A4560" s="1">
        <v>4558</v>
      </c>
      <c r="B4560" t="str">
        <f>HYPERLINK("https://bugs.eclipse.org/bugs/show_bug.cgi?id=439733", "439733")</f>
        <v>439733</v>
      </c>
      <c r="C4560" t="s">
        <v>191</v>
      </c>
      <c r="D4560" t="s">
        <v>192</v>
      </c>
      <c r="E4560" t="s">
        <v>14</v>
      </c>
      <c r="F4560" t="s">
        <v>26</v>
      </c>
      <c r="L4560" t="s">
        <v>20903</v>
      </c>
      <c r="N4560" t="s">
        <v>20903</v>
      </c>
      <c r="S4560" t="s">
        <v>20904</v>
      </c>
      <c r="T4560" t="s">
        <v>20905</v>
      </c>
      <c r="U4560" t="s">
        <v>20906</v>
      </c>
      <c r="V4560" t="s">
        <v>20907</v>
      </c>
      <c r="W4560" t="s">
        <v>65</v>
      </c>
      <c r="X4560" t="s">
        <v>20908</v>
      </c>
      <c r="Y4560">
        <v>0</v>
      </c>
      <c r="Z4560">
        <v>1856</v>
      </c>
    </row>
    <row r="4561" spans="1:26">
      <c r="A4561" s="1">
        <v>4559</v>
      </c>
      <c r="B4561" t="str">
        <f>HYPERLINK("https://bugs.eclipse.org/bugs/show_bug.cgi?id=439807", "439807")</f>
        <v>439807</v>
      </c>
      <c r="C4561" t="s">
        <v>25</v>
      </c>
      <c r="D4561" t="s">
        <v>25</v>
      </c>
      <c r="F4561" t="s">
        <v>26</v>
      </c>
      <c r="T4561" t="s">
        <v>20909</v>
      </c>
      <c r="U4561" t="s">
        <v>20910</v>
      </c>
      <c r="V4561" t="s">
        <v>20911</v>
      </c>
      <c r="W4561" t="s">
        <v>65</v>
      </c>
      <c r="X4561" t="s">
        <v>20912</v>
      </c>
      <c r="Y4561">
        <v>4</v>
      </c>
    </row>
    <row r="4562" spans="1:26">
      <c r="A4562" s="1">
        <v>4560</v>
      </c>
      <c r="B4562" t="str">
        <f>HYPERLINK("https://bugs.eclipse.org/bugs/show_bug.cgi?id=439874", "439874")</f>
        <v>439874</v>
      </c>
      <c r="C4562" t="s">
        <v>149</v>
      </c>
      <c r="D4562" t="s">
        <v>10</v>
      </c>
      <c r="E4562" t="s">
        <v>12</v>
      </c>
      <c r="F4562" t="s">
        <v>26</v>
      </c>
      <c r="G4562" t="s">
        <v>20913</v>
      </c>
      <c r="L4562" t="s">
        <v>20914</v>
      </c>
      <c r="N4562" t="s">
        <v>20914</v>
      </c>
      <c r="T4562" t="s">
        <v>20915</v>
      </c>
      <c r="U4562" t="s">
        <v>20916</v>
      </c>
      <c r="V4562" t="s">
        <v>20914</v>
      </c>
      <c r="W4562" t="s">
        <v>851</v>
      </c>
      <c r="X4562" t="s">
        <v>20917</v>
      </c>
      <c r="Y4562">
        <v>0</v>
      </c>
      <c r="Z4562">
        <v>360</v>
      </c>
    </row>
    <row r="4563" spans="1:26">
      <c r="A4563" s="1">
        <v>4561</v>
      </c>
      <c r="B4563" t="str">
        <f>HYPERLINK("https://bugs.eclipse.org/bugs/show_bug.cgi?id=441217", "441217")</f>
        <v>441217</v>
      </c>
      <c r="C4563" t="s">
        <v>149</v>
      </c>
      <c r="D4563" t="s">
        <v>10</v>
      </c>
      <c r="E4563" t="s">
        <v>12</v>
      </c>
      <c r="F4563" t="s">
        <v>26</v>
      </c>
      <c r="L4563" t="s">
        <v>20918</v>
      </c>
      <c r="N4563" t="s">
        <v>20918</v>
      </c>
      <c r="T4563" t="s">
        <v>20919</v>
      </c>
      <c r="U4563" t="s">
        <v>20920</v>
      </c>
      <c r="V4563" t="s">
        <v>20918</v>
      </c>
      <c r="W4563" t="s">
        <v>4846</v>
      </c>
      <c r="X4563" t="s">
        <v>20921</v>
      </c>
      <c r="Y4563">
        <v>0</v>
      </c>
      <c r="Z4563">
        <v>622</v>
      </c>
    </row>
    <row r="4564" spans="1:26">
      <c r="A4564" s="1">
        <v>4562</v>
      </c>
      <c r="B4564" t="str">
        <f>HYPERLINK("https://bugs.eclipse.org/bugs/show_bug.cgi?id=441272", "441272")</f>
        <v>441272</v>
      </c>
      <c r="C4564" t="s">
        <v>191</v>
      </c>
      <c r="D4564" t="s">
        <v>192</v>
      </c>
      <c r="E4564" t="s">
        <v>14</v>
      </c>
      <c r="F4564" t="s">
        <v>26</v>
      </c>
      <c r="T4564" t="s">
        <v>20922</v>
      </c>
      <c r="U4564" t="s">
        <v>20923</v>
      </c>
      <c r="V4564" t="s">
        <v>20924</v>
      </c>
      <c r="W4564" t="s">
        <v>65</v>
      </c>
      <c r="X4564" t="s">
        <v>20925</v>
      </c>
      <c r="Y4564">
        <v>0</v>
      </c>
      <c r="Z4564">
        <v>1957.041666666667</v>
      </c>
    </row>
    <row r="4565" spans="1:26">
      <c r="A4565" s="1">
        <v>4563</v>
      </c>
      <c r="B4565" t="str">
        <f>HYPERLINK("https://bugs.eclipse.org/bugs/show_bug.cgi?id=441495", "441495")</f>
        <v>441495</v>
      </c>
      <c r="C4565" t="s">
        <v>35</v>
      </c>
      <c r="D4565" t="s">
        <v>11</v>
      </c>
      <c r="E4565" t="s">
        <v>12</v>
      </c>
      <c r="F4565" t="s">
        <v>26</v>
      </c>
      <c r="L4565" t="s">
        <v>20926</v>
      </c>
      <c r="M4565" t="s">
        <v>20927</v>
      </c>
      <c r="N4565" t="s">
        <v>20926</v>
      </c>
      <c r="T4565" t="s">
        <v>20928</v>
      </c>
      <c r="U4565" t="s">
        <v>20929</v>
      </c>
      <c r="V4565" t="s">
        <v>20927</v>
      </c>
      <c r="W4565" t="s">
        <v>20930</v>
      </c>
      <c r="X4565" t="s">
        <v>20931</v>
      </c>
      <c r="Y4565">
        <v>0</v>
      </c>
      <c r="Z4565">
        <v>10</v>
      </c>
    </row>
    <row r="4566" spans="1:26">
      <c r="A4566" s="1">
        <v>4564</v>
      </c>
      <c r="B4566" t="str">
        <f>HYPERLINK("https://bugs.eclipse.org/bugs/show_bug.cgi?id=442070", "442070")</f>
        <v>442070</v>
      </c>
      <c r="C4566" t="s">
        <v>17700</v>
      </c>
      <c r="D4566" t="s">
        <v>10</v>
      </c>
      <c r="E4566" t="s">
        <v>17701</v>
      </c>
      <c r="F4566" t="s">
        <v>26</v>
      </c>
      <c r="L4566" t="s">
        <v>20932</v>
      </c>
      <c r="T4566" t="s">
        <v>20933</v>
      </c>
      <c r="U4566" t="s">
        <v>20934</v>
      </c>
      <c r="V4566" t="s">
        <v>20935</v>
      </c>
      <c r="W4566" t="s">
        <v>20936</v>
      </c>
      <c r="X4566" t="s">
        <v>20937</v>
      </c>
      <c r="Y4566">
        <v>1</v>
      </c>
      <c r="Z4566">
        <v>436</v>
      </c>
    </row>
    <row r="4567" spans="1:26">
      <c r="A4567" s="1">
        <v>4565</v>
      </c>
      <c r="B4567" t="str">
        <f>HYPERLINK("https://bugs.eclipse.org/bugs/show_bug.cgi?id=443146", "443146")</f>
        <v>443146</v>
      </c>
      <c r="C4567" t="s">
        <v>35</v>
      </c>
      <c r="D4567" t="s">
        <v>11</v>
      </c>
      <c r="E4567" t="s">
        <v>12</v>
      </c>
      <c r="F4567" t="s">
        <v>26</v>
      </c>
      <c r="G4567" t="s">
        <v>20938</v>
      </c>
      <c r="H4567" t="s">
        <v>20939</v>
      </c>
      <c r="L4567" t="s">
        <v>20940</v>
      </c>
      <c r="M4567" t="s">
        <v>20941</v>
      </c>
      <c r="N4567" t="s">
        <v>20940</v>
      </c>
      <c r="T4567" t="s">
        <v>20942</v>
      </c>
      <c r="U4567" t="s">
        <v>20943</v>
      </c>
      <c r="V4567" t="s">
        <v>20944</v>
      </c>
      <c r="W4567" t="s">
        <v>6360</v>
      </c>
      <c r="X4567" t="s">
        <v>20945</v>
      </c>
      <c r="Y4567">
        <v>0</v>
      </c>
      <c r="Z4567">
        <v>1247.041666666667</v>
      </c>
    </row>
    <row r="4568" spans="1:26">
      <c r="A4568" s="1">
        <v>4566</v>
      </c>
      <c r="B4568" t="str">
        <f>HYPERLINK("https://bugs.eclipse.org/bugs/show_bug.cgi?id=443191", "443191")</f>
        <v>443191</v>
      </c>
      <c r="C4568" t="s">
        <v>149</v>
      </c>
      <c r="D4568" t="s">
        <v>10</v>
      </c>
      <c r="E4568" t="s">
        <v>12</v>
      </c>
      <c r="F4568" t="s">
        <v>26</v>
      </c>
      <c r="G4568" t="s">
        <v>20946</v>
      </c>
      <c r="L4568" t="s">
        <v>20947</v>
      </c>
      <c r="N4568" t="s">
        <v>20947</v>
      </c>
      <c r="T4568" t="s">
        <v>20948</v>
      </c>
      <c r="U4568" t="s">
        <v>20949</v>
      </c>
      <c r="V4568" t="s">
        <v>20947</v>
      </c>
      <c r="W4568" t="s">
        <v>851</v>
      </c>
      <c r="X4568" t="s">
        <v>20950</v>
      </c>
      <c r="Y4568">
        <v>0</v>
      </c>
      <c r="Z4568">
        <v>1</v>
      </c>
    </row>
    <row r="4569" spans="1:26">
      <c r="A4569" s="1">
        <v>4567</v>
      </c>
      <c r="B4569" t="str">
        <f>HYPERLINK("https://bugs.eclipse.org/bugs/show_bug.cgi?id=443410", "443410")</f>
        <v>443410</v>
      </c>
      <c r="C4569" t="s">
        <v>149</v>
      </c>
      <c r="D4569" t="s">
        <v>10</v>
      </c>
      <c r="E4569" t="s">
        <v>12</v>
      </c>
      <c r="F4569" t="s">
        <v>26</v>
      </c>
      <c r="L4569" t="s">
        <v>20951</v>
      </c>
      <c r="N4569" t="s">
        <v>20951</v>
      </c>
      <c r="T4569" t="s">
        <v>20952</v>
      </c>
      <c r="U4569" t="s">
        <v>20953</v>
      </c>
      <c r="V4569" t="s">
        <v>20951</v>
      </c>
      <c r="W4569" t="s">
        <v>851</v>
      </c>
      <c r="X4569" t="s">
        <v>20954</v>
      </c>
      <c r="Y4569">
        <v>0</v>
      </c>
      <c r="Z4569">
        <v>0</v>
      </c>
    </row>
    <row r="4570" spans="1:26">
      <c r="A4570" s="1">
        <v>4568</v>
      </c>
      <c r="B4570" t="str">
        <f>HYPERLINK("https://bugs.eclipse.org/bugs/show_bug.cgi?id=444002", "444002")</f>
        <v>444002</v>
      </c>
      <c r="C4570" t="s">
        <v>20955</v>
      </c>
      <c r="D4570" t="s">
        <v>192</v>
      </c>
      <c r="E4570" t="s">
        <v>15</v>
      </c>
      <c r="F4570" t="s">
        <v>26</v>
      </c>
      <c r="G4570" t="s">
        <v>20956</v>
      </c>
      <c r="Q4570" t="s">
        <v>20957</v>
      </c>
      <c r="T4570" t="s">
        <v>20958</v>
      </c>
      <c r="U4570" t="s">
        <v>20959</v>
      </c>
      <c r="V4570" t="s">
        <v>20957</v>
      </c>
      <c r="W4570" t="s">
        <v>4846</v>
      </c>
      <c r="X4570" t="s">
        <v>20960</v>
      </c>
      <c r="Y4570">
        <v>5</v>
      </c>
      <c r="Z4570">
        <v>672</v>
      </c>
    </row>
    <row r="4571" spans="1:26">
      <c r="A4571" s="1">
        <v>4569</v>
      </c>
      <c r="B4571" t="str">
        <f>HYPERLINK("https://bugs.eclipse.org/bugs/show_bug.cgi?id=444032", "444032")</f>
        <v>444032</v>
      </c>
      <c r="C4571" t="s">
        <v>191</v>
      </c>
      <c r="D4571" t="s">
        <v>192</v>
      </c>
      <c r="E4571" t="s">
        <v>14</v>
      </c>
      <c r="F4571" t="s">
        <v>26</v>
      </c>
      <c r="G4571" t="s">
        <v>20961</v>
      </c>
      <c r="P4571" t="s">
        <v>20962</v>
      </c>
      <c r="T4571" t="s">
        <v>20963</v>
      </c>
      <c r="U4571" t="s">
        <v>20964</v>
      </c>
      <c r="V4571" t="s">
        <v>20962</v>
      </c>
      <c r="W4571" t="s">
        <v>65</v>
      </c>
      <c r="X4571" t="s">
        <v>20965</v>
      </c>
      <c r="Y4571">
        <v>0</v>
      </c>
      <c r="Z4571">
        <v>2053</v>
      </c>
    </row>
    <row r="4572" spans="1:26">
      <c r="A4572" s="1">
        <v>4570</v>
      </c>
      <c r="B4572" t="str">
        <f>HYPERLINK("https://bugs.eclipse.org/bugs/show_bug.cgi?id=444284", "444284")</f>
        <v>444284</v>
      </c>
      <c r="C4572" t="s">
        <v>20966</v>
      </c>
      <c r="D4572" t="s">
        <v>192</v>
      </c>
      <c r="E4572" t="s">
        <v>15</v>
      </c>
      <c r="F4572" t="s">
        <v>26</v>
      </c>
      <c r="Q4572" t="s">
        <v>20967</v>
      </c>
      <c r="T4572" t="s">
        <v>20968</v>
      </c>
      <c r="U4572" t="s">
        <v>20969</v>
      </c>
      <c r="V4572" t="s">
        <v>20967</v>
      </c>
      <c r="W4572" t="s">
        <v>4846</v>
      </c>
      <c r="X4572" t="s">
        <v>20970</v>
      </c>
      <c r="Y4572">
        <v>0</v>
      </c>
      <c r="Z4572">
        <v>1</v>
      </c>
    </row>
    <row r="4573" spans="1:26">
      <c r="A4573" s="1">
        <v>4571</v>
      </c>
      <c r="B4573" t="str">
        <f>HYPERLINK("https://bugs.eclipse.org/bugs/show_bug.cgi?id=444354", "444354")</f>
        <v>444354</v>
      </c>
      <c r="C4573" t="s">
        <v>149</v>
      </c>
      <c r="D4573" t="s">
        <v>10</v>
      </c>
      <c r="E4573" t="s">
        <v>12</v>
      </c>
      <c r="F4573" t="s">
        <v>26</v>
      </c>
      <c r="G4573" t="s">
        <v>20971</v>
      </c>
      <c r="L4573" t="s">
        <v>20972</v>
      </c>
      <c r="N4573" t="s">
        <v>20972</v>
      </c>
      <c r="T4573" t="s">
        <v>20973</v>
      </c>
      <c r="U4573" t="s">
        <v>20974</v>
      </c>
      <c r="V4573" t="s">
        <v>20975</v>
      </c>
      <c r="W4573" t="s">
        <v>851</v>
      </c>
      <c r="X4573" t="s">
        <v>20976</v>
      </c>
      <c r="Y4573">
        <v>0</v>
      </c>
      <c r="Z4573">
        <v>364</v>
      </c>
    </row>
    <row r="4574" spans="1:26">
      <c r="A4574" s="1">
        <v>4572</v>
      </c>
      <c r="B4574" t="str">
        <f>HYPERLINK("https://bugs.eclipse.org/bugs/show_bug.cgi?id=444809", "444809")</f>
        <v>444809</v>
      </c>
      <c r="C4574" t="s">
        <v>35</v>
      </c>
      <c r="D4574" t="s">
        <v>11</v>
      </c>
      <c r="E4574" t="s">
        <v>12</v>
      </c>
      <c r="F4574" t="s">
        <v>26</v>
      </c>
      <c r="G4574" t="s">
        <v>20977</v>
      </c>
      <c r="L4574" t="s">
        <v>20978</v>
      </c>
      <c r="M4574" t="s">
        <v>20979</v>
      </c>
      <c r="N4574" t="s">
        <v>20978</v>
      </c>
      <c r="T4574" t="s">
        <v>20980</v>
      </c>
      <c r="U4574" t="s">
        <v>20981</v>
      </c>
      <c r="V4574" t="s">
        <v>17608</v>
      </c>
      <c r="W4574" t="s">
        <v>17611</v>
      </c>
      <c r="X4574" t="s">
        <v>20982</v>
      </c>
      <c r="Y4574">
        <v>0</v>
      </c>
      <c r="Z4574">
        <v>398</v>
      </c>
    </row>
    <row r="4575" spans="1:26">
      <c r="A4575" s="1">
        <v>4573</v>
      </c>
      <c r="B4575" t="str">
        <f>HYPERLINK("https://bugs.eclipse.org/bugs/show_bug.cgi?id=444870", "444870")</f>
        <v>444870</v>
      </c>
      <c r="C4575" t="s">
        <v>25</v>
      </c>
      <c r="D4575" t="s">
        <v>25</v>
      </c>
      <c r="F4575" t="s">
        <v>26</v>
      </c>
      <c r="G4575" t="s">
        <v>20983</v>
      </c>
      <c r="L4575" t="s">
        <v>20984</v>
      </c>
      <c r="R4575" t="s">
        <v>20984</v>
      </c>
      <c r="S4575" t="s">
        <v>20985</v>
      </c>
      <c r="T4575" t="s">
        <v>20986</v>
      </c>
      <c r="U4575" t="s">
        <v>20987</v>
      </c>
      <c r="V4575" t="s">
        <v>20988</v>
      </c>
      <c r="W4575" t="s">
        <v>16518</v>
      </c>
      <c r="X4575" t="s">
        <v>20989</v>
      </c>
      <c r="Y4575">
        <v>0</v>
      </c>
    </row>
    <row r="4576" spans="1:26">
      <c r="A4576" s="1">
        <v>4574</v>
      </c>
      <c r="B4576" t="str">
        <f>HYPERLINK("https://bugs.eclipse.org/bugs/show_bug.cgi?id=445173", "445173")</f>
        <v>445173</v>
      </c>
      <c r="C4576" t="s">
        <v>140</v>
      </c>
      <c r="D4576" t="s">
        <v>10</v>
      </c>
      <c r="E4576" t="s">
        <v>16</v>
      </c>
      <c r="F4576" t="s">
        <v>26</v>
      </c>
      <c r="L4576" t="s">
        <v>20990</v>
      </c>
      <c r="R4576" t="s">
        <v>20990</v>
      </c>
      <c r="T4576" t="s">
        <v>20991</v>
      </c>
      <c r="U4576" t="s">
        <v>20992</v>
      </c>
      <c r="V4576" t="s">
        <v>20990</v>
      </c>
      <c r="W4576" t="s">
        <v>18080</v>
      </c>
      <c r="X4576" t="s">
        <v>20993</v>
      </c>
      <c r="Y4576">
        <v>0</v>
      </c>
      <c r="Z4576">
        <v>0</v>
      </c>
    </row>
    <row r="4577" spans="1:26">
      <c r="A4577" s="1">
        <v>4575</v>
      </c>
      <c r="B4577" t="str">
        <f>HYPERLINK("https://bugs.eclipse.org/bugs/show_bug.cgi?id=445352", "445352")</f>
        <v>445352</v>
      </c>
      <c r="C4577" t="s">
        <v>56</v>
      </c>
      <c r="D4577" t="s">
        <v>10</v>
      </c>
      <c r="E4577" t="s">
        <v>14</v>
      </c>
      <c r="F4577" t="s">
        <v>26</v>
      </c>
      <c r="L4577" t="s">
        <v>20994</v>
      </c>
      <c r="P4577" t="s">
        <v>20994</v>
      </c>
      <c r="T4577" t="s">
        <v>20995</v>
      </c>
      <c r="U4577" t="s">
        <v>20994</v>
      </c>
      <c r="V4577" t="s">
        <v>20994</v>
      </c>
      <c r="W4577" t="s">
        <v>851</v>
      </c>
      <c r="X4577" t="s">
        <v>20996</v>
      </c>
      <c r="Y4577">
        <v>28</v>
      </c>
      <c r="Z4577">
        <v>28</v>
      </c>
    </row>
    <row r="4578" spans="1:26">
      <c r="A4578" s="1">
        <v>4576</v>
      </c>
      <c r="B4578" t="str">
        <f>HYPERLINK("https://bugs.eclipse.org/bugs/show_bug.cgi?id=445424", "445424")</f>
        <v>445424</v>
      </c>
      <c r="C4578" t="s">
        <v>140</v>
      </c>
      <c r="D4578" t="s">
        <v>10</v>
      </c>
      <c r="E4578" t="s">
        <v>16</v>
      </c>
      <c r="F4578" t="s">
        <v>26</v>
      </c>
      <c r="L4578" t="s">
        <v>20997</v>
      </c>
      <c r="R4578" t="s">
        <v>20997</v>
      </c>
      <c r="T4578" t="s">
        <v>20998</v>
      </c>
      <c r="U4578" t="s">
        <v>20999</v>
      </c>
      <c r="V4578" t="s">
        <v>20997</v>
      </c>
      <c r="W4578" t="s">
        <v>4846</v>
      </c>
      <c r="X4578" t="s">
        <v>21000</v>
      </c>
      <c r="Y4578">
        <v>42.041666666666657</v>
      </c>
      <c r="Z4578">
        <v>42.041666666666657</v>
      </c>
    </row>
    <row r="4579" spans="1:26">
      <c r="A4579" s="1">
        <v>4577</v>
      </c>
      <c r="B4579" t="str">
        <f>HYPERLINK("https://bugs.eclipse.org/bugs/show_bug.cgi?id=445606", "445606")</f>
        <v>445606</v>
      </c>
      <c r="C4579" t="s">
        <v>56</v>
      </c>
      <c r="D4579" t="s">
        <v>10</v>
      </c>
      <c r="E4579" t="s">
        <v>14</v>
      </c>
      <c r="F4579" t="s">
        <v>26</v>
      </c>
      <c r="L4579" t="s">
        <v>21001</v>
      </c>
      <c r="P4579" t="s">
        <v>21001</v>
      </c>
      <c r="T4579" t="s">
        <v>21002</v>
      </c>
      <c r="U4579" t="s">
        <v>21003</v>
      </c>
      <c r="V4579" t="s">
        <v>21001</v>
      </c>
      <c r="W4579" t="s">
        <v>851</v>
      </c>
      <c r="X4579" t="s">
        <v>21004</v>
      </c>
      <c r="Y4579">
        <v>0</v>
      </c>
      <c r="Z4579">
        <v>2</v>
      </c>
    </row>
    <row r="4580" spans="1:26">
      <c r="A4580" s="1">
        <v>4578</v>
      </c>
      <c r="B4580" t="str">
        <f>HYPERLINK("https://bugs.eclipse.org/bugs/show_bug.cgi?id=446437", "446437")</f>
        <v>446437</v>
      </c>
      <c r="C4580" t="s">
        <v>17</v>
      </c>
      <c r="D4580" t="s">
        <v>17</v>
      </c>
      <c r="F4580" t="s">
        <v>26</v>
      </c>
      <c r="L4580" t="s">
        <v>21005</v>
      </c>
      <c r="R4580" t="s">
        <v>21005</v>
      </c>
      <c r="S4580" t="s">
        <v>21006</v>
      </c>
      <c r="T4580" t="s">
        <v>21007</v>
      </c>
      <c r="U4580" t="s">
        <v>21008</v>
      </c>
      <c r="V4580" t="s">
        <v>21009</v>
      </c>
      <c r="W4580" t="s">
        <v>65</v>
      </c>
      <c r="X4580" t="s">
        <v>21010</v>
      </c>
      <c r="Y4580">
        <v>0</v>
      </c>
    </row>
    <row r="4581" spans="1:26">
      <c r="A4581" s="1">
        <v>4579</v>
      </c>
      <c r="B4581" t="str">
        <f>HYPERLINK("https://bugs.eclipse.org/bugs/show_bug.cgi?id=449295", "449295")</f>
        <v>449295</v>
      </c>
      <c r="C4581" t="s">
        <v>2160</v>
      </c>
      <c r="D4581" t="s">
        <v>192</v>
      </c>
      <c r="E4581" t="s">
        <v>16</v>
      </c>
      <c r="F4581" t="s">
        <v>26</v>
      </c>
      <c r="R4581" t="s">
        <v>21011</v>
      </c>
      <c r="T4581" t="s">
        <v>21012</v>
      </c>
      <c r="U4581" t="s">
        <v>21011</v>
      </c>
      <c r="V4581" t="s">
        <v>21011</v>
      </c>
      <c r="W4581" t="s">
        <v>18080</v>
      </c>
      <c r="X4581" t="s">
        <v>21013</v>
      </c>
      <c r="Y4581">
        <v>0</v>
      </c>
      <c r="Z4581">
        <v>0</v>
      </c>
    </row>
    <row r="4582" spans="1:26">
      <c r="A4582" s="1">
        <v>4580</v>
      </c>
      <c r="B4582" t="str">
        <f>HYPERLINK("https://bugs.eclipse.org/bugs/show_bug.cgi?id=450978", "450978")</f>
        <v>450978</v>
      </c>
      <c r="C4582" t="s">
        <v>21014</v>
      </c>
      <c r="D4582" t="s">
        <v>192</v>
      </c>
      <c r="E4582" t="s">
        <v>15</v>
      </c>
      <c r="F4582" t="s">
        <v>26</v>
      </c>
      <c r="Q4582" t="s">
        <v>21015</v>
      </c>
      <c r="T4582" t="s">
        <v>21016</v>
      </c>
      <c r="U4582" t="s">
        <v>21017</v>
      </c>
      <c r="V4582" t="s">
        <v>21015</v>
      </c>
      <c r="W4582" t="s">
        <v>4846</v>
      </c>
      <c r="X4582" t="s">
        <v>21018</v>
      </c>
      <c r="Y4582">
        <v>0</v>
      </c>
      <c r="Z4582">
        <v>1</v>
      </c>
    </row>
    <row r="4583" spans="1:26">
      <c r="A4583" s="1">
        <v>4581</v>
      </c>
      <c r="B4583" t="str">
        <f>HYPERLINK("https://bugs.eclipse.org/bugs/show_bug.cgi?id=451786", "451786")</f>
        <v>451786</v>
      </c>
      <c r="C4583" t="s">
        <v>8439</v>
      </c>
      <c r="D4583" t="s">
        <v>192</v>
      </c>
      <c r="E4583" t="s">
        <v>13</v>
      </c>
      <c r="F4583" t="s">
        <v>26</v>
      </c>
      <c r="O4583" t="s">
        <v>21019</v>
      </c>
      <c r="T4583" t="s">
        <v>21020</v>
      </c>
      <c r="U4583" t="s">
        <v>21021</v>
      </c>
      <c r="V4583" t="s">
        <v>21019</v>
      </c>
      <c r="W4583" t="s">
        <v>4846</v>
      </c>
      <c r="X4583" t="s">
        <v>21022</v>
      </c>
      <c r="Y4583">
        <v>0</v>
      </c>
      <c r="Z4583">
        <v>0</v>
      </c>
    </row>
    <row r="4584" spans="1:26">
      <c r="A4584" s="1">
        <v>4582</v>
      </c>
      <c r="B4584" t="str">
        <f>HYPERLINK("https://bugs.eclipse.org/bugs/show_bug.cgi?id=452135", "452135")</f>
        <v>452135</v>
      </c>
      <c r="C4584" t="s">
        <v>56</v>
      </c>
      <c r="D4584" t="s">
        <v>10</v>
      </c>
      <c r="E4584" t="s">
        <v>14</v>
      </c>
      <c r="F4584" t="s">
        <v>26</v>
      </c>
      <c r="H4584" t="s">
        <v>21023</v>
      </c>
      <c r="L4584" t="s">
        <v>21024</v>
      </c>
      <c r="P4584" t="s">
        <v>21024</v>
      </c>
      <c r="T4584" t="s">
        <v>21025</v>
      </c>
      <c r="U4584" t="s">
        <v>21024</v>
      </c>
      <c r="V4584" t="s">
        <v>21024</v>
      </c>
      <c r="W4584" t="s">
        <v>17611</v>
      </c>
      <c r="X4584" t="s">
        <v>21026</v>
      </c>
      <c r="Y4584">
        <v>1</v>
      </c>
      <c r="Z4584">
        <v>1</v>
      </c>
    </row>
    <row r="4585" spans="1:26">
      <c r="A4585" s="1">
        <v>4583</v>
      </c>
      <c r="B4585" t="str">
        <f>HYPERLINK("https://bugs.eclipse.org/bugs/show_bug.cgi?id=452934", "452934")</f>
        <v>452934</v>
      </c>
      <c r="C4585" t="s">
        <v>191</v>
      </c>
      <c r="D4585" t="s">
        <v>192</v>
      </c>
      <c r="E4585" t="s">
        <v>14</v>
      </c>
      <c r="F4585" t="s">
        <v>26</v>
      </c>
      <c r="G4585" t="s">
        <v>21027</v>
      </c>
      <c r="T4585" t="s">
        <v>21028</v>
      </c>
      <c r="U4585" t="s">
        <v>21029</v>
      </c>
      <c r="V4585" t="s">
        <v>21030</v>
      </c>
      <c r="W4585" t="s">
        <v>65</v>
      </c>
      <c r="X4585" t="s">
        <v>21031</v>
      </c>
      <c r="Y4585">
        <v>0</v>
      </c>
      <c r="Z4585">
        <v>1760.958333333333</v>
      </c>
    </row>
    <row r="4586" spans="1:26">
      <c r="A4586" s="1">
        <v>4584</v>
      </c>
      <c r="B4586" t="str">
        <f>HYPERLINK("https://bugs.eclipse.org/bugs/show_bug.cgi?id=453253", "453253")</f>
        <v>453253</v>
      </c>
      <c r="C4586" t="s">
        <v>149</v>
      </c>
      <c r="D4586" t="s">
        <v>10</v>
      </c>
      <c r="E4586" t="s">
        <v>12</v>
      </c>
      <c r="F4586" t="s">
        <v>26</v>
      </c>
      <c r="G4586" t="s">
        <v>21032</v>
      </c>
      <c r="H4586" t="s">
        <v>21033</v>
      </c>
      <c r="L4586" t="s">
        <v>21034</v>
      </c>
      <c r="N4586" t="s">
        <v>21034</v>
      </c>
      <c r="T4586" t="s">
        <v>21035</v>
      </c>
      <c r="U4586" t="s">
        <v>21036</v>
      </c>
      <c r="V4586" t="s">
        <v>21034</v>
      </c>
      <c r="W4586" t="s">
        <v>143</v>
      </c>
      <c r="X4586" t="s">
        <v>21037</v>
      </c>
      <c r="Y4586">
        <v>1</v>
      </c>
      <c r="Z4586">
        <v>6</v>
      </c>
    </row>
    <row r="4587" spans="1:26">
      <c r="A4587" s="1">
        <v>4585</v>
      </c>
      <c r="B4587" t="str">
        <f>HYPERLINK("https://bugs.eclipse.org/bugs/show_bug.cgi?id=453699", "453699")</f>
        <v>453699</v>
      </c>
      <c r="C4587" t="s">
        <v>25</v>
      </c>
      <c r="D4587" t="s">
        <v>25</v>
      </c>
      <c r="F4587" t="s">
        <v>26</v>
      </c>
      <c r="T4587" t="s">
        <v>21038</v>
      </c>
      <c r="U4587" t="s">
        <v>21039</v>
      </c>
      <c r="V4587" t="s">
        <v>21040</v>
      </c>
      <c r="W4587" t="s">
        <v>851</v>
      </c>
      <c r="X4587" t="s">
        <v>21041</v>
      </c>
      <c r="Y4587">
        <v>0</v>
      </c>
    </row>
    <row r="4588" spans="1:26">
      <c r="A4588" s="1">
        <v>4586</v>
      </c>
      <c r="B4588" t="str">
        <f>HYPERLINK("https://bugs.eclipse.org/bugs/show_bug.cgi?id=454023", "454023")</f>
        <v>454023</v>
      </c>
      <c r="C4588" t="s">
        <v>21042</v>
      </c>
      <c r="D4588" t="s">
        <v>192</v>
      </c>
      <c r="E4588" t="s">
        <v>15</v>
      </c>
      <c r="F4588" t="s">
        <v>26</v>
      </c>
      <c r="P4588" t="s">
        <v>21043</v>
      </c>
      <c r="Q4588" t="s">
        <v>21044</v>
      </c>
      <c r="S4588" t="s">
        <v>21045</v>
      </c>
      <c r="T4588" t="s">
        <v>21046</v>
      </c>
      <c r="U4588" t="s">
        <v>21047</v>
      </c>
      <c r="V4588" t="s">
        <v>21044</v>
      </c>
      <c r="W4588" t="s">
        <v>18080</v>
      </c>
      <c r="X4588" t="s">
        <v>21048</v>
      </c>
      <c r="Y4588">
        <v>0</v>
      </c>
      <c r="Z4588">
        <v>2007.958333333333</v>
      </c>
    </row>
    <row r="4589" spans="1:26">
      <c r="A4589" s="1">
        <v>4587</v>
      </c>
      <c r="B4589" t="str">
        <f>HYPERLINK("https://bugs.eclipse.org/bugs/show_bug.cgi?id=454720", "454720")</f>
        <v>454720</v>
      </c>
      <c r="C4589" t="s">
        <v>21049</v>
      </c>
      <c r="D4589" t="s">
        <v>192</v>
      </c>
      <c r="E4589" t="s">
        <v>15</v>
      </c>
      <c r="F4589" t="s">
        <v>26</v>
      </c>
      <c r="Q4589" t="s">
        <v>21050</v>
      </c>
      <c r="T4589" t="s">
        <v>21051</v>
      </c>
      <c r="U4589" t="s">
        <v>21050</v>
      </c>
      <c r="V4589" t="s">
        <v>21050</v>
      </c>
      <c r="W4589" t="s">
        <v>4846</v>
      </c>
      <c r="X4589" t="s">
        <v>21052</v>
      </c>
      <c r="Y4589">
        <v>0</v>
      </c>
      <c r="Z4589">
        <v>0</v>
      </c>
    </row>
    <row r="4590" spans="1:26">
      <c r="A4590" s="1">
        <v>4588</v>
      </c>
      <c r="B4590" t="str">
        <f>HYPERLINK("https://bugs.eclipse.org/bugs/show_bug.cgi?id=454818", "454818")</f>
        <v>454818</v>
      </c>
      <c r="C4590" t="s">
        <v>140</v>
      </c>
      <c r="D4590" t="s">
        <v>10</v>
      </c>
      <c r="E4590" t="s">
        <v>16</v>
      </c>
      <c r="F4590" t="s">
        <v>26</v>
      </c>
      <c r="L4590" t="s">
        <v>21053</v>
      </c>
      <c r="R4590" t="s">
        <v>21053</v>
      </c>
      <c r="T4590" t="s">
        <v>21054</v>
      </c>
      <c r="U4590" t="s">
        <v>21055</v>
      </c>
      <c r="V4590" t="s">
        <v>21053</v>
      </c>
      <c r="W4590" t="s">
        <v>4846</v>
      </c>
      <c r="X4590" t="s">
        <v>21056</v>
      </c>
      <c r="Y4590">
        <v>0</v>
      </c>
      <c r="Z4590">
        <v>1</v>
      </c>
    </row>
    <row r="4591" spans="1:26">
      <c r="A4591" s="1">
        <v>4589</v>
      </c>
      <c r="B4591" t="str">
        <f>HYPERLINK("https://bugs.eclipse.org/bugs/show_bug.cgi?id=456822", "456822")</f>
        <v>456822</v>
      </c>
      <c r="C4591" t="s">
        <v>191</v>
      </c>
      <c r="D4591" t="s">
        <v>192</v>
      </c>
      <c r="E4591" t="s">
        <v>14</v>
      </c>
      <c r="F4591" t="s">
        <v>26</v>
      </c>
      <c r="T4591" t="s">
        <v>21057</v>
      </c>
      <c r="U4591" t="s">
        <v>21058</v>
      </c>
      <c r="V4591" t="s">
        <v>21058</v>
      </c>
      <c r="W4591" t="s">
        <v>65</v>
      </c>
      <c r="X4591" t="s">
        <v>21059</v>
      </c>
      <c r="Y4591">
        <v>1776</v>
      </c>
      <c r="Z4591">
        <v>1776</v>
      </c>
    </row>
    <row r="4592" spans="1:26">
      <c r="A4592" s="1">
        <v>4590</v>
      </c>
      <c r="B4592" t="str">
        <f>HYPERLINK("https://bugs.eclipse.org/bugs/show_bug.cgi?id=457135", "457135")</f>
        <v>457135</v>
      </c>
      <c r="C4592" t="s">
        <v>191</v>
      </c>
      <c r="D4592" t="s">
        <v>192</v>
      </c>
      <c r="E4592" t="s">
        <v>14</v>
      </c>
      <c r="F4592" t="s">
        <v>26</v>
      </c>
      <c r="P4592" t="s">
        <v>21060</v>
      </c>
      <c r="T4592" t="s">
        <v>21061</v>
      </c>
      <c r="U4592" t="s">
        <v>21062</v>
      </c>
      <c r="V4592" t="s">
        <v>21060</v>
      </c>
      <c r="W4592" t="s">
        <v>65</v>
      </c>
      <c r="X4592" t="s">
        <v>21063</v>
      </c>
      <c r="Y4592">
        <v>0</v>
      </c>
      <c r="Z4592">
        <v>1860</v>
      </c>
    </row>
    <row r="4593" spans="1:26">
      <c r="A4593" s="1">
        <v>4591</v>
      </c>
      <c r="B4593" t="str">
        <f>HYPERLINK("https://bugs.eclipse.org/bugs/show_bug.cgi?id=457498", "457498")</f>
        <v>457498</v>
      </c>
      <c r="C4593" t="s">
        <v>4692</v>
      </c>
      <c r="D4593" t="s">
        <v>4692</v>
      </c>
      <c r="F4593" t="s">
        <v>26</v>
      </c>
    </row>
    <row r="4594" spans="1:26">
      <c r="A4594" s="1">
        <v>4592</v>
      </c>
      <c r="B4594" t="str">
        <f>HYPERLINK("https://bugs.eclipse.org/bugs/show_bug.cgi?id=457547", "457547")</f>
        <v>457547</v>
      </c>
      <c r="C4594" t="s">
        <v>149</v>
      </c>
      <c r="D4594" t="s">
        <v>10</v>
      </c>
      <c r="E4594" t="s">
        <v>12</v>
      </c>
      <c r="F4594" t="s">
        <v>26</v>
      </c>
      <c r="L4594" t="s">
        <v>21064</v>
      </c>
      <c r="N4594" t="s">
        <v>21064</v>
      </c>
      <c r="T4594" t="s">
        <v>21065</v>
      </c>
      <c r="U4594" t="s">
        <v>21064</v>
      </c>
      <c r="V4594" t="s">
        <v>21064</v>
      </c>
      <c r="W4594" t="s">
        <v>4846</v>
      </c>
      <c r="X4594" t="s">
        <v>21066</v>
      </c>
      <c r="Y4594">
        <v>1</v>
      </c>
      <c r="Z4594">
        <v>1</v>
      </c>
    </row>
    <row r="4595" spans="1:26">
      <c r="A4595" s="1">
        <v>4593</v>
      </c>
      <c r="B4595" t="str">
        <f>HYPERLINK("https://bugs.eclipse.org/bugs/show_bug.cgi?id=458092", "458092")</f>
        <v>458092</v>
      </c>
      <c r="C4595" t="s">
        <v>191</v>
      </c>
      <c r="D4595" t="s">
        <v>192</v>
      </c>
      <c r="E4595" t="s">
        <v>14</v>
      </c>
      <c r="F4595" t="s">
        <v>26</v>
      </c>
      <c r="P4595" t="s">
        <v>21067</v>
      </c>
      <c r="T4595" t="s">
        <v>21068</v>
      </c>
      <c r="U4595" t="s">
        <v>21069</v>
      </c>
      <c r="V4595" t="s">
        <v>21067</v>
      </c>
      <c r="W4595" t="s">
        <v>65</v>
      </c>
      <c r="X4595" t="s">
        <v>21070</v>
      </c>
      <c r="Y4595">
        <v>0</v>
      </c>
      <c r="Z4595">
        <v>1874.958333333333</v>
      </c>
    </row>
    <row r="4596" spans="1:26">
      <c r="A4596" s="1">
        <v>4594</v>
      </c>
      <c r="B4596" t="str">
        <f>HYPERLINK("https://bugs.eclipse.org/bugs/show_bug.cgi?id=458184", "458184")</f>
        <v>458184</v>
      </c>
      <c r="C4596" t="s">
        <v>191</v>
      </c>
      <c r="D4596" t="s">
        <v>192</v>
      </c>
      <c r="E4596" t="s">
        <v>14</v>
      </c>
      <c r="F4596" t="s">
        <v>26</v>
      </c>
      <c r="P4596" t="s">
        <v>21071</v>
      </c>
      <c r="T4596" t="s">
        <v>21072</v>
      </c>
      <c r="U4596" t="s">
        <v>21073</v>
      </c>
      <c r="V4596" t="s">
        <v>21071</v>
      </c>
      <c r="W4596" t="s">
        <v>65</v>
      </c>
      <c r="X4596" t="s">
        <v>21074</v>
      </c>
      <c r="Y4596">
        <v>0</v>
      </c>
      <c r="Z4596">
        <v>1936.958333333333</v>
      </c>
    </row>
    <row r="4597" spans="1:26">
      <c r="A4597" s="1">
        <v>4595</v>
      </c>
      <c r="B4597" t="str">
        <f>HYPERLINK("https://bugs.eclipse.org/bugs/show_bug.cgi?id=458364", "458364")</f>
        <v>458364</v>
      </c>
      <c r="C4597" t="s">
        <v>25</v>
      </c>
      <c r="D4597" t="s">
        <v>25</v>
      </c>
      <c r="F4597" t="s">
        <v>26</v>
      </c>
      <c r="T4597" t="s">
        <v>21075</v>
      </c>
      <c r="U4597" t="s">
        <v>21076</v>
      </c>
      <c r="V4597" t="s">
        <v>21077</v>
      </c>
      <c r="W4597" t="s">
        <v>21078</v>
      </c>
      <c r="X4597" t="s">
        <v>21079</v>
      </c>
      <c r="Y4597">
        <v>10</v>
      </c>
    </row>
    <row r="4598" spans="1:26">
      <c r="A4598" s="1">
        <v>4596</v>
      </c>
      <c r="B4598" t="str">
        <f>HYPERLINK("https://bugs.eclipse.org/bugs/show_bug.cgi?id=458377", "458377")</f>
        <v>458377</v>
      </c>
      <c r="C4598" t="s">
        <v>191</v>
      </c>
      <c r="D4598" t="s">
        <v>192</v>
      </c>
      <c r="E4598" t="s">
        <v>14</v>
      </c>
      <c r="F4598" t="s">
        <v>26</v>
      </c>
      <c r="P4598" t="s">
        <v>21080</v>
      </c>
      <c r="T4598" t="s">
        <v>21081</v>
      </c>
      <c r="U4598" t="s">
        <v>21080</v>
      </c>
      <c r="V4598" t="s">
        <v>21080</v>
      </c>
      <c r="W4598" t="s">
        <v>65</v>
      </c>
      <c r="X4598" t="s">
        <v>21082</v>
      </c>
      <c r="Y4598">
        <v>1920.958333333333</v>
      </c>
      <c r="Z4598">
        <v>1920.958333333333</v>
      </c>
    </row>
    <row r="4599" spans="1:26">
      <c r="A4599" s="1">
        <v>4597</v>
      </c>
      <c r="B4599" t="str">
        <f>HYPERLINK("https://bugs.eclipse.org/bugs/show_bug.cgi?id=458852", "458852")</f>
        <v>458852</v>
      </c>
      <c r="C4599" t="s">
        <v>149</v>
      </c>
      <c r="D4599" t="s">
        <v>10</v>
      </c>
      <c r="E4599" t="s">
        <v>12</v>
      </c>
      <c r="F4599" t="s">
        <v>26</v>
      </c>
      <c r="G4599" t="s">
        <v>21083</v>
      </c>
      <c r="L4599" t="s">
        <v>21084</v>
      </c>
      <c r="N4599" t="s">
        <v>21084</v>
      </c>
      <c r="T4599" t="s">
        <v>21085</v>
      </c>
      <c r="U4599" t="s">
        <v>21086</v>
      </c>
      <c r="V4599" t="s">
        <v>21087</v>
      </c>
      <c r="W4599" t="s">
        <v>143</v>
      </c>
      <c r="X4599" t="s">
        <v>21088</v>
      </c>
      <c r="Y4599">
        <v>0</v>
      </c>
      <c r="Z4599">
        <v>33</v>
      </c>
    </row>
    <row r="4600" spans="1:26">
      <c r="A4600" s="1">
        <v>4598</v>
      </c>
      <c r="B4600" t="str">
        <f>HYPERLINK("https://bugs.eclipse.org/bugs/show_bug.cgi?id=459446", "459446")</f>
        <v>459446</v>
      </c>
      <c r="C4600" t="s">
        <v>4692</v>
      </c>
      <c r="D4600" t="s">
        <v>4692</v>
      </c>
      <c r="F4600" t="s">
        <v>26</v>
      </c>
      <c r="T4600" t="s">
        <v>21089</v>
      </c>
      <c r="U4600" t="s">
        <v>21090</v>
      </c>
      <c r="V4600" t="s">
        <v>21091</v>
      </c>
      <c r="W4600" t="s">
        <v>143</v>
      </c>
      <c r="X4600" t="s">
        <v>21092</v>
      </c>
      <c r="Y4600">
        <v>0</v>
      </c>
    </row>
    <row r="4601" spans="1:26">
      <c r="A4601" s="1">
        <v>4599</v>
      </c>
      <c r="B4601" t="str">
        <f>HYPERLINK("https://bugs.eclipse.org/bugs/show_bug.cgi?id=460068", "460068")</f>
        <v>460068</v>
      </c>
      <c r="C4601" t="s">
        <v>191</v>
      </c>
      <c r="D4601" t="s">
        <v>192</v>
      </c>
      <c r="E4601" t="s">
        <v>14</v>
      </c>
      <c r="F4601" t="s">
        <v>26</v>
      </c>
      <c r="T4601" t="s">
        <v>21093</v>
      </c>
      <c r="U4601" t="s">
        <v>21094</v>
      </c>
      <c r="V4601" t="s">
        <v>21095</v>
      </c>
      <c r="W4601" t="s">
        <v>65</v>
      </c>
      <c r="X4601" t="s">
        <v>21096</v>
      </c>
      <c r="Y4601">
        <v>1</v>
      </c>
      <c r="Z4601">
        <v>1657.958333333333</v>
      </c>
    </row>
    <row r="4602" spans="1:26">
      <c r="A4602" s="1">
        <v>4600</v>
      </c>
      <c r="B4602" t="str">
        <f>HYPERLINK("https://bugs.eclipse.org/bugs/show_bug.cgi?id=461326", "461326")</f>
        <v>461326</v>
      </c>
      <c r="C4602" t="s">
        <v>25</v>
      </c>
      <c r="D4602" t="s">
        <v>25</v>
      </c>
      <c r="F4602" t="s">
        <v>26</v>
      </c>
      <c r="T4602" t="s">
        <v>21097</v>
      </c>
      <c r="U4602" t="s">
        <v>21098</v>
      </c>
      <c r="V4602" t="s">
        <v>21099</v>
      </c>
      <c r="W4602" t="s">
        <v>65</v>
      </c>
      <c r="X4602" t="s">
        <v>21100</v>
      </c>
      <c r="Y4602">
        <v>1</v>
      </c>
    </row>
    <row r="4603" spans="1:26">
      <c r="A4603" s="1">
        <v>4601</v>
      </c>
      <c r="B4603" t="str">
        <f>HYPERLINK("https://bugs.eclipse.org/bugs/show_bug.cgi?id=461365", "461365")</f>
        <v>461365</v>
      </c>
      <c r="C4603" t="s">
        <v>140</v>
      </c>
      <c r="D4603" t="s">
        <v>10</v>
      </c>
      <c r="E4603" t="s">
        <v>16</v>
      </c>
      <c r="F4603" t="s">
        <v>26</v>
      </c>
      <c r="L4603" t="s">
        <v>21101</v>
      </c>
      <c r="R4603" t="s">
        <v>21101</v>
      </c>
      <c r="T4603" t="s">
        <v>21102</v>
      </c>
      <c r="U4603" t="s">
        <v>21103</v>
      </c>
      <c r="V4603" t="s">
        <v>21101</v>
      </c>
      <c r="W4603" t="s">
        <v>16518</v>
      </c>
      <c r="X4603" t="s">
        <v>21104</v>
      </c>
      <c r="Y4603">
        <v>0</v>
      </c>
      <c r="Z4603">
        <v>1723</v>
      </c>
    </row>
    <row r="4604" spans="1:26">
      <c r="A4604" s="1">
        <v>4602</v>
      </c>
      <c r="B4604" t="str">
        <f>HYPERLINK("https://bugs.eclipse.org/bugs/show_bug.cgi?id=461455", "461455")</f>
        <v>461455</v>
      </c>
      <c r="C4604" t="s">
        <v>21105</v>
      </c>
      <c r="D4604" t="s">
        <v>192</v>
      </c>
      <c r="E4604" t="s">
        <v>15</v>
      </c>
      <c r="F4604" t="s">
        <v>26</v>
      </c>
      <c r="Q4604" t="s">
        <v>21106</v>
      </c>
      <c r="T4604" t="s">
        <v>21107</v>
      </c>
      <c r="U4604" t="s">
        <v>21108</v>
      </c>
      <c r="V4604" t="s">
        <v>21106</v>
      </c>
      <c r="W4604" t="s">
        <v>4846</v>
      </c>
      <c r="X4604" t="s">
        <v>21109</v>
      </c>
      <c r="Y4604">
        <v>0</v>
      </c>
      <c r="Z4604">
        <v>1</v>
      </c>
    </row>
    <row r="4605" spans="1:26">
      <c r="A4605" s="1">
        <v>4603</v>
      </c>
      <c r="B4605" t="str">
        <f>HYPERLINK("https://bugs.eclipse.org/bugs/show_bug.cgi?id=462725", "462725")</f>
        <v>462725</v>
      </c>
      <c r="C4605" t="s">
        <v>4692</v>
      </c>
      <c r="D4605" t="s">
        <v>4692</v>
      </c>
      <c r="F4605" t="s">
        <v>26</v>
      </c>
      <c r="G4605" t="s">
        <v>21110</v>
      </c>
      <c r="T4605" t="s">
        <v>21111</v>
      </c>
      <c r="U4605" t="s">
        <v>21112</v>
      </c>
      <c r="V4605" t="s">
        <v>21113</v>
      </c>
      <c r="W4605" t="s">
        <v>18080</v>
      </c>
      <c r="X4605" t="s">
        <v>21114</v>
      </c>
      <c r="Y4605">
        <v>0</v>
      </c>
    </row>
    <row r="4606" spans="1:26">
      <c r="A4606" s="1">
        <v>4604</v>
      </c>
      <c r="B4606" t="str">
        <f>HYPERLINK("https://bugs.eclipse.org/bugs/show_bug.cgi?id=462940", "462940")</f>
        <v>462940</v>
      </c>
      <c r="C4606" t="s">
        <v>149</v>
      </c>
      <c r="D4606" t="s">
        <v>10</v>
      </c>
      <c r="E4606" t="s">
        <v>12</v>
      </c>
      <c r="F4606" t="s">
        <v>26</v>
      </c>
      <c r="G4606" t="s">
        <v>21115</v>
      </c>
      <c r="L4606" t="s">
        <v>21116</v>
      </c>
      <c r="N4606" t="s">
        <v>21116</v>
      </c>
      <c r="S4606" t="s">
        <v>21117</v>
      </c>
      <c r="T4606" t="s">
        <v>21118</v>
      </c>
      <c r="U4606" t="s">
        <v>21119</v>
      </c>
      <c r="V4606" t="s">
        <v>21120</v>
      </c>
      <c r="W4606" t="s">
        <v>143</v>
      </c>
      <c r="X4606" t="s">
        <v>21121</v>
      </c>
      <c r="Y4606">
        <v>0</v>
      </c>
      <c r="Z4606">
        <v>1058.041666666667</v>
      </c>
    </row>
    <row r="4607" spans="1:26">
      <c r="A4607" s="1">
        <v>4605</v>
      </c>
      <c r="B4607" t="str">
        <f>HYPERLINK("https://bugs.eclipse.org/bugs/show_bug.cgi?id=462994", "462994")</f>
        <v>462994</v>
      </c>
      <c r="C4607" t="s">
        <v>88</v>
      </c>
      <c r="D4607" t="s">
        <v>10</v>
      </c>
      <c r="E4607" t="s">
        <v>13</v>
      </c>
      <c r="F4607" t="s">
        <v>26</v>
      </c>
      <c r="L4607" t="s">
        <v>21122</v>
      </c>
      <c r="O4607" t="s">
        <v>21122</v>
      </c>
      <c r="T4607" t="s">
        <v>21123</v>
      </c>
      <c r="U4607" t="s">
        <v>21124</v>
      </c>
      <c r="V4607" t="s">
        <v>21122</v>
      </c>
      <c r="W4607" t="s">
        <v>4846</v>
      </c>
      <c r="X4607" t="s">
        <v>21125</v>
      </c>
      <c r="Y4607">
        <v>0</v>
      </c>
      <c r="Z4607">
        <v>1</v>
      </c>
    </row>
    <row r="4608" spans="1:26">
      <c r="A4608" s="1">
        <v>4606</v>
      </c>
      <c r="B4608" t="str">
        <f>HYPERLINK("https://bugs.eclipse.org/bugs/show_bug.cgi?id=463329", "463329")</f>
        <v>463329</v>
      </c>
      <c r="C4608" t="s">
        <v>56</v>
      </c>
      <c r="D4608" t="s">
        <v>10</v>
      </c>
      <c r="E4608" t="s">
        <v>14</v>
      </c>
      <c r="F4608" t="s">
        <v>26</v>
      </c>
      <c r="L4608" t="s">
        <v>21126</v>
      </c>
      <c r="P4608" t="s">
        <v>21126</v>
      </c>
      <c r="T4608" t="s">
        <v>21127</v>
      </c>
      <c r="U4608" t="s">
        <v>21128</v>
      </c>
      <c r="V4608" t="s">
        <v>21126</v>
      </c>
      <c r="W4608" t="s">
        <v>4846</v>
      </c>
      <c r="X4608" t="s">
        <v>21129</v>
      </c>
      <c r="Y4608">
        <v>0</v>
      </c>
      <c r="Z4608">
        <v>73</v>
      </c>
    </row>
    <row r="4609" spans="1:26">
      <c r="A4609" s="1">
        <v>4607</v>
      </c>
      <c r="B4609" t="str">
        <f>HYPERLINK("https://bugs.eclipse.org/bugs/show_bug.cgi?id=463477", "463477")</f>
        <v>463477</v>
      </c>
      <c r="C4609" t="s">
        <v>25</v>
      </c>
      <c r="D4609" t="s">
        <v>25</v>
      </c>
      <c r="F4609" t="s">
        <v>26</v>
      </c>
      <c r="T4609" t="s">
        <v>21130</v>
      </c>
      <c r="U4609" t="s">
        <v>19952</v>
      </c>
      <c r="V4609" t="s">
        <v>21131</v>
      </c>
      <c r="W4609" t="s">
        <v>143</v>
      </c>
      <c r="X4609" t="s">
        <v>21132</v>
      </c>
      <c r="Y4609">
        <v>0</v>
      </c>
    </row>
    <row r="4610" spans="1:26">
      <c r="A4610" s="1">
        <v>4608</v>
      </c>
      <c r="B4610" t="str">
        <f>HYPERLINK("https://bugs.eclipse.org/bugs/show_bug.cgi?id=463807", "463807")</f>
        <v>463807</v>
      </c>
      <c r="C4610" t="s">
        <v>21133</v>
      </c>
      <c r="D4610" t="s">
        <v>192</v>
      </c>
      <c r="E4610" t="s">
        <v>15</v>
      </c>
      <c r="F4610" t="s">
        <v>26</v>
      </c>
      <c r="L4610" t="s">
        <v>21134</v>
      </c>
      <c r="Q4610" t="s">
        <v>21135</v>
      </c>
      <c r="R4610" t="s">
        <v>21134</v>
      </c>
      <c r="S4610" t="s">
        <v>21136</v>
      </c>
      <c r="T4610" t="s">
        <v>21137</v>
      </c>
      <c r="U4610" t="s">
        <v>21138</v>
      </c>
      <c r="V4610" t="s">
        <v>21135</v>
      </c>
      <c r="W4610" t="s">
        <v>4846</v>
      </c>
      <c r="X4610" t="s">
        <v>21139</v>
      </c>
      <c r="Y4610">
        <v>0</v>
      </c>
      <c r="Z4610">
        <v>20</v>
      </c>
    </row>
    <row r="4611" spans="1:26">
      <c r="A4611" s="1">
        <v>4609</v>
      </c>
      <c r="B4611" t="str">
        <f>HYPERLINK("https://bugs.eclipse.org/bugs/show_bug.cgi?id=465139", "465139")</f>
        <v>465139</v>
      </c>
      <c r="C4611" t="s">
        <v>21140</v>
      </c>
      <c r="D4611" t="s">
        <v>192</v>
      </c>
      <c r="E4611" t="s">
        <v>15</v>
      </c>
      <c r="F4611" t="s">
        <v>26</v>
      </c>
      <c r="G4611" t="s">
        <v>21141</v>
      </c>
      <c r="H4611" t="s">
        <v>21142</v>
      </c>
      <c r="Q4611" t="s">
        <v>21143</v>
      </c>
      <c r="T4611" t="s">
        <v>21144</v>
      </c>
      <c r="U4611" t="s">
        <v>21135</v>
      </c>
      <c r="V4611" t="s">
        <v>21143</v>
      </c>
      <c r="W4611" t="s">
        <v>851</v>
      </c>
      <c r="X4611" t="s">
        <v>21145</v>
      </c>
      <c r="Y4611">
        <v>1</v>
      </c>
      <c r="Z4611">
        <v>21</v>
      </c>
    </row>
    <row r="4612" spans="1:26">
      <c r="A4612" s="1">
        <v>4610</v>
      </c>
      <c r="B4612" t="str">
        <f>HYPERLINK("https://bugs.eclipse.org/bugs/show_bug.cgi?id=465677", "465677")</f>
        <v>465677</v>
      </c>
      <c r="C4612" t="s">
        <v>4692</v>
      </c>
      <c r="D4612" t="s">
        <v>4692</v>
      </c>
      <c r="F4612" t="s">
        <v>26</v>
      </c>
      <c r="T4612" t="s">
        <v>21146</v>
      </c>
      <c r="U4612" t="s">
        <v>21147</v>
      </c>
      <c r="V4612" t="s">
        <v>21147</v>
      </c>
      <c r="W4612" t="s">
        <v>16518</v>
      </c>
      <c r="X4612" t="s">
        <v>21148</v>
      </c>
      <c r="Y4612">
        <v>0</v>
      </c>
    </row>
    <row r="4613" spans="1:26">
      <c r="A4613" s="1">
        <v>4611</v>
      </c>
      <c r="B4613" t="str">
        <f>HYPERLINK("https://bugs.eclipse.org/bugs/show_bug.cgi?id=466244", "466244")</f>
        <v>466244</v>
      </c>
      <c r="C4613" t="s">
        <v>21133</v>
      </c>
      <c r="D4613" t="s">
        <v>192</v>
      </c>
      <c r="E4613" t="s">
        <v>15</v>
      </c>
      <c r="F4613" t="s">
        <v>26</v>
      </c>
      <c r="Q4613" t="s">
        <v>21149</v>
      </c>
      <c r="T4613" t="s">
        <v>21150</v>
      </c>
      <c r="U4613" t="s">
        <v>21149</v>
      </c>
      <c r="V4613" t="s">
        <v>21149</v>
      </c>
      <c r="W4613" t="s">
        <v>4846</v>
      </c>
      <c r="X4613" t="s">
        <v>21151</v>
      </c>
      <c r="Y4613">
        <v>0</v>
      </c>
      <c r="Z4613">
        <v>0</v>
      </c>
    </row>
    <row r="4614" spans="1:26">
      <c r="A4614" s="1">
        <v>4612</v>
      </c>
      <c r="B4614" t="str">
        <f>HYPERLINK("https://bugs.eclipse.org/bugs/show_bug.cgi?id=466246", "466246")</f>
        <v>466246</v>
      </c>
      <c r="C4614" t="s">
        <v>17606</v>
      </c>
      <c r="D4614" t="s">
        <v>192</v>
      </c>
      <c r="E4614" t="s">
        <v>15</v>
      </c>
      <c r="F4614" t="s">
        <v>460</v>
      </c>
      <c r="Q4614" t="s">
        <v>21152</v>
      </c>
      <c r="T4614" t="s">
        <v>21153</v>
      </c>
      <c r="U4614" t="s">
        <v>21154</v>
      </c>
      <c r="V4614" t="s">
        <v>21152</v>
      </c>
      <c r="W4614" t="s">
        <v>143</v>
      </c>
      <c r="X4614" t="s">
        <v>21155</v>
      </c>
      <c r="Y4614">
        <v>0</v>
      </c>
      <c r="Z4614">
        <v>79</v>
      </c>
    </row>
    <row r="4615" spans="1:26">
      <c r="A4615" s="1">
        <v>4613</v>
      </c>
      <c r="B4615" t="str">
        <f>HYPERLINK("https://bugs.eclipse.org/bugs/show_bug.cgi?id=466379", "466379")</f>
        <v>466379</v>
      </c>
      <c r="C4615" t="s">
        <v>149</v>
      </c>
      <c r="D4615" t="s">
        <v>10</v>
      </c>
      <c r="E4615" t="s">
        <v>12</v>
      </c>
      <c r="F4615" t="s">
        <v>26</v>
      </c>
      <c r="G4615" t="s">
        <v>21156</v>
      </c>
      <c r="L4615" t="s">
        <v>21157</v>
      </c>
      <c r="N4615" t="s">
        <v>21157</v>
      </c>
      <c r="R4615" t="s">
        <v>21158</v>
      </c>
      <c r="S4615" t="s">
        <v>21159</v>
      </c>
      <c r="T4615" t="s">
        <v>21160</v>
      </c>
      <c r="U4615" t="s">
        <v>21161</v>
      </c>
      <c r="V4615" t="s">
        <v>21162</v>
      </c>
      <c r="W4615" t="s">
        <v>143</v>
      </c>
      <c r="X4615" t="s">
        <v>21163</v>
      </c>
      <c r="Y4615">
        <v>444</v>
      </c>
      <c r="Z4615">
        <v>840</v>
      </c>
    </row>
    <row r="4616" spans="1:26">
      <c r="A4616" s="1">
        <v>4614</v>
      </c>
      <c r="B4616" t="str">
        <f>HYPERLINK("https://bugs.eclipse.org/bugs/show_bug.cgi?id=466380", "466380")</f>
        <v>466380</v>
      </c>
      <c r="C4616" t="s">
        <v>17700</v>
      </c>
      <c r="D4616" t="s">
        <v>10</v>
      </c>
      <c r="E4616" t="s">
        <v>17701</v>
      </c>
      <c r="F4616" t="s">
        <v>26</v>
      </c>
      <c r="L4616" t="s">
        <v>21164</v>
      </c>
      <c r="T4616" t="s">
        <v>21165</v>
      </c>
      <c r="U4616" t="s">
        <v>21166</v>
      </c>
      <c r="V4616" t="s">
        <v>21167</v>
      </c>
      <c r="W4616" t="s">
        <v>16518</v>
      </c>
      <c r="X4616" t="s">
        <v>21168</v>
      </c>
      <c r="Y4616">
        <v>0</v>
      </c>
      <c r="Z4616">
        <v>0</v>
      </c>
    </row>
    <row r="4617" spans="1:26">
      <c r="A4617" s="1">
        <v>4615</v>
      </c>
      <c r="B4617" t="str">
        <f>HYPERLINK("https://bugs.eclipse.org/bugs/show_bug.cgi?id=467296", "467296")</f>
        <v>467296</v>
      </c>
      <c r="C4617" t="s">
        <v>21169</v>
      </c>
      <c r="D4617" t="s">
        <v>192</v>
      </c>
      <c r="E4617" t="s">
        <v>15</v>
      </c>
      <c r="F4617" t="s">
        <v>26</v>
      </c>
      <c r="Q4617" t="s">
        <v>21170</v>
      </c>
      <c r="T4617" t="s">
        <v>21171</v>
      </c>
      <c r="U4617" t="s">
        <v>21170</v>
      </c>
      <c r="V4617" t="s">
        <v>21170</v>
      </c>
      <c r="W4617" t="s">
        <v>143</v>
      </c>
      <c r="X4617" t="s">
        <v>21172</v>
      </c>
      <c r="Y4617">
        <v>0</v>
      </c>
      <c r="Z4617">
        <v>0</v>
      </c>
    </row>
    <row r="4618" spans="1:26">
      <c r="A4618" s="1">
        <v>4616</v>
      </c>
      <c r="B4618" t="str">
        <f>HYPERLINK("https://bugs.eclipse.org/bugs/show_bug.cgi?id=468917", "468917")</f>
        <v>468917</v>
      </c>
      <c r="C4618" t="s">
        <v>191</v>
      </c>
      <c r="D4618" t="s">
        <v>192</v>
      </c>
      <c r="E4618" t="s">
        <v>14</v>
      </c>
      <c r="F4618" t="s">
        <v>26</v>
      </c>
      <c r="T4618" t="s">
        <v>21173</v>
      </c>
      <c r="U4618" t="s">
        <v>21174</v>
      </c>
      <c r="V4618" t="s">
        <v>21175</v>
      </c>
      <c r="W4618" t="s">
        <v>65</v>
      </c>
      <c r="X4618" t="s">
        <v>21176</v>
      </c>
      <c r="Y4618">
        <v>0</v>
      </c>
      <c r="Z4618">
        <v>1477</v>
      </c>
    </row>
    <row r="4619" spans="1:26">
      <c r="A4619" s="1">
        <v>4617</v>
      </c>
      <c r="B4619" t="str">
        <f>HYPERLINK("https://bugs.eclipse.org/bugs/show_bug.cgi?id=469585", "469585")</f>
        <v>469585</v>
      </c>
      <c r="C4619" t="s">
        <v>140</v>
      </c>
      <c r="D4619" t="s">
        <v>10</v>
      </c>
      <c r="E4619" t="s">
        <v>16</v>
      </c>
      <c r="F4619" t="s">
        <v>26</v>
      </c>
      <c r="L4619" t="s">
        <v>21177</v>
      </c>
      <c r="R4619" t="s">
        <v>21177</v>
      </c>
      <c r="T4619" t="s">
        <v>21178</v>
      </c>
      <c r="U4619" t="s">
        <v>21177</v>
      </c>
      <c r="V4619" t="s">
        <v>21177</v>
      </c>
      <c r="W4619" t="s">
        <v>4846</v>
      </c>
      <c r="X4619" t="s">
        <v>21179</v>
      </c>
      <c r="Y4619">
        <v>0</v>
      </c>
      <c r="Z4619">
        <v>0</v>
      </c>
    </row>
    <row r="4620" spans="1:26">
      <c r="A4620" s="1">
        <v>4618</v>
      </c>
      <c r="B4620" t="str">
        <f>HYPERLINK("https://bugs.eclipse.org/bugs/show_bug.cgi?id=470312", "470312")</f>
        <v>470312</v>
      </c>
      <c r="C4620" t="s">
        <v>149</v>
      </c>
      <c r="D4620" t="s">
        <v>10</v>
      </c>
      <c r="E4620" t="s">
        <v>12</v>
      </c>
      <c r="F4620" t="s">
        <v>26</v>
      </c>
      <c r="L4620" t="s">
        <v>21180</v>
      </c>
      <c r="N4620" t="s">
        <v>21180</v>
      </c>
      <c r="T4620" t="s">
        <v>21181</v>
      </c>
      <c r="U4620" t="s">
        <v>21182</v>
      </c>
      <c r="V4620" t="s">
        <v>21180</v>
      </c>
      <c r="W4620" t="s">
        <v>4846</v>
      </c>
      <c r="X4620" t="s">
        <v>21183</v>
      </c>
      <c r="Y4620">
        <v>0</v>
      </c>
      <c r="Z4620">
        <v>28</v>
      </c>
    </row>
    <row r="4621" spans="1:26">
      <c r="A4621" s="1">
        <v>4619</v>
      </c>
      <c r="B4621" t="str">
        <f>HYPERLINK("https://bugs.eclipse.org/bugs/show_bug.cgi?id=470315", "470315")</f>
        <v>470315</v>
      </c>
      <c r="C4621" t="s">
        <v>21184</v>
      </c>
      <c r="D4621" t="s">
        <v>192</v>
      </c>
      <c r="E4621" t="s">
        <v>15</v>
      </c>
      <c r="F4621" t="s">
        <v>26</v>
      </c>
      <c r="Q4621" t="s">
        <v>21185</v>
      </c>
      <c r="T4621" t="s">
        <v>21186</v>
      </c>
      <c r="U4621" t="s">
        <v>21187</v>
      </c>
      <c r="V4621" t="s">
        <v>21185</v>
      </c>
      <c r="W4621" t="s">
        <v>851</v>
      </c>
      <c r="X4621" t="s">
        <v>21188</v>
      </c>
      <c r="Y4621">
        <v>0</v>
      </c>
      <c r="Z4621">
        <v>14</v>
      </c>
    </row>
    <row r="4622" spans="1:26">
      <c r="A4622" s="1">
        <v>4620</v>
      </c>
      <c r="B4622" t="str">
        <f>HYPERLINK("https://bugs.eclipse.org/bugs/show_bug.cgi?id=471349", "471349")</f>
        <v>471349</v>
      </c>
      <c r="C4622" t="s">
        <v>21189</v>
      </c>
      <c r="D4622" t="s">
        <v>192</v>
      </c>
      <c r="E4622" t="s">
        <v>15</v>
      </c>
      <c r="F4622" t="s">
        <v>26</v>
      </c>
      <c r="Q4622" t="s">
        <v>11301</v>
      </c>
      <c r="T4622" t="s">
        <v>21190</v>
      </c>
      <c r="U4622" t="s">
        <v>11301</v>
      </c>
      <c r="V4622" t="s">
        <v>11301</v>
      </c>
      <c r="W4622" t="s">
        <v>4846</v>
      </c>
      <c r="X4622" t="s">
        <v>21191</v>
      </c>
      <c r="Y4622">
        <v>1</v>
      </c>
      <c r="Z4622">
        <v>1</v>
      </c>
    </row>
    <row r="4623" spans="1:26">
      <c r="A4623" s="1">
        <v>4621</v>
      </c>
      <c r="B4623" t="str">
        <f>HYPERLINK("https://bugs.eclipse.org/bugs/show_bug.cgi?id=471643", "471643")</f>
        <v>471643</v>
      </c>
      <c r="C4623" t="s">
        <v>140</v>
      </c>
      <c r="D4623" t="s">
        <v>10</v>
      </c>
      <c r="E4623" t="s">
        <v>16</v>
      </c>
      <c r="F4623" t="s">
        <v>26</v>
      </c>
      <c r="G4623" t="s">
        <v>21192</v>
      </c>
      <c r="L4623" t="s">
        <v>21193</v>
      </c>
      <c r="R4623" t="s">
        <v>21193</v>
      </c>
      <c r="T4623" t="s">
        <v>21194</v>
      </c>
      <c r="U4623" t="s">
        <v>21195</v>
      </c>
      <c r="V4623" t="s">
        <v>21193</v>
      </c>
      <c r="W4623" t="s">
        <v>851</v>
      </c>
      <c r="X4623" t="s">
        <v>21196</v>
      </c>
      <c r="Y4623">
        <v>0</v>
      </c>
      <c r="Z4623">
        <v>62</v>
      </c>
    </row>
    <row r="4624" spans="1:26">
      <c r="A4624" s="1">
        <v>4622</v>
      </c>
      <c r="B4624" t="str">
        <f>HYPERLINK("https://bugs.eclipse.org/bugs/show_bug.cgi?id=471951", "471951")</f>
        <v>471951</v>
      </c>
      <c r="C4624" t="s">
        <v>21197</v>
      </c>
      <c r="D4624" t="s">
        <v>192</v>
      </c>
      <c r="E4624" t="s">
        <v>15</v>
      </c>
      <c r="F4624" t="s">
        <v>26</v>
      </c>
      <c r="Q4624" t="s">
        <v>21198</v>
      </c>
      <c r="T4624" t="s">
        <v>21199</v>
      </c>
      <c r="U4624" t="s">
        <v>21200</v>
      </c>
      <c r="V4624" t="s">
        <v>21198</v>
      </c>
      <c r="W4624" t="s">
        <v>4846</v>
      </c>
      <c r="X4624" t="s">
        <v>21201</v>
      </c>
      <c r="Y4624">
        <v>0</v>
      </c>
      <c r="Z4624">
        <v>30</v>
      </c>
    </row>
    <row r="4625" spans="1:26">
      <c r="A4625" s="1">
        <v>4623</v>
      </c>
      <c r="B4625" t="str">
        <f>HYPERLINK("https://bugs.eclipse.org/bugs/show_bug.cgi?id=471952", "471952")</f>
        <v>471952</v>
      </c>
      <c r="C4625" t="s">
        <v>191</v>
      </c>
      <c r="D4625" t="s">
        <v>192</v>
      </c>
      <c r="E4625" t="s">
        <v>14</v>
      </c>
      <c r="F4625" t="s">
        <v>26</v>
      </c>
      <c r="P4625" t="s">
        <v>21202</v>
      </c>
      <c r="T4625" t="s">
        <v>21203</v>
      </c>
      <c r="U4625" t="s">
        <v>21204</v>
      </c>
      <c r="V4625" t="s">
        <v>21202</v>
      </c>
      <c r="W4625" t="s">
        <v>65</v>
      </c>
      <c r="X4625" t="s">
        <v>21205</v>
      </c>
      <c r="Y4625">
        <v>0</v>
      </c>
      <c r="Z4625">
        <v>1771</v>
      </c>
    </row>
    <row r="4626" spans="1:26">
      <c r="A4626" s="1">
        <v>4624</v>
      </c>
      <c r="B4626" t="str">
        <f>HYPERLINK("https://bugs.eclipse.org/bugs/show_bug.cgi?id=471953", "471953")</f>
        <v>471953</v>
      </c>
      <c r="C4626" t="s">
        <v>8439</v>
      </c>
      <c r="D4626" t="s">
        <v>192</v>
      </c>
      <c r="E4626" t="s">
        <v>13</v>
      </c>
      <c r="F4626" t="s">
        <v>26</v>
      </c>
      <c r="O4626" t="s">
        <v>21206</v>
      </c>
      <c r="T4626" t="s">
        <v>21207</v>
      </c>
      <c r="U4626" t="s">
        <v>21208</v>
      </c>
      <c r="V4626" t="s">
        <v>21206</v>
      </c>
      <c r="W4626" t="s">
        <v>4846</v>
      </c>
      <c r="X4626" t="s">
        <v>21209</v>
      </c>
      <c r="Y4626">
        <v>0</v>
      </c>
      <c r="Z4626">
        <v>2</v>
      </c>
    </row>
    <row r="4627" spans="1:26">
      <c r="A4627" s="1">
        <v>4625</v>
      </c>
      <c r="B4627" t="str">
        <f>HYPERLINK("https://bugs.eclipse.org/bugs/show_bug.cgi?id=471955", "471955")</f>
        <v>471955</v>
      </c>
      <c r="C4627" t="s">
        <v>8439</v>
      </c>
      <c r="D4627" t="s">
        <v>192</v>
      </c>
      <c r="E4627" t="s">
        <v>13</v>
      </c>
      <c r="F4627" t="s">
        <v>26</v>
      </c>
      <c r="O4627" t="s">
        <v>21210</v>
      </c>
      <c r="T4627" t="s">
        <v>21211</v>
      </c>
      <c r="U4627" t="s">
        <v>21212</v>
      </c>
      <c r="V4627" t="s">
        <v>21210</v>
      </c>
      <c r="W4627" t="s">
        <v>4846</v>
      </c>
      <c r="X4627" t="s">
        <v>21213</v>
      </c>
      <c r="Y4627">
        <v>0</v>
      </c>
      <c r="Z4627">
        <v>2</v>
      </c>
    </row>
    <row r="4628" spans="1:26">
      <c r="A4628" s="1">
        <v>4626</v>
      </c>
      <c r="B4628" t="str">
        <f>HYPERLINK("https://bugs.eclipse.org/bugs/show_bug.cgi?id=471958", "471958")</f>
        <v>471958</v>
      </c>
      <c r="C4628" t="s">
        <v>140</v>
      </c>
      <c r="D4628" t="s">
        <v>10</v>
      </c>
      <c r="E4628" t="s">
        <v>16</v>
      </c>
      <c r="F4628" t="s">
        <v>26</v>
      </c>
      <c r="L4628" t="s">
        <v>21214</v>
      </c>
      <c r="R4628" t="s">
        <v>21214</v>
      </c>
      <c r="T4628" t="s">
        <v>21215</v>
      </c>
      <c r="U4628" t="s">
        <v>21216</v>
      </c>
      <c r="V4628" t="s">
        <v>21214</v>
      </c>
      <c r="W4628" t="s">
        <v>4846</v>
      </c>
      <c r="X4628" t="s">
        <v>21217</v>
      </c>
      <c r="Y4628">
        <v>0</v>
      </c>
      <c r="Z4628">
        <v>2</v>
      </c>
    </row>
    <row r="4629" spans="1:26">
      <c r="A4629" s="1">
        <v>4627</v>
      </c>
      <c r="B4629" t="str">
        <f>HYPERLINK("https://bugs.eclipse.org/bugs/show_bug.cgi?id=471959", "471959")</f>
        <v>471959</v>
      </c>
      <c r="C4629" t="s">
        <v>8439</v>
      </c>
      <c r="D4629" t="s">
        <v>192</v>
      </c>
      <c r="E4629" t="s">
        <v>13</v>
      </c>
      <c r="F4629" t="s">
        <v>26</v>
      </c>
      <c r="O4629" t="s">
        <v>21218</v>
      </c>
      <c r="T4629" t="s">
        <v>21219</v>
      </c>
      <c r="U4629" t="s">
        <v>21220</v>
      </c>
      <c r="V4629" t="s">
        <v>21218</v>
      </c>
      <c r="W4629" t="s">
        <v>4846</v>
      </c>
      <c r="X4629" t="s">
        <v>21221</v>
      </c>
      <c r="Y4629">
        <v>0</v>
      </c>
      <c r="Z4629">
        <v>2</v>
      </c>
    </row>
    <row r="4630" spans="1:26">
      <c r="A4630" s="1">
        <v>4628</v>
      </c>
      <c r="B4630" t="str">
        <f>HYPERLINK("https://bugs.eclipse.org/bugs/show_bug.cgi?id=471961", "471961")</f>
        <v>471961</v>
      </c>
      <c r="C4630" t="s">
        <v>8439</v>
      </c>
      <c r="D4630" t="s">
        <v>192</v>
      </c>
      <c r="E4630" t="s">
        <v>13</v>
      </c>
      <c r="F4630" t="s">
        <v>26</v>
      </c>
      <c r="O4630" t="s">
        <v>21222</v>
      </c>
      <c r="T4630" t="s">
        <v>21223</v>
      </c>
      <c r="U4630" t="s">
        <v>21224</v>
      </c>
      <c r="V4630" t="s">
        <v>21222</v>
      </c>
      <c r="W4630" t="s">
        <v>4846</v>
      </c>
      <c r="X4630" t="s">
        <v>21225</v>
      </c>
      <c r="Y4630">
        <v>0</v>
      </c>
      <c r="Z4630">
        <v>2</v>
      </c>
    </row>
    <row r="4631" spans="1:26">
      <c r="A4631" s="1">
        <v>4629</v>
      </c>
      <c r="B4631" t="str">
        <f>HYPERLINK("https://bugs.eclipse.org/bugs/show_bug.cgi?id=472503", "472503")</f>
        <v>472503</v>
      </c>
      <c r="C4631" t="s">
        <v>191</v>
      </c>
      <c r="D4631" t="s">
        <v>192</v>
      </c>
      <c r="E4631" t="s">
        <v>14</v>
      </c>
      <c r="F4631" t="s">
        <v>26</v>
      </c>
      <c r="P4631" t="s">
        <v>21226</v>
      </c>
      <c r="T4631" t="s">
        <v>21227</v>
      </c>
      <c r="U4631" t="s">
        <v>21228</v>
      </c>
      <c r="V4631" t="s">
        <v>21226</v>
      </c>
      <c r="W4631" t="s">
        <v>65</v>
      </c>
      <c r="X4631" t="s">
        <v>21229</v>
      </c>
      <c r="Y4631">
        <v>0</v>
      </c>
      <c r="Z4631">
        <v>1694.041666666667</v>
      </c>
    </row>
    <row r="4632" spans="1:26">
      <c r="A4632" s="1">
        <v>4630</v>
      </c>
      <c r="B4632" t="str">
        <f>HYPERLINK("https://bugs.eclipse.org/bugs/show_bug.cgi?id=472845", "472845")</f>
        <v>472845</v>
      </c>
      <c r="C4632" t="s">
        <v>17</v>
      </c>
      <c r="D4632" t="s">
        <v>17</v>
      </c>
      <c r="F4632" t="s">
        <v>26</v>
      </c>
      <c r="P4632" t="s">
        <v>21230</v>
      </c>
      <c r="S4632" t="s">
        <v>21231</v>
      </c>
      <c r="T4632" t="s">
        <v>21232</v>
      </c>
      <c r="U4632" t="s">
        <v>21233</v>
      </c>
      <c r="V4632" t="s">
        <v>21231</v>
      </c>
      <c r="W4632" t="s">
        <v>3492</v>
      </c>
      <c r="X4632" t="s">
        <v>21234</v>
      </c>
      <c r="Y4632">
        <v>4</v>
      </c>
    </row>
    <row r="4633" spans="1:26">
      <c r="A4633" s="1">
        <v>4631</v>
      </c>
      <c r="B4633" t="str">
        <f>HYPERLINK("https://bugs.eclipse.org/bugs/show_bug.cgi?id=473034", "473034")</f>
        <v>473034</v>
      </c>
      <c r="C4633" t="s">
        <v>25</v>
      </c>
      <c r="D4633" t="s">
        <v>25</v>
      </c>
      <c r="F4633" t="s">
        <v>26</v>
      </c>
      <c r="G4633" t="s">
        <v>21235</v>
      </c>
      <c r="T4633" t="s">
        <v>21236</v>
      </c>
      <c r="U4633" t="s">
        <v>21237</v>
      </c>
      <c r="V4633" t="s">
        <v>21238</v>
      </c>
      <c r="W4633" t="s">
        <v>143</v>
      </c>
      <c r="X4633" t="s">
        <v>21239</v>
      </c>
      <c r="Y4633">
        <v>218.04166666666671</v>
      </c>
    </row>
    <row r="4634" spans="1:26">
      <c r="A4634" s="1">
        <v>4632</v>
      </c>
      <c r="B4634" t="str">
        <f>HYPERLINK("https://bugs.eclipse.org/bugs/show_bug.cgi?id=473341", "473341")</f>
        <v>473341</v>
      </c>
      <c r="C4634" t="s">
        <v>191</v>
      </c>
      <c r="D4634" t="s">
        <v>192</v>
      </c>
      <c r="E4634" t="s">
        <v>14</v>
      </c>
      <c r="F4634" t="s">
        <v>26</v>
      </c>
      <c r="T4634" t="s">
        <v>21240</v>
      </c>
      <c r="U4634" t="s">
        <v>21241</v>
      </c>
      <c r="V4634" t="s">
        <v>21242</v>
      </c>
      <c r="W4634" t="s">
        <v>65</v>
      </c>
      <c r="X4634" t="s">
        <v>21243</v>
      </c>
      <c r="Y4634">
        <v>0</v>
      </c>
      <c r="Z4634">
        <v>1503</v>
      </c>
    </row>
    <row r="4635" spans="1:26">
      <c r="A4635" s="1">
        <v>4633</v>
      </c>
      <c r="B4635" t="str">
        <f>HYPERLINK("https://bugs.eclipse.org/bugs/show_bug.cgi?id=473650", "473650")</f>
        <v>473650</v>
      </c>
      <c r="C4635" t="s">
        <v>140</v>
      </c>
      <c r="D4635" t="s">
        <v>10</v>
      </c>
      <c r="E4635" t="s">
        <v>16</v>
      </c>
      <c r="F4635" t="s">
        <v>26</v>
      </c>
      <c r="L4635" t="s">
        <v>21244</v>
      </c>
      <c r="R4635" t="s">
        <v>21244</v>
      </c>
      <c r="T4635" t="s">
        <v>21245</v>
      </c>
      <c r="U4635" t="s">
        <v>21246</v>
      </c>
      <c r="V4635" t="s">
        <v>21244</v>
      </c>
      <c r="W4635" t="s">
        <v>4846</v>
      </c>
      <c r="X4635" t="s">
        <v>21247</v>
      </c>
      <c r="Y4635">
        <v>1</v>
      </c>
      <c r="Z4635">
        <v>9</v>
      </c>
    </row>
    <row r="4636" spans="1:26">
      <c r="A4636" s="1">
        <v>4634</v>
      </c>
      <c r="B4636" t="str">
        <f>HYPERLINK("https://bugs.eclipse.org/bugs/show_bug.cgi?id=473651", "473651")</f>
        <v>473651</v>
      </c>
      <c r="C4636" t="s">
        <v>191</v>
      </c>
      <c r="D4636" t="s">
        <v>192</v>
      </c>
      <c r="E4636" t="s">
        <v>14</v>
      </c>
      <c r="F4636" t="s">
        <v>26</v>
      </c>
      <c r="P4636" t="s">
        <v>21248</v>
      </c>
      <c r="T4636" t="s">
        <v>21249</v>
      </c>
      <c r="U4636" t="s">
        <v>21250</v>
      </c>
      <c r="V4636" t="s">
        <v>21248</v>
      </c>
      <c r="W4636" t="s">
        <v>65</v>
      </c>
      <c r="X4636" t="s">
        <v>21251</v>
      </c>
      <c r="Y4636">
        <v>9</v>
      </c>
      <c r="Z4636">
        <v>1735</v>
      </c>
    </row>
    <row r="4637" spans="1:26">
      <c r="A4637" s="1">
        <v>4635</v>
      </c>
      <c r="B4637" t="str">
        <f>HYPERLINK("https://bugs.eclipse.org/bugs/show_bug.cgi?id=473653", "473653")</f>
        <v>473653</v>
      </c>
      <c r="C4637" t="s">
        <v>191</v>
      </c>
      <c r="D4637" t="s">
        <v>192</v>
      </c>
      <c r="E4637" t="s">
        <v>14</v>
      </c>
      <c r="F4637" t="s">
        <v>460</v>
      </c>
      <c r="L4637" t="s">
        <v>21252</v>
      </c>
      <c r="O4637" t="s">
        <v>21252</v>
      </c>
      <c r="P4637" t="s">
        <v>21253</v>
      </c>
      <c r="S4637" t="s">
        <v>21254</v>
      </c>
      <c r="T4637" t="s">
        <v>21255</v>
      </c>
      <c r="U4637" t="s">
        <v>21252</v>
      </c>
      <c r="V4637" t="s">
        <v>21253</v>
      </c>
      <c r="W4637" t="s">
        <v>65</v>
      </c>
      <c r="X4637" t="s">
        <v>21256</v>
      </c>
      <c r="Y4637">
        <v>9</v>
      </c>
      <c r="Z4637">
        <v>1658.041666666667</v>
      </c>
    </row>
    <row r="4638" spans="1:26">
      <c r="A4638" s="1">
        <v>4636</v>
      </c>
      <c r="B4638" t="str">
        <f>HYPERLINK("https://bugs.eclipse.org/bugs/show_bug.cgi?id=473655", "473655")</f>
        <v>473655</v>
      </c>
      <c r="C4638" t="s">
        <v>88</v>
      </c>
      <c r="D4638" t="s">
        <v>10</v>
      </c>
      <c r="E4638" t="s">
        <v>13</v>
      </c>
      <c r="F4638" t="s">
        <v>26</v>
      </c>
      <c r="L4638" t="s">
        <v>21257</v>
      </c>
      <c r="O4638" t="s">
        <v>21257</v>
      </c>
      <c r="T4638" t="s">
        <v>21258</v>
      </c>
      <c r="U4638" t="s">
        <v>21257</v>
      </c>
      <c r="V4638" t="s">
        <v>21257</v>
      </c>
      <c r="W4638" t="s">
        <v>4846</v>
      </c>
      <c r="X4638" t="s">
        <v>21259</v>
      </c>
      <c r="Y4638">
        <v>9</v>
      </c>
      <c r="Z4638">
        <v>9</v>
      </c>
    </row>
    <row r="4639" spans="1:26">
      <c r="A4639" s="1">
        <v>4637</v>
      </c>
      <c r="B4639" t="str">
        <f>HYPERLINK("https://bugs.eclipse.org/bugs/show_bug.cgi?id=473656", "473656")</f>
        <v>473656</v>
      </c>
      <c r="C4639" t="s">
        <v>21260</v>
      </c>
      <c r="D4639" t="s">
        <v>192</v>
      </c>
      <c r="E4639" t="s">
        <v>15</v>
      </c>
      <c r="F4639" t="s">
        <v>26</v>
      </c>
      <c r="Q4639" t="s">
        <v>21261</v>
      </c>
      <c r="T4639" t="s">
        <v>21262</v>
      </c>
      <c r="U4639" t="s">
        <v>21261</v>
      </c>
      <c r="V4639" t="s">
        <v>21261</v>
      </c>
      <c r="W4639" t="s">
        <v>4846</v>
      </c>
      <c r="X4639" t="s">
        <v>21263</v>
      </c>
      <c r="Y4639">
        <v>9</v>
      </c>
      <c r="Z4639">
        <v>9</v>
      </c>
    </row>
    <row r="4640" spans="1:26">
      <c r="A4640" s="1">
        <v>4638</v>
      </c>
      <c r="B4640" t="str">
        <f>HYPERLINK("https://bugs.eclipse.org/bugs/show_bug.cgi?id=473863", "473863")</f>
        <v>473863</v>
      </c>
      <c r="C4640" t="s">
        <v>149</v>
      </c>
      <c r="D4640" t="s">
        <v>10</v>
      </c>
      <c r="E4640" t="s">
        <v>12</v>
      </c>
      <c r="F4640" t="s">
        <v>26</v>
      </c>
      <c r="L4640" t="s">
        <v>21264</v>
      </c>
      <c r="N4640" t="s">
        <v>21264</v>
      </c>
      <c r="T4640" t="s">
        <v>21265</v>
      </c>
      <c r="U4640" t="s">
        <v>21266</v>
      </c>
      <c r="V4640" t="s">
        <v>21264</v>
      </c>
      <c r="W4640" t="s">
        <v>851</v>
      </c>
      <c r="X4640" t="s">
        <v>21267</v>
      </c>
      <c r="Y4640">
        <v>0</v>
      </c>
      <c r="Z4640">
        <v>0</v>
      </c>
    </row>
    <row r="4641" spans="1:26">
      <c r="A4641" s="1">
        <v>4639</v>
      </c>
      <c r="B4641" t="str">
        <f>HYPERLINK("https://bugs.eclipse.org/bugs/show_bug.cgi?id=473922", "473922")</f>
        <v>473922</v>
      </c>
      <c r="C4641" t="s">
        <v>140</v>
      </c>
      <c r="D4641" t="s">
        <v>10</v>
      </c>
      <c r="E4641" t="s">
        <v>16</v>
      </c>
      <c r="F4641" t="s">
        <v>26</v>
      </c>
      <c r="L4641" t="s">
        <v>21268</v>
      </c>
      <c r="R4641" t="s">
        <v>21268</v>
      </c>
      <c r="T4641" t="s">
        <v>21269</v>
      </c>
      <c r="U4641" t="s">
        <v>21268</v>
      </c>
      <c r="V4641" t="s">
        <v>21268</v>
      </c>
      <c r="W4641" t="s">
        <v>4846</v>
      </c>
      <c r="X4641" t="s">
        <v>21270</v>
      </c>
      <c r="Y4641">
        <v>6</v>
      </c>
      <c r="Z4641">
        <v>6</v>
      </c>
    </row>
    <row r="4642" spans="1:26">
      <c r="A4642" s="1">
        <v>4640</v>
      </c>
      <c r="B4642" t="str">
        <f>HYPERLINK("https://bugs.eclipse.org/bugs/show_bug.cgi?id=473923", "473923")</f>
        <v>473923</v>
      </c>
      <c r="C4642" t="s">
        <v>191</v>
      </c>
      <c r="D4642" t="s">
        <v>192</v>
      </c>
      <c r="E4642" t="s">
        <v>14</v>
      </c>
      <c r="F4642" t="s">
        <v>26</v>
      </c>
      <c r="T4642" t="s">
        <v>21271</v>
      </c>
      <c r="U4642" t="s">
        <v>21272</v>
      </c>
      <c r="V4642" t="s">
        <v>21272</v>
      </c>
      <c r="W4642" t="s">
        <v>65</v>
      </c>
      <c r="X4642" t="s">
        <v>21273</v>
      </c>
      <c r="Y4642">
        <v>1593.041666666667</v>
      </c>
      <c r="Z4642">
        <v>1593.041666666667</v>
      </c>
    </row>
    <row r="4643" spans="1:26">
      <c r="A4643" s="1">
        <v>4641</v>
      </c>
      <c r="B4643" t="str">
        <f>HYPERLINK("https://bugs.eclipse.org/bugs/show_bug.cgi?id=473924", "473924")</f>
        <v>473924</v>
      </c>
      <c r="C4643" t="s">
        <v>25</v>
      </c>
      <c r="D4643" t="s">
        <v>25</v>
      </c>
      <c r="F4643" t="s">
        <v>26</v>
      </c>
      <c r="T4643" t="s">
        <v>21274</v>
      </c>
      <c r="U4643" t="s">
        <v>21275</v>
      </c>
      <c r="V4643" t="s">
        <v>21276</v>
      </c>
      <c r="W4643" t="s">
        <v>12301</v>
      </c>
      <c r="X4643" t="s">
        <v>21277</v>
      </c>
      <c r="Y4643">
        <v>1225.041666666667</v>
      </c>
    </row>
    <row r="4644" spans="1:26">
      <c r="A4644" s="1">
        <v>4642</v>
      </c>
      <c r="B4644" t="str">
        <f>HYPERLINK("https://bugs.eclipse.org/bugs/show_bug.cgi?id=473925", "473925")</f>
        <v>473925</v>
      </c>
      <c r="C4644" t="s">
        <v>140</v>
      </c>
      <c r="D4644" t="s">
        <v>10</v>
      </c>
      <c r="E4644" t="s">
        <v>16</v>
      </c>
      <c r="F4644" t="s">
        <v>26</v>
      </c>
      <c r="L4644" t="s">
        <v>21278</v>
      </c>
      <c r="R4644" t="s">
        <v>21278</v>
      </c>
      <c r="T4644" t="s">
        <v>21279</v>
      </c>
      <c r="U4644" t="s">
        <v>21278</v>
      </c>
      <c r="V4644" t="s">
        <v>21278</v>
      </c>
      <c r="W4644" t="s">
        <v>4846</v>
      </c>
      <c r="X4644" t="s">
        <v>21280</v>
      </c>
      <c r="Y4644">
        <v>6</v>
      </c>
      <c r="Z4644">
        <v>6</v>
      </c>
    </row>
    <row r="4645" spans="1:26">
      <c r="A4645" s="1">
        <v>4643</v>
      </c>
      <c r="B4645" t="str">
        <f>HYPERLINK("https://bugs.eclipse.org/bugs/show_bug.cgi?id=473926", "473926")</f>
        <v>473926</v>
      </c>
      <c r="C4645" t="s">
        <v>21281</v>
      </c>
      <c r="D4645" t="s">
        <v>192</v>
      </c>
      <c r="E4645" t="s">
        <v>15</v>
      </c>
      <c r="F4645" t="s">
        <v>26</v>
      </c>
      <c r="Q4645" t="s">
        <v>4845</v>
      </c>
      <c r="T4645" t="s">
        <v>21282</v>
      </c>
      <c r="U4645" t="s">
        <v>4845</v>
      </c>
      <c r="V4645" t="s">
        <v>4845</v>
      </c>
      <c r="W4645" t="s">
        <v>4846</v>
      </c>
      <c r="X4645" t="s">
        <v>21283</v>
      </c>
      <c r="Y4645">
        <v>6</v>
      </c>
      <c r="Z4645">
        <v>6</v>
      </c>
    </row>
    <row r="4646" spans="1:26">
      <c r="A4646" s="1">
        <v>4644</v>
      </c>
      <c r="B4646" t="str">
        <f>HYPERLINK("https://bugs.eclipse.org/bugs/show_bug.cgi?id=473927", "473927")</f>
        <v>473927</v>
      </c>
      <c r="C4646" t="s">
        <v>21284</v>
      </c>
      <c r="D4646" t="s">
        <v>192</v>
      </c>
      <c r="E4646" t="s">
        <v>15</v>
      </c>
      <c r="F4646" t="s">
        <v>26</v>
      </c>
      <c r="Q4646" t="s">
        <v>21285</v>
      </c>
      <c r="T4646" t="s">
        <v>21286</v>
      </c>
      <c r="U4646" t="s">
        <v>21285</v>
      </c>
      <c r="V4646" t="s">
        <v>21285</v>
      </c>
      <c r="W4646" t="s">
        <v>4846</v>
      </c>
      <c r="X4646" t="s">
        <v>21287</v>
      </c>
      <c r="Y4646">
        <v>6</v>
      </c>
      <c r="Z4646">
        <v>6</v>
      </c>
    </row>
    <row r="4647" spans="1:26">
      <c r="A4647" s="1">
        <v>4645</v>
      </c>
      <c r="B4647" t="str">
        <f>HYPERLINK("https://bugs.eclipse.org/bugs/show_bug.cgi?id=474524", "474524")</f>
        <v>474524</v>
      </c>
      <c r="C4647" t="s">
        <v>191</v>
      </c>
      <c r="D4647" t="s">
        <v>192</v>
      </c>
      <c r="E4647" t="s">
        <v>14</v>
      </c>
      <c r="F4647" t="s">
        <v>26</v>
      </c>
      <c r="T4647" t="s">
        <v>21288</v>
      </c>
      <c r="U4647" t="s">
        <v>21289</v>
      </c>
      <c r="V4647" t="s">
        <v>21289</v>
      </c>
      <c r="W4647" t="s">
        <v>65</v>
      </c>
      <c r="X4647" t="s">
        <v>21290</v>
      </c>
      <c r="Y4647">
        <v>1570.041666666667</v>
      </c>
      <c r="Z4647">
        <v>1570.041666666667</v>
      </c>
    </row>
    <row r="4648" spans="1:26">
      <c r="A4648" s="1">
        <v>4646</v>
      </c>
      <c r="B4648" t="str">
        <f>HYPERLINK("https://bugs.eclipse.org/bugs/show_bug.cgi?id=475239", "475239")</f>
        <v>475239</v>
      </c>
      <c r="C4648" t="s">
        <v>2160</v>
      </c>
      <c r="D4648" t="s">
        <v>192</v>
      </c>
      <c r="E4648" t="s">
        <v>16</v>
      </c>
      <c r="F4648" t="s">
        <v>26</v>
      </c>
      <c r="R4648" t="s">
        <v>21291</v>
      </c>
      <c r="T4648" t="s">
        <v>21292</v>
      </c>
      <c r="U4648" t="s">
        <v>21293</v>
      </c>
      <c r="V4648" t="s">
        <v>21291</v>
      </c>
      <c r="W4648" t="s">
        <v>12301</v>
      </c>
      <c r="X4648" t="s">
        <v>21294</v>
      </c>
      <c r="Y4648">
        <v>0</v>
      </c>
      <c r="Z4648">
        <v>1789</v>
      </c>
    </row>
    <row r="4649" spans="1:26">
      <c r="A4649" s="1">
        <v>4647</v>
      </c>
      <c r="B4649" t="str">
        <f>HYPERLINK("https://bugs.eclipse.org/bugs/show_bug.cgi?id=475535", "475535")</f>
        <v>475535</v>
      </c>
      <c r="C4649" t="s">
        <v>191</v>
      </c>
      <c r="D4649" t="s">
        <v>192</v>
      </c>
      <c r="E4649" t="s">
        <v>14</v>
      </c>
      <c r="F4649" t="s">
        <v>26</v>
      </c>
      <c r="T4649" t="s">
        <v>21295</v>
      </c>
      <c r="U4649" t="s">
        <v>21296</v>
      </c>
      <c r="V4649" t="s">
        <v>21296</v>
      </c>
      <c r="W4649" t="s">
        <v>65</v>
      </c>
      <c r="X4649" t="s">
        <v>21297</v>
      </c>
      <c r="Y4649">
        <v>1561.041666666667</v>
      </c>
      <c r="Z4649">
        <v>1561.041666666667</v>
      </c>
    </row>
    <row r="4650" spans="1:26">
      <c r="A4650" s="1">
        <v>4648</v>
      </c>
      <c r="B4650" t="str">
        <f>HYPERLINK("https://bugs.eclipse.org/bugs/show_bug.cgi?id=476042", "476042")</f>
        <v>476042</v>
      </c>
      <c r="C4650" t="s">
        <v>140</v>
      </c>
      <c r="D4650" t="s">
        <v>10</v>
      </c>
      <c r="E4650" t="s">
        <v>16</v>
      </c>
      <c r="F4650" t="s">
        <v>26</v>
      </c>
      <c r="L4650" t="s">
        <v>21298</v>
      </c>
      <c r="R4650" t="s">
        <v>21298</v>
      </c>
      <c r="T4650" t="s">
        <v>21299</v>
      </c>
      <c r="U4650" t="s">
        <v>21300</v>
      </c>
      <c r="V4650" t="s">
        <v>21301</v>
      </c>
      <c r="W4650" t="s">
        <v>21302</v>
      </c>
      <c r="X4650" t="s">
        <v>21303</v>
      </c>
      <c r="Y4650">
        <v>0</v>
      </c>
      <c r="Z4650">
        <v>222</v>
      </c>
    </row>
    <row r="4651" spans="1:26">
      <c r="A4651" s="1">
        <v>4649</v>
      </c>
      <c r="B4651" t="str">
        <f>HYPERLINK("https://bugs.eclipse.org/bugs/show_bug.cgi?id=476256", "476256")</f>
        <v>476256</v>
      </c>
      <c r="C4651" t="s">
        <v>191</v>
      </c>
      <c r="D4651" t="s">
        <v>192</v>
      </c>
      <c r="E4651" t="s">
        <v>14</v>
      </c>
      <c r="F4651" t="s">
        <v>26</v>
      </c>
      <c r="P4651" t="s">
        <v>21304</v>
      </c>
      <c r="T4651" t="s">
        <v>21305</v>
      </c>
      <c r="U4651" t="s">
        <v>21304</v>
      </c>
      <c r="V4651" t="s">
        <v>21304</v>
      </c>
      <c r="W4651" t="s">
        <v>65</v>
      </c>
      <c r="X4651" t="s">
        <v>21306</v>
      </c>
      <c r="Y4651">
        <v>1650.041666666667</v>
      </c>
      <c r="Z4651">
        <v>1650.041666666667</v>
      </c>
    </row>
    <row r="4652" spans="1:26">
      <c r="A4652" s="1">
        <v>4650</v>
      </c>
      <c r="B4652" t="str">
        <f>HYPERLINK("https://bugs.eclipse.org/bugs/show_bug.cgi?id=476293", "476293")</f>
        <v>476293</v>
      </c>
      <c r="C4652" t="s">
        <v>191</v>
      </c>
      <c r="D4652" t="s">
        <v>192</v>
      </c>
      <c r="E4652" t="s">
        <v>14</v>
      </c>
      <c r="F4652" t="s">
        <v>26</v>
      </c>
      <c r="T4652" t="s">
        <v>21307</v>
      </c>
      <c r="U4652" t="s">
        <v>21308</v>
      </c>
      <c r="V4652" t="s">
        <v>21308</v>
      </c>
      <c r="W4652" t="s">
        <v>65</v>
      </c>
      <c r="X4652" t="s">
        <v>21309</v>
      </c>
      <c r="Y4652">
        <v>1207.041666666667</v>
      </c>
      <c r="Z4652">
        <v>1207.041666666667</v>
      </c>
    </row>
    <row r="4653" spans="1:26">
      <c r="A4653" s="1">
        <v>4651</v>
      </c>
      <c r="B4653" t="str">
        <f>HYPERLINK("https://bugs.eclipse.org/bugs/show_bug.cgi?id=477340", "477340")</f>
        <v>477340</v>
      </c>
      <c r="C4653" t="s">
        <v>25</v>
      </c>
      <c r="D4653" t="s">
        <v>25</v>
      </c>
      <c r="F4653" t="s">
        <v>26</v>
      </c>
      <c r="G4653" t="s">
        <v>21310</v>
      </c>
      <c r="T4653" t="s">
        <v>21311</v>
      </c>
      <c r="U4653" t="s">
        <v>21312</v>
      </c>
      <c r="V4653" t="s">
        <v>21313</v>
      </c>
      <c r="W4653" t="s">
        <v>4206</v>
      </c>
      <c r="X4653" t="s">
        <v>21314</v>
      </c>
      <c r="Y4653">
        <v>0</v>
      </c>
    </row>
    <row r="4654" spans="1:26">
      <c r="A4654" s="1">
        <v>4652</v>
      </c>
      <c r="B4654" t="str">
        <f>HYPERLINK("https://bugs.eclipse.org/bugs/show_bug.cgi?id=477566", "477566")</f>
        <v>477566</v>
      </c>
      <c r="C4654" t="s">
        <v>21284</v>
      </c>
      <c r="D4654" t="s">
        <v>192</v>
      </c>
      <c r="E4654" t="s">
        <v>15</v>
      </c>
      <c r="F4654" t="s">
        <v>26</v>
      </c>
      <c r="G4654" t="s">
        <v>21315</v>
      </c>
      <c r="Q4654" t="s">
        <v>21316</v>
      </c>
      <c r="T4654" t="s">
        <v>21317</v>
      </c>
      <c r="U4654" t="s">
        <v>21316</v>
      </c>
      <c r="V4654" t="s">
        <v>21316</v>
      </c>
      <c r="W4654" t="s">
        <v>851</v>
      </c>
      <c r="X4654" t="s">
        <v>21318</v>
      </c>
      <c r="Y4654">
        <v>0</v>
      </c>
      <c r="Z4654">
        <v>0</v>
      </c>
    </row>
    <row r="4655" spans="1:26">
      <c r="A4655" s="1">
        <v>4653</v>
      </c>
      <c r="B4655" t="str">
        <f>HYPERLINK("https://bugs.eclipse.org/bugs/show_bug.cgi?id=477789", "477789")</f>
        <v>477789</v>
      </c>
      <c r="C4655" t="s">
        <v>149</v>
      </c>
      <c r="D4655" t="s">
        <v>10</v>
      </c>
      <c r="E4655" t="s">
        <v>12</v>
      </c>
      <c r="F4655" t="s">
        <v>26</v>
      </c>
      <c r="G4655" t="s">
        <v>21319</v>
      </c>
      <c r="H4655" t="s">
        <v>21320</v>
      </c>
      <c r="L4655" t="s">
        <v>21321</v>
      </c>
      <c r="N4655" t="s">
        <v>21321</v>
      </c>
      <c r="T4655" t="s">
        <v>21322</v>
      </c>
      <c r="U4655" t="s">
        <v>21323</v>
      </c>
      <c r="V4655" t="s">
        <v>21324</v>
      </c>
      <c r="W4655" t="s">
        <v>4846</v>
      </c>
      <c r="X4655" t="s">
        <v>21325</v>
      </c>
      <c r="Y4655">
        <v>0</v>
      </c>
      <c r="Z4655">
        <v>494.04166666666669</v>
      </c>
    </row>
    <row r="4656" spans="1:26">
      <c r="A4656" s="1">
        <v>4654</v>
      </c>
      <c r="B4656" t="str">
        <f>HYPERLINK("https://bugs.eclipse.org/bugs/show_bug.cgi?id=478350", "478350")</f>
        <v>478350</v>
      </c>
      <c r="C4656" t="s">
        <v>140</v>
      </c>
      <c r="D4656" t="s">
        <v>10</v>
      </c>
      <c r="E4656" t="s">
        <v>16</v>
      </c>
      <c r="F4656" t="s">
        <v>26</v>
      </c>
      <c r="L4656" t="s">
        <v>21326</v>
      </c>
      <c r="R4656" t="s">
        <v>21326</v>
      </c>
      <c r="T4656" t="s">
        <v>21327</v>
      </c>
      <c r="U4656" t="s">
        <v>21328</v>
      </c>
      <c r="V4656" t="s">
        <v>21326</v>
      </c>
      <c r="W4656" t="s">
        <v>851</v>
      </c>
      <c r="X4656" t="s">
        <v>21329</v>
      </c>
      <c r="Y4656">
        <v>0</v>
      </c>
      <c r="Z4656">
        <v>210</v>
      </c>
    </row>
    <row r="4657" spans="1:26">
      <c r="A4657" s="1">
        <v>4655</v>
      </c>
      <c r="B4657" t="str">
        <f>HYPERLINK("https://bugs.eclipse.org/bugs/show_bug.cgi?id=479017", "479017")</f>
        <v>479017</v>
      </c>
      <c r="C4657" t="s">
        <v>149</v>
      </c>
      <c r="D4657" t="s">
        <v>10</v>
      </c>
      <c r="E4657" t="s">
        <v>12</v>
      </c>
      <c r="F4657" t="s">
        <v>26</v>
      </c>
      <c r="L4657" t="s">
        <v>21330</v>
      </c>
      <c r="N4657" t="s">
        <v>21330</v>
      </c>
      <c r="T4657" t="s">
        <v>21331</v>
      </c>
      <c r="U4657" t="s">
        <v>21332</v>
      </c>
      <c r="V4657" t="s">
        <v>21333</v>
      </c>
      <c r="W4657" t="s">
        <v>65</v>
      </c>
      <c r="X4657" t="s">
        <v>21334</v>
      </c>
      <c r="Y4657">
        <v>0</v>
      </c>
      <c r="Z4657">
        <v>933</v>
      </c>
    </row>
    <row r="4658" spans="1:26">
      <c r="A4658" s="1">
        <v>4656</v>
      </c>
      <c r="B4658" t="str">
        <f>HYPERLINK("https://bugs.eclipse.org/bugs/show_bug.cgi?id=479198", "479198")</f>
        <v>479198</v>
      </c>
      <c r="C4658" t="s">
        <v>191</v>
      </c>
      <c r="D4658" t="s">
        <v>192</v>
      </c>
      <c r="E4658" t="s">
        <v>14</v>
      </c>
      <c r="F4658" t="s">
        <v>26</v>
      </c>
      <c r="T4658" t="s">
        <v>21335</v>
      </c>
      <c r="U4658" t="s">
        <v>21336</v>
      </c>
      <c r="V4658" t="s">
        <v>21337</v>
      </c>
      <c r="W4658" t="s">
        <v>65</v>
      </c>
      <c r="X4658" t="s">
        <v>21338</v>
      </c>
      <c r="Y4658">
        <v>0</v>
      </c>
      <c r="Z4658">
        <v>1424</v>
      </c>
    </row>
    <row r="4659" spans="1:26">
      <c r="A4659" s="1">
        <v>4657</v>
      </c>
      <c r="B4659" t="str">
        <f>HYPERLINK("https://bugs.eclipse.org/bugs/show_bug.cgi?id=479440", "479440")</f>
        <v>479440</v>
      </c>
      <c r="C4659" t="s">
        <v>35</v>
      </c>
      <c r="D4659" t="s">
        <v>11</v>
      </c>
      <c r="E4659" t="s">
        <v>12</v>
      </c>
      <c r="F4659" t="s">
        <v>26</v>
      </c>
      <c r="L4659" t="s">
        <v>21339</v>
      </c>
      <c r="M4659" t="s">
        <v>21340</v>
      </c>
      <c r="N4659" t="s">
        <v>21339</v>
      </c>
      <c r="T4659" t="s">
        <v>21341</v>
      </c>
      <c r="U4659" t="s">
        <v>21342</v>
      </c>
      <c r="V4659" t="s">
        <v>21340</v>
      </c>
      <c r="W4659" t="s">
        <v>143</v>
      </c>
      <c r="X4659" t="s">
        <v>21343</v>
      </c>
      <c r="Y4659">
        <v>3</v>
      </c>
      <c r="Z4659">
        <v>60.041666666666657</v>
      </c>
    </row>
    <row r="4660" spans="1:26">
      <c r="A4660" s="1">
        <v>4658</v>
      </c>
      <c r="B4660" t="str">
        <f>HYPERLINK("https://bugs.eclipse.org/bugs/show_bug.cgi?id=479559", "479559")</f>
        <v>479559</v>
      </c>
      <c r="C4660" t="s">
        <v>35</v>
      </c>
      <c r="D4660" t="s">
        <v>11</v>
      </c>
      <c r="E4660" t="s">
        <v>12</v>
      </c>
      <c r="F4660" t="s">
        <v>26</v>
      </c>
      <c r="G4660" t="s">
        <v>21344</v>
      </c>
      <c r="L4660" t="s">
        <v>21345</v>
      </c>
      <c r="M4660" t="s">
        <v>21346</v>
      </c>
      <c r="N4660" t="s">
        <v>21345</v>
      </c>
      <c r="T4660" t="s">
        <v>21347</v>
      </c>
      <c r="U4660" t="s">
        <v>21348</v>
      </c>
      <c r="V4660" t="s">
        <v>21346</v>
      </c>
      <c r="W4660" t="s">
        <v>143</v>
      </c>
      <c r="X4660" t="s">
        <v>21349</v>
      </c>
      <c r="Y4660">
        <v>22.041666666666671</v>
      </c>
      <c r="Z4660">
        <v>578</v>
      </c>
    </row>
    <row r="4661" spans="1:26">
      <c r="A4661" s="1">
        <v>4659</v>
      </c>
      <c r="B4661" t="str">
        <f>HYPERLINK("https://bugs.eclipse.org/bugs/show_bug.cgi?id=480070", "480070")</f>
        <v>480070</v>
      </c>
      <c r="C4661" t="s">
        <v>191</v>
      </c>
      <c r="D4661" t="s">
        <v>192</v>
      </c>
      <c r="E4661" t="s">
        <v>14</v>
      </c>
      <c r="F4661" t="s">
        <v>26</v>
      </c>
      <c r="P4661" t="s">
        <v>21350</v>
      </c>
      <c r="T4661" t="s">
        <v>21351</v>
      </c>
      <c r="U4661" t="s">
        <v>21352</v>
      </c>
      <c r="V4661" t="s">
        <v>21350</v>
      </c>
      <c r="W4661" t="s">
        <v>65</v>
      </c>
      <c r="X4661" t="s">
        <v>21353</v>
      </c>
      <c r="Y4661">
        <v>0</v>
      </c>
      <c r="Z4661">
        <v>1635</v>
      </c>
    </row>
    <row r="4662" spans="1:26">
      <c r="A4662" s="1">
        <v>4660</v>
      </c>
      <c r="B4662" t="str">
        <f>HYPERLINK("https://bugs.eclipse.org/bugs/show_bug.cgi?id=480071", "480071")</f>
        <v>480071</v>
      </c>
      <c r="C4662" t="s">
        <v>25</v>
      </c>
      <c r="D4662" t="s">
        <v>25</v>
      </c>
      <c r="F4662" t="s">
        <v>26</v>
      </c>
      <c r="T4662" t="s">
        <v>21354</v>
      </c>
      <c r="U4662" t="s">
        <v>21355</v>
      </c>
      <c r="V4662" t="s">
        <v>21356</v>
      </c>
      <c r="W4662" t="s">
        <v>143</v>
      </c>
      <c r="X4662" t="s">
        <v>21357</v>
      </c>
      <c r="Y4662">
        <v>0</v>
      </c>
    </row>
    <row r="4663" spans="1:26">
      <c r="A4663" s="1">
        <v>4661</v>
      </c>
      <c r="B4663" t="str">
        <f>HYPERLINK("https://bugs.eclipse.org/bugs/show_bug.cgi?id=480682", "480682")</f>
        <v>480682</v>
      </c>
      <c r="C4663" t="s">
        <v>149</v>
      </c>
      <c r="D4663" t="s">
        <v>10</v>
      </c>
      <c r="E4663" t="s">
        <v>12</v>
      </c>
      <c r="F4663" t="s">
        <v>26</v>
      </c>
      <c r="L4663" t="s">
        <v>21358</v>
      </c>
      <c r="N4663" t="s">
        <v>21358</v>
      </c>
      <c r="T4663" t="s">
        <v>21359</v>
      </c>
      <c r="U4663" t="s">
        <v>21360</v>
      </c>
      <c r="V4663" t="s">
        <v>21358</v>
      </c>
      <c r="W4663" t="s">
        <v>4846</v>
      </c>
      <c r="X4663" t="s">
        <v>21361</v>
      </c>
      <c r="Y4663">
        <v>1</v>
      </c>
      <c r="Z4663">
        <v>18.041666666666671</v>
      </c>
    </row>
    <row r="4664" spans="1:26">
      <c r="A4664" s="1">
        <v>4662</v>
      </c>
      <c r="B4664" t="str">
        <f>HYPERLINK("https://bugs.eclipse.org/bugs/show_bug.cgi?id=482077", "482077")</f>
        <v>482077</v>
      </c>
      <c r="C4664" t="s">
        <v>191</v>
      </c>
      <c r="D4664" t="s">
        <v>192</v>
      </c>
      <c r="E4664" t="s">
        <v>14</v>
      </c>
      <c r="F4664" t="s">
        <v>26</v>
      </c>
      <c r="T4664" t="s">
        <v>21362</v>
      </c>
      <c r="U4664" t="s">
        <v>21363</v>
      </c>
      <c r="V4664" t="s">
        <v>21363</v>
      </c>
      <c r="W4664" t="s">
        <v>65</v>
      </c>
      <c r="X4664" t="s">
        <v>21364</v>
      </c>
      <c r="Y4664">
        <v>1322.958333333333</v>
      </c>
      <c r="Z4664">
        <v>1322.958333333333</v>
      </c>
    </row>
    <row r="4665" spans="1:26">
      <c r="A4665" s="1">
        <v>4663</v>
      </c>
      <c r="B4665" t="str">
        <f>HYPERLINK("https://bugs.eclipse.org/bugs/show_bug.cgi?id=483566", "483566")</f>
        <v>483566</v>
      </c>
      <c r="C4665" t="s">
        <v>149</v>
      </c>
      <c r="D4665" t="s">
        <v>10</v>
      </c>
      <c r="E4665" t="s">
        <v>12</v>
      </c>
      <c r="F4665" t="s">
        <v>26</v>
      </c>
      <c r="H4665" t="s">
        <v>21365</v>
      </c>
      <c r="L4665" t="s">
        <v>21366</v>
      </c>
      <c r="N4665" t="s">
        <v>21366</v>
      </c>
      <c r="T4665" t="s">
        <v>21367</v>
      </c>
      <c r="U4665" t="s">
        <v>21368</v>
      </c>
      <c r="V4665" t="s">
        <v>21366</v>
      </c>
      <c r="W4665" t="s">
        <v>16518</v>
      </c>
      <c r="X4665" t="s">
        <v>21369</v>
      </c>
      <c r="Y4665">
        <v>0</v>
      </c>
      <c r="Z4665">
        <v>50</v>
      </c>
    </row>
    <row r="4666" spans="1:26">
      <c r="A4666" s="1">
        <v>4664</v>
      </c>
      <c r="B4666" t="str">
        <f>HYPERLINK("https://bugs.eclipse.org/bugs/show_bug.cgi?id=483606", "483606")</f>
        <v>483606</v>
      </c>
      <c r="C4666" t="s">
        <v>191</v>
      </c>
      <c r="D4666" t="s">
        <v>192</v>
      </c>
      <c r="E4666" t="s">
        <v>14</v>
      </c>
      <c r="F4666" t="s">
        <v>26</v>
      </c>
      <c r="T4666" t="s">
        <v>21370</v>
      </c>
      <c r="U4666" t="s">
        <v>21371</v>
      </c>
      <c r="V4666" t="s">
        <v>21371</v>
      </c>
      <c r="W4666" t="s">
        <v>65</v>
      </c>
      <c r="X4666" t="s">
        <v>21372</v>
      </c>
      <c r="Y4666">
        <v>1481</v>
      </c>
      <c r="Z4666">
        <v>1481</v>
      </c>
    </row>
    <row r="4667" spans="1:26">
      <c r="A4667" s="1">
        <v>4665</v>
      </c>
      <c r="B4667" t="str">
        <f>HYPERLINK("https://bugs.eclipse.org/bugs/show_bug.cgi?id=483814", "483814")</f>
        <v>483814</v>
      </c>
      <c r="C4667" t="s">
        <v>25</v>
      </c>
      <c r="D4667" t="s">
        <v>25</v>
      </c>
      <c r="F4667" t="s">
        <v>26</v>
      </c>
      <c r="T4667" t="s">
        <v>21373</v>
      </c>
      <c r="U4667" t="s">
        <v>21374</v>
      </c>
      <c r="V4667" t="s">
        <v>21375</v>
      </c>
      <c r="W4667" t="s">
        <v>65</v>
      </c>
      <c r="X4667" t="s">
        <v>21376</v>
      </c>
      <c r="Y4667">
        <v>0</v>
      </c>
    </row>
    <row r="4668" spans="1:26">
      <c r="A4668" s="1">
        <v>4666</v>
      </c>
      <c r="B4668" t="str">
        <f>HYPERLINK("https://bugs.eclipse.org/bugs/show_bug.cgi?id=483987", "483987")</f>
        <v>483987</v>
      </c>
      <c r="C4668" t="s">
        <v>191</v>
      </c>
      <c r="D4668" t="s">
        <v>192</v>
      </c>
      <c r="E4668" t="s">
        <v>14</v>
      </c>
      <c r="F4668" t="s">
        <v>26</v>
      </c>
      <c r="P4668" t="s">
        <v>21377</v>
      </c>
      <c r="T4668" t="s">
        <v>21378</v>
      </c>
      <c r="U4668" t="s">
        <v>21379</v>
      </c>
      <c r="V4668" t="s">
        <v>21377</v>
      </c>
      <c r="W4668" t="s">
        <v>65</v>
      </c>
      <c r="X4668" t="s">
        <v>21380</v>
      </c>
      <c r="Y4668">
        <v>0</v>
      </c>
      <c r="Z4668">
        <v>1598.958333333333</v>
      </c>
    </row>
    <row r="4669" spans="1:26">
      <c r="A4669" s="1">
        <v>4667</v>
      </c>
      <c r="B4669" t="str">
        <f>HYPERLINK("https://bugs.eclipse.org/bugs/show_bug.cgi?id=484727", "484727")</f>
        <v>484727</v>
      </c>
      <c r="C4669" t="s">
        <v>17</v>
      </c>
      <c r="D4669" t="s">
        <v>17</v>
      </c>
      <c r="F4669" t="s">
        <v>26</v>
      </c>
      <c r="S4669" t="s">
        <v>21381</v>
      </c>
      <c r="T4669" t="s">
        <v>21382</v>
      </c>
      <c r="U4669" t="s">
        <v>21383</v>
      </c>
      <c r="V4669" t="s">
        <v>21384</v>
      </c>
      <c r="W4669" t="s">
        <v>4816</v>
      </c>
      <c r="X4669" t="s">
        <v>21385</v>
      </c>
      <c r="Y4669">
        <v>3</v>
      </c>
    </row>
    <row r="4670" spans="1:26">
      <c r="A4670" s="1">
        <v>4668</v>
      </c>
      <c r="B4670" t="str">
        <f>HYPERLINK("https://bugs.eclipse.org/bugs/show_bug.cgi?id=484933", "484933")</f>
        <v>484933</v>
      </c>
      <c r="C4670" t="s">
        <v>140</v>
      </c>
      <c r="D4670" t="s">
        <v>10</v>
      </c>
      <c r="E4670" t="s">
        <v>16</v>
      </c>
      <c r="F4670" t="s">
        <v>26</v>
      </c>
      <c r="L4670" t="s">
        <v>21386</v>
      </c>
      <c r="R4670" t="s">
        <v>21386</v>
      </c>
      <c r="T4670" t="s">
        <v>21387</v>
      </c>
      <c r="U4670" t="s">
        <v>21388</v>
      </c>
      <c r="V4670" t="s">
        <v>21389</v>
      </c>
      <c r="W4670" t="s">
        <v>143</v>
      </c>
      <c r="X4670" t="s">
        <v>21390</v>
      </c>
      <c r="Y4670">
        <v>0</v>
      </c>
      <c r="Z4670">
        <v>1292.958333333333</v>
      </c>
    </row>
    <row r="4671" spans="1:26">
      <c r="A4671" s="1">
        <v>4669</v>
      </c>
      <c r="B4671" t="str">
        <f>HYPERLINK("https://bugs.eclipse.org/bugs/show_bug.cgi?id=486175", "486175")</f>
        <v>486175</v>
      </c>
      <c r="C4671" t="s">
        <v>35</v>
      </c>
      <c r="D4671" t="s">
        <v>11</v>
      </c>
      <c r="E4671" t="s">
        <v>12</v>
      </c>
      <c r="F4671" t="s">
        <v>26</v>
      </c>
      <c r="L4671" t="s">
        <v>21391</v>
      </c>
      <c r="M4671" t="s">
        <v>21392</v>
      </c>
      <c r="N4671" t="s">
        <v>21391</v>
      </c>
      <c r="T4671" t="s">
        <v>21393</v>
      </c>
      <c r="U4671" t="s">
        <v>21394</v>
      </c>
      <c r="V4671" t="s">
        <v>21392</v>
      </c>
      <c r="W4671" t="s">
        <v>12301</v>
      </c>
      <c r="X4671" t="s">
        <v>21395</v>
      </c>
      <c r="Y4671">
        <v>0</v>
      </c>
      <c r="Z4671">
        <v>1538.958333333333</v>
      </c>
    </row>
    <row r="4672" spans="1:26">
      <c r="A4672" s="1">
        <v>4670</v>
      </c>
      <c r="B4672" t="str">
        <f>HYPERLINK("https://bugs.eclipse.org/bugs/show_bug.cgi?id=486176", "486176")</f>
        <v>486176</v>
      </c>
      <c r="C4672" t="s">
        <v>191</v>
      </c>
      <c r="D4672" t="s">
        <v>192</v>
      </c>
      <c r="E4672" t="s">
        <v>14</v>
      </c>
      <c r="F4672" t="s">
        <v>26</v>
      </c>
      <c r="T4672" t="s">
        <v>21396</v>
      </c>
      <c r="U4672" t="s">
        <v>21397</v>
      </c>
      <c r="V4672" t="s">
        <v>21398</v>
      </c>
      <c r="W4672" t="s">
        <v>65</v>
      </c>
      <c r="X4672" t="s">
        <v>21399</v>
      </c>
      <c r="Y4672">
        <v>0</v>
      </c>
      <c r="Z4672">
        <v>1446</v>
      </c>
    </row>
    <row r="4673" spans="1:26">
      <c r="A4673" s="1">
        <v>4671</v>
      </c>
      <c r="B4673" t="str">
        <f>HYPERLINK("https://bugs.eclipse.org/bugs/show_bug.cgi?id=486440", "486440")</f>
        <v>486440</v>
      </c>
      <c r="C4673" t="s">
        <v>21400</v>
      </c>
      <c r="D4673" t="s">
        <v>192</v>
      </c>
      <c r="E4673" t="s">
        <v>15</v>
      </c>
      <c r="F4673" t="s">
        <v>26</v>
      </c>
      <c r="Q4673" t="s">
        <v>21401</v>
      </c>
      <c r="T4673" t="s">
        <v>21402</v>
      </c>
      <c r="U4673" t="s">
        <v>21403</v>
      </c>
      <c r="V4673" t="s">
        <v>21401</v>
      </c>
      <c r="W4673" t="s">
        <v>4846</v>
      </c>
      <c r="X4673" t="s">
        <v>21404</v>
      </c>
      <c r="Y4673">
        <v>0</v>
      </c>
      <c r="Z4673">
        <v>2</v>
      </c>
    </row>
    <row r="4674" spans="1:26">
      <c r="A4674" s="1">
        <v>4672</v>
      </c>
      <c r="B4674" t="str">
        <f>HYPERLINK("https://bugs.eclipse.org/bugs/show_bug.cgi?id=486692", "486692")</f>
        <v>486692</v>
      </c>
      <c r="C4674" t="s">
        <v>191</v>
      </c>
      <c r="D4674" t="s">
        <v>192</v>
      </c>
      <c r="E4674" t="s">
        <v>14</v>
      </c>
      <c r="F4674" t="s">
        <v>26</v>
      </c>
      <c r="T4674" t="s">
        <v>21405</v>
      </c>
      <c r="U4674" t="s">
        <v>21406</v>
      </c>
      <c r="V4674" t="s">
        <v>21406</v>
      </c>
      <c r="W4674" t="s">
        <v>65</v>
      </c>
      <c r="X4674" t="s">
        <v>21407</v>
      </c>
      <c r="Y4674">
        <v>968.95833333333337</v>
      </c>
      <c r="Z4674">
        <v>968.95833333333337</v>
      </c>
    </row>
    <row r="4675" spans="1:26">
      <c r="A4675" s="1">
        <v>4673</v>
      </c>
      <c r="B4675" t="str">
        <f>HYPERLINK("https://bugs.eclipse.org/bugs/show_bug.cgi?id=486693", "486693")</f>
        <v>486693</v>
      </c>
      <c r="C4675" t="s">
        <v>191</v>
      </c>
      <c r="D4675" t="s">
        <v>192</v>
      </c>
      <c r="E4675" t="s">
        <v>14</v>
      </c>
      <c r="F4675" t="s">
        <v>26</v>
      </c>
      <c r="P4675" t="s">
        <v>21408</v>
      </c>
      <c r="T4675" t="s">
        <v>21409</v>
      </c>
      <c r="U4675" t="s">
        <v>21408</v>
      </c>
      <c r="V4675" t="s">
        <v>21408</v>
      </c>
      <c r="W4675" t="s">
        <v>65</v>
      </c>
      <c r="X4675" t="s">
        <v>21410</v>
      </c>
      <c r="Y4675">
        <v>1477</v>
      </c>
      <c r="Z4675">
        <v>1477</v>
      </c>
    </row>
    <row r="4676" spans="1:26">
      <c r="A4676" s="1">
        <v>4674</v>
      </c>
      <c r="B4676" t="str">
        <f>HYPERLINK("https://bugs.eclipse.org/bugs/show_bug.cgi?id=486694", "486694")</f>
        <v>486694</v>
      </c>
      <c r="C4676" t="s">
        <v>25</v>
      </c>
      <c r="D4676" t="s">
        <v>25</v>
      </c>
      <c r="F4676" t="s">
        <v>26</v>
      </c>
      <c r="T4676" t="s">
        <v>21411</v>
      </c>
      <c r="U4676" t="s">
        <v>21412</v>
      </c>
      <c r="V4676" t="s">
        <v>21413</v>
      </c>
      <c r="W4676" t="s">
        <v>143</v>
      </c>
      <c r="X4676" t="s">
        <v>21414</v>
      </c>
      <c r="Y4676">
        <v>1126</v>
      </c>
    </row>
    <row r="4677" spans="1:26">
      <c r="A4677" s="1">
        <v>4675</v>
      </c>
      <c r="B4677" t="str">
        <f>HYPERLINK("https://bugs.eclipse.org/bugs/show_bug.cgi?id=487016", "487016")</f>
        <v>487016</v>
      </c>
      <c r="C4677" t="s">
        <v>35</v>
      </c>
      <c r="D4677" t="s">
        <v>11</v>
      </c>
      <c r="E4677" t="s">
        <v>12</v>
      </c>
      <c r="F4677" t="s">
        <v>26</v>
      </c>
      <c r="L4677" t="s">
        <v>21415</v>
      </c>
      <c r="M4677" t="s">
        <v>21416</v>
      </c>
      <c r="N4677" t="s">
        <v>21415</v>
      </c>
      <c r="T4677" t="s">
        <v>21417</v>
      </c>
      <c r="U4677" t="s">
        <v>21418</v>
      </c>
      <c r="V4677" t="s">
        <v>21416</v>
      </c>
      <c r="W4677" t="s">
        <v>5069</v>
      </c>
      <c r="X4677" t="s">
        <v>21419</v>
      </c>
      <c r="Y4677">
        <v>1</v>
      </c>
      <c r="Z4677">
        <v>1435</v>
      </c>
    </row>
    <row r="4678" spans="1:26">
      <c r="A4678" s="1">
        <v>4676</v>
      </c>
      <c r="B4678" t="str">
        <f>HYPERLINK("https://bugs.eclipse.org/bugs/show_bug.cgi?id=487278", "487278")</f>
        <v>487278</v>
      </c>
      <c r="C4678" t="s">
        <v>21420</v>
      </c>
      <c r="D4678" t="s">
        <v>192</v>
      </c>
      <c r="E4678" t="s">
        <v>15</v>
      </c>
      <c r="F4678" t="s">
        <v>26</v>
      </c>
      <c r="Q4678" t="s">
        <v>21421</v>
      </c>
      <c r="T4678" t="s">
        <v>21422</v>
      </c>
      <c r="U4678" t="s">
        <v>21423</v>
      </c>
      <c r="V4678" t="s">
        <v>21424</v>
      </c>
      <c r="W4678" t="s">
        <v>4206</v>
      </c>
      <c r="X4678" t="s">
        <v>21425</v>
      </c>
      <c r="Y4678">
        <v>0</v>
      </c>
      <c r="Z4678">
        <v>3</v>
      </c>
    </row>
    <row r="4679" spans="1:26">
      <c r="A4679" s="1">
        <v>4677</v>
      </c>
      <c r="B4679" t="str">
        <f>HYPERLINK("https://bugs.eclipse.org/bugs/show_bug.cgi?id=487664", "487664")</f>
        <v>487664</v>
      </c>
      <c r="C4679" t="s">
        <v>191</v>
      </c>
      <c r="D4679" t="s">
        <v>192</v>
      </c>
      <c r="E4679" t="s">
        <v>14</v>
      </c>
      <c r="F4679" t="s">
        <v>26</v>
      </c>
      <c r="L4679" t="s">
        <v>21426</v>
      </c>
      <c r="R4679" t="s">
        <v>21426</v>
      </c>
      <c r="S4679" t="s">
        <v>21427</v>
      </c>
      <c r="T4679" t="s">
        <v>21428</v>
      </c>
      <c r="U4679" t="s">
        <v>21429</v>
      </c>
      <c r="V4679" t="s">
        <v>21430</v>
      </c>
      <c r="W4679" t="s">
        <v>65</v>
      </c>
      <c r="X4679" t="s">
        <v>21431</v>
      </c>
      <c r="Y4679">
        <v>0</v>
      </c>
      <c r="Z4679">
        <v>1365</v>
      </c>
    </row>
    <row r="4680" spans="1:26">
      <c r="A4680" s="1">
        <v>4678</v>
      </c>
      <c r="B4680" t="str">
        <f>HYPERLINK("https://bugs.eclipse.org/bugs/show_bug.cgi?id=487790", "487790")</f>
        <v>487790</v>
      </c>
      <c r="C4680" t="s">
        <v>140</v>
      </c>
      <c r="D4680" t="s">
        <v>10</v>
      </c>
      <c r="E4680" t="s">
        <v>16</v>
      </c>
      <c r="F4680" t="s">
        <v>26</v>
      </c>
      <c r="L4680" t="s">
        <v>21432</v>
      </c>
      <c r="R4680" t="s">
        <v>21432</v>
      </c>
      <c r="T4680" t="s">
        <v>21433</v>
      </c>
      <c r="U4680" t="s">
        <v>21434</v>
      </c>
      <c r="V4680" t="s">
        <v>21432</v>
      </c>
      <c r="W4680" t="s">
        <v>143</v>
      </c>
      <c r="X4680" t="s">
        <v>21435</v>
      </c>
      <c r="Y4680">
        <v>1</v>
      </c>
      <c r="Z4680">
        <v>2</v>
      </c>
    </row>
    <row r="4681" spans="1:26">
      <c r="A4681" s="1">
        <v>4679</v>
      </c>
      <c r="B4681" t="str">
        <f>HYPERLINK("https://bugs.eclipse.org/bugs/show_bug.cgi?id=488420", "488420")</f>
        <v>488420</v>
      </c>
      <c r="C4681" t="s">
        <v>149</v>
      </c>
      <c r="D4681" t="s">
        <v>10</v>
      </c>
      <c r="E4681" t="s">
        <v>12</v>
      </c>
      <c r="F4681" t="s">
        <v>26</v>
      </c>
      <c r="L4681" t="s">
        <v>21436</v>
      </c>
      <c r="N4681" t="s">
        <v>21436</v>
      </c>
      <c r="T4681" t="s">
        <v>21437</v>
      </c>
      <c r="U4681" t="s">
        <v>21438</v>
      </c>
      <c r="V4681" t="s">
        <v>21439</v>
      </c>
      <c r="W4681" t="s">
        <v>4846</v>
      </c>
      <c r="X4681" t="s">
        <v>21440</v>
      </c>
      <c r="Y4681">
        <v>0</v>
      </c>
      <c r="Z4681">
        <v>57.958333333333343</v>
      </c>
    </row>
    <row r="4682" spans="1:26">
      <c r="A4682" s="1">
        <v>4680</v>
      </c>
      <c r="B4682" t="str">
        <f>HYPERLINK("https://bugs.eclipse.org/bugs/show_bug.cgi?id=488811", "488811")</f>
        <v>488811</v>
      </c>
      <c r="C4682" t="s">
        <v>191</v>
      </c>
      <c r="D4682" t="s">
        <v>192</v>
      </c>
      <c r="E4682" t="s">
        <v>14</v>
      </c>
      <c r="F4682" t="s">
        <v>26</v>
      </c>
      <c r="T4682" t="s">
        <v>21441</v>
      </c>
      <c r="U4682" t="s">
        <v>21442</v>
      </c>
      <c r="V4682" t="s">
        <v>21442</v>
      </c>
      <c r="W4682" t="s">
        <v>65</v>
      </c>
      <c r="X4682" t="s">
        <v>21443</v>
      </c>
      <c r="Y4682">
        <v>1361</v>
      </c>
      <c r="Z4682">
        <v>1361</v>
      </c>
    </row>
    <row r="4683" spans="1:26">
      <c r="A4683" s="1">
        <v>4681</v>
      </c>
      <c r="B4683" t="str">
        <f>HYPERLINK("https://bugs.eclipse.org/bugs/show_bug.cgi?id=488812", "488812")</f>
        <v>488812</v>
      </c>
      <c r="C4683" t="s">
        <v>191</v>
      </c>
      <c r="D4683" t="s">
        <v>192</v>
      </c>
      <c r="E4683" t="s">
        <v>14</v>
      </c>
      <c r="F4683" t="s">
        <v>26</v>
      </c>
      <c r="P4683" t="s">
        <v>21444</v>
      </c>
      <c r="T4683" t="s">
        <v>21445</v>
      </c>
      <c r="U4683" t="s">
        <v>21444</v>
      </c>
      <c r="V4683" t="s">
        <v>21444</v>
      </c>
      <c r="W4683" t="s">
        <v>65</v>
      </c>
      <c r="X4683" t="s">
        <v>21446</v>
      </c>
      <c r="Y4683">
        <v>1438</v>
      </c>
      <c r="Z4683">
        <v>1438</v>
      </c>
    </row>
    <row r="4684" spans="1:26">
      <c r="A4684" s="1">
        <v>4682</v>
      </c>
      <c r="B4684" t="str">
        <f>HYPERLINK("https://bugs.eclipse.org/bugs/show_bug.cgi?id=488813", "488813")</f>
        <v>488813</v>
      </c>
      <c r="C4684" t="s">
        <v>191</v>
      </c>
      <c r="D4684" t="s">
        <v>192</v>
      </c>
      <c r="E4684" t="s">
        <v>14</v>
      </c>
      <c r="F4684" t="s">
        <v>26</v>
      </c>
      <c r="P4684" t="s">
        <v>21447</v>
      </c>
      <c r="T4684" t="s">
        <v>21448</v>
      </c>
      <c r="U4684" t="s">
        <v>21447</v>
      </c>
      <c r="V4684" t="s">
        <v>21447</v>
      </c>
      <c r="W4684" t="s">
        <v>65</v>
      </c>
      <c r="X4684" t="s">
        <v>21449</v>
      </c>
      <c r="Y4684">
        <v>1450</v>
      </c>
      <c r="Z4684">
        <v>1450</v>
      </c>
    </row>
    <row r="4685" spans="1:26">
      <c r="A4685" s="1">
        <v>4683</v>
      </c>
      <c r="B4685" t="str">
        <f>HYPERLINK("https://bugs.eclipse.org/bugs/show_bug.cgi?id=488942", "488942")</f>
        <v>488942</v>
      </c>
      <c r="C4685" t="s">
        <v>35</v>
      </c>
      <c r="D4685" t="s">
        <v>11</v>
      </c>
      <c r="E4685" t="s">
        <v>12</v>
      </c>
      <c r="F4685" t="s">
        <v>26</v>
      </c>
      <c r="G4685" t="s">
        <v>21450</v>
      </c>
      <c r="L4685" t="s">
        <v>21451</v>
      </c>
      <c r="M4685" t="s">
        <v>21452</v>
      </c>
      <c r="N4685" t="s">
        <v>21451</v>
      </c>
      <c r="Q4685" t="s">
        <v>21453</v>
      </c>
      <c r="S4685" t="s">
        <v>21454</v>
      </c>
      <c r="T4685" t="s">
        <v>21455</v>
      </c>
      <c r="U4685" t="s">
        <v>21456</v>
      </c>
      <c r="V4685" t="s">
        <v>21452</v>
      </c>
      <c r="W4685" t="s">
        <v>9266</v>
      </c>
      <c r="X4685" t="s">
        <v>21457</v>
      </c>
      <c r="Y4685">
        <v>0</v>
      </c>
      <c r="Z4685">
        <v>1174.958333333333</v>
      </c>
    </row>
    <row r="4686" spans="1:26">
      <c r="A4686" s="1">
        <v>4684</v>
      </c>
      <c r="B4686" t="str">
        <f>HYPERLINK("https://bugs.eclipse.org/bugs/show_bug.cgi?id=490154", "490154")</f>
        <v>490154</v>
      </c>
      <c r="C4686" t="s">
        <v>191</v>
      </c>
      <c r="D4686" t="s">
        <v>192</v>
      </c>
      <c r="E4686" t="s">
        <v>14</v>
      </c>
      <c r="F4686" t="s">
        <v>26</v>
      </c>
      <c r="T4686" t="s">
        <v>21458</v>
      </c>
      <c r="U4686" t="s">
        <v>21459</v>
      </c>
      <c r="V4686" t="s">
        <v>21460</v>
      </c>
      <c r="W4686" t="s">
        <v>65</v>
      </c>
      <c r="X4686" t="s">
        <v>21461</v>
      </c>
      <c r="Y4686">
        <v>0</v>
      </c>
      <c r="Z4686">
        <v>1093</v>
      </c>
    </row>
    <row r="4687" spans="1:26">
      <c r="A4687" s="1">
        <v>4685</v>
      </c>
      <c r="B4687" t="str">
        <f>HYPERLINK("https://bugs.eclipse.org/bugs/show_bug.cgi?id=490534", "490534")</f>
        <v>490534</v>
      </c>
      <c r="C4687" t="s">
        <v>149</v>
      </c>
      <c r="D4687" t="s">
        <v>10</v>
      </c>
      <c r="E4687" t="s">
        <v>12</v>
      </c>
      <c r="F4687" t="s">
        <v>26</v>
      </c>
      <c r="L4687" t="s">
        <v>21462</v>
      </c>
      <c r="N4687" t="s">
        <v>21462</v>
      </c>
      <c r="T4687" t="s">
        <v>21463</v>
      </c>
      <c r="U4687" t="s">
        <v>21464</v>
      </c>
      <c r="V4687" t="s">
        <v>21462</v>
      </c>
      <c r="W4687" t="s">
        <v>4846</v>
      </c>
      <c r="X4687" t="s">
        <v>21465</v>
      </c>
      <c r="Y4687">
        <v>56</v>
      </c>
      <c r="Z4687">
        <v>73</v>
      </c>
    </row>
    <row r="4688" spans="1:26">
      <c r="A4688" s="1">
        <v>4686</v>
      </c>
      <c r="B4688" t="str">
        <f>HYPERLINK("https://bugs.eclipse.org/bugs/show_bug.cgi?id=490972", "490972")</f>
        <v>490972</v>
      </c>
      <c r="C4688" t="s">
        <v>191</v>
      </c>
      <c r="D4688" t="s">
        <v>192</v>
      </c>
      <c r="E4688" t="s">
        <v>14</v>
      </c>
      <c r="F4688" t="s">
        <v>26</v>
      </c>
      <c r="P4688" t="s">
        <v>21466</v>
      </c>
      <c r="T4688" t="s">
        <v>21467</v>
      </c>
      <c r="U4688" t="s">
        <v>21468</v>
      </c>
      <c r="V4688" t="s">
        <v>21466</v>
      </c>
      <c r="W4688" t="s">
        <v>65</v>
      </c>
      <c r="X4688" t="s">
        <v>21469</v>
      </c>
      <c r="Y4688">
        <v>0</v>
      </c>
      <c r="Z4688">
        <v>1432.041666666667</v>
      </c>
    </row>
    <row r="4689" spans="1:26">
      <c r="A4689" s="1">
        <v>4687</v>
      </c>
      <c r="B4689" t="str">
        <f>HYPERLINK("https://bugs.eclipse.org/bugs/show_bug.cgi?id=491071", "491071")</f>
        <v>491071</v>
      </c>
      <c r="C4689" t="s">
        <v>4692</v>
      </c>
      <c r="D4689" t="s">
        <v>4692</v>
      </c>
      <c r="F4689" t="s">
        <v>26</v>
      </c>
      <c r="T4689" t="s">
        <v>21470</v>
      </c>
      <c r="U4689" t="s">
        <v>21471</v>
      </c>
      <c r="V4689" t="s">
        <v>21471</v>
      </c>
      <c r="W4689" t="s">
        <v>65</v>
      </c>
      <c r="X4689" t="s">
        <v>21472</v>
      </c>
      <c r="Y4689">
        <v>1551</v>
      </c>
    </row>
    <row r="4690" spans="1:26">
      <c r="A4690" s="1">
        <v>4688</v>
      </c>
      <c r="B4690" t="str">
        <f>HYPERLINK("https://bugs.eclipse.org/bugs/show_bug.cgi?id=491073", "491073")</f>
        <v>491073</v>
      </c>
      <c r="C4690" t="s">
        <v>191</v>
      </c>
      <c r="D4690" t="s">
        <v>192</v>
      </c>
      <c r="E4690" t="s">
        <v>14</v>
      </c>
      <c r="F4690" t="s">
        <v>26</v>
      </c>
      <c r="T4690" t="s">
        <v>21473</v>
      </c>
      <c r="U4690" t="s">
        <v>21474</v>
      </c>
      <c r="V4690" t="s">
        <v>21474</v>
      </c>
      <c r="W4690" t="s">
        <v>65</v>
      </c>
      <c r="X4690" t="s">
        <v>21475</v>
      </c>
      <c r="Y4690">
        <v>1290</v>
      </c>
      <c r="Z4690">
        <v>1290</v>
      </c>
    </row>
    <row r="4691" spans="1:26">
      <c r="A4691" s="1">
        <v>4689</v>
      </c>
      <c r="B4691" t="str">
        <f>HYPERLINK("https://bugs.eclipse.org/bugs/show_bug.cgi?id=491075", "491075")</f>
        <v>491075</v>
      </c>
      <c r="C4691" t="s">
        <v>191</v>
      </c>
      <c r="D4691" t="s">
        <v>192</v>
      </c>
      <c r="E4691" t="s">
        <v>14</v>
      </c>
      <c r="F4691" t="s">
        <v>26</v>
      </c>
      <c r="T4691" t="s">
        <v>21476</v>
      </c>
      <c r="U4691" t="s">
        <v>21477</v>
      </c>
      <c r="V4691" t="s">
        <v>21477</v>
      </c>
      <c r="W4691" t="s">
        <v>65</v>
      </c>
      <c r="X4691" t="s">
        <v>21478</v>
      </c>
      <c r="Y4691">
        <v>1314.041666666667</v>
      </c>
      <c r="Z4691">
        <v>1314.041666666667</v>
      </c>
    </row>
    <row r="4692" spans="1:26">
      <c r="A4692" s="1">
        <v>4690</v>
      </c>
      <c r="B4692" t="str">
        <f>HYPERLINK("https://bugs.eclipse.org/bugs/show_bug.cgi?id=491076", "491076")</f>
        <v>491076</v>
      </c>
      <c r="C4692" t="s">
        <v>191</v>
      </c>
      <c r="D4692" t="s">
        <v>192</v>
      </c>
      <c r="E4692" t="s">
        <v>14</v>
      </c>
      <c r="F4692" t="s">
        <v>26</v>
      </c>
      <c r="T4692" t="s">
        <v>21479</v>
      </c>
      <c r="U4692" t="s">
        <v>21480</v>
      </c>
      <c r="V4692" t="s">
        <v>21480</v>
      </c>
      <c r="W4692" t="s">
        <v>65</v>
      </c>
      <c r="X4692" t="s">
        <v>21481</v>
      </c>
      <c r="Y4692">
        <v>1299</v>
      </c>
      <c r="Z4692">
        <v>1299</v>
      </c>
    </row>
    <row r="4693" spans="1:26">
      <c r="A4693" s="1">
        <v>4691</v>
      </c>
      <c r="B4693" t="str">
        <f>HYPERLINK("https://bugs.eclipse.org/bugs/show_bug.cgi?id=491541", "491541")</f>
        <v>491541</v>
      </c>
      <c r="C4693" t="s">
        <v>35</v>
      </c>
      <c r="D4693" t="s">
        <v>11</v>
      </c>
      <c r="E4693" t="s">
        <v>12</v>
      </c>
      <c r="F4693" t="s">
        <v>26</v>
      </c>
      <c r="L4693" t="s">
        <v>21482</v>
      </c>
      <c r="M4693" t="s">
        <v>21483</v>
      </c>
      <c r="N4693" t="s">
        <v>21482</v>
      </c>
      <c r="T4693" t="s">
        <v>21484</v>
      </c>
      <c r="U4693" t="s">
        <v>21485</v>
      </c>
      <c r="V4693" t="s">
        <v>21483</v>
      </c>
      <c r="W4693" t="s">
        <v>9266</v>
      </c>
      <c r="X4693" t="s">
        <v>21486</v>
      </c>
      <c r="Y4693">
        <v>0</v>
      </c>
      <c r="Z4693">
        <v>1317.041666666667</v>
      </c>
    </row>
    <row r="4694" spans="1:26">
      <c r="A4694" s="1">
        <v>4692</v>
      </c>
      <c r="B4694" t="str">
        <f>HYPERLINK("https://bugs.eclipse.org/bugs/show_bug.cgi?id=491700", "491700")</f>
        <v>491700</v>
      </c>
      <c r="C4694" t="s">
        <v>25</v>
      </c>
      <c r="D4694" t="s">
        <v>25</v>
      </c>
      <c r="F4694" t="s">
        <v>26</v>
      </c>
      <c r="L4694" t="s">
        <v>21487</v>
      </c>
      <c r="O4694" t="s">
        <v>21487</v>
      </c>
      <c r="S4694" t="s">
        <v>21488</v>
      </c>
      <c r="T4694" t="s">
        <v>21489</v>
      </c>
      <c r="U4694" t="s">
        <v>21490</v>
      </c>
      <c r="V4694" t="s">
        <v>21491</v>
      </c>
      <c r="W4694" t="s">
        <v>143</v>
      </c>
      <c r="X4694" t="s">
        <v>21492</v>
      </c>
      <c r="Y4694">
        <v>0</v>
      </c>
    </row>
    <row r="4695" spans="1:26">
      <c r="A4695" s="1">
        <v>4693</v>
      </c>
      <c r="B4695" t="str">
        <f>HYPERLINK("https://bugs.eclipse.org/bugs/show_bug.cgi?id=492752", "492752")</f>
        <v>492752</v>
      </c>
      <c r="C4695" t="s">
        <v>149</v>
      </c>
      <c r="D4695" t="s">
        <v>10</v>
      </c>
      <c r="E4695" t="s">
        <v>12</v>
      </c>
      <c r="F4695" t="s">
        <v>26</v>
      </c>
      <c r="L4695" t="s">
        <v>21493</v>
      </c>
      <c r="N4695" t="s">
        <v>21493</v>
      </c>
      <c r="T4695" t="s">
        <v>21494</v>
      </c>
      <c r="U4695" t="s">
        <v>21495</v>
      </c>
      <c r="V4695" t="s">
        <v>21493</v>
      </c>
      <c r="W4695" t="s">
        <v>4846</v>
      </c>
      <c r="X4695" t="s">
        <v>21496</v>
      </c>
      <c r="Y4695">
        <v>6</v>
      </c>
      <c r="Z4695">
        <v>41</v>
      </c>
    </row>
    <row r="4696" spans="1:26">
      <c r="A4696" s="1">
        <v>4694</v>
      </c>
      <c r="B4696" t="str">
        <f>HYPERLINK("https://bugs.eclipse.org/bugs/show_bug.cgi?id=492776", "492776")</f>
        <v>492776</v>
      </c>
      <c r="C4696" t="s">
        <v>191</v>
      </c>
      <c r="D4696" t="s">
        <v>192</v>
      </c>
      <c r="E4696" t="s">
        <v>14</v>
      </c>
      <c r="F4696" t="s">
        <v>26</v>
      </c>
      <c r="P4696" t="s">
        <v>21497</v>
      </c>
      <c r="T4696" t="s">
        <v>21498</v>
      </c>
      <c r="U4696" t="s">
        <v>21499</v>
      </c>
      <c r="V4696" t="s">
        <v>21497</v>
      </c>
      <c r="W4696" t="s">
        <v>65</v>
      </c>
      <c r="X4696" t="s">
        <v>21500</v>
      </c>
      <c r="Y4696">
        <v>0</v>
      </c>
      <c r="Z4696">
        <v>1416</v>
      </c>
    </row>
    <row r="4697" spans="1:26">
      <c r="A4697" s="1">
        <v>4695</v>
      </c>
      <c r="B4697" t="str">
        <f>HYPERLINK("https://bugs.eclipse.org/bugs/show_bug.cgi?id=493131", "493131")</f>
        <v>493131</v>
      </c>
      <c r="C4697" t="s">
        <v>4692</v>
      </c>
      <c r="D4697" t="s">
        <v>4692</v>
      </c>
      <c r="F4697" t="s">
        <v>26</v>
      </c>
      <c r="T4697" t="s">
        <v>21501</v>
      </c>
      <c r="U4697" t="s">
        <v>21502</v>
      </c>
      <c r="V4697" t="s">
        <v>21503</v>
      </c>
      <c r="W4697" t="s">
        <v>143</v>
      </c>
      <c r="X4697" t="s">
        <v>21504</v>
      </c>
      <c r="Y4697">
        <v>0</v>
      </c>
    </row>
    <row r="4698" spans="1:26">
      <c r="A4698" s="1">
        <v>4696</v>
      </c>
      <c r="B4698" t="str">
        <f>HYPERLINK("https://bugs.eclipse.org/bugs/show_bug.cgi?id=493212", "493212")</f>
        <v>493212</v>
      </c>
      <c r="C4698" t="s">
        <v>17</v>
      </c>
      <c r="D4698" t="s">
        <v>17</v>
      </c>
      <c r="F4698" t="s">
        <v>26</v>
      </c>
      <c r="G4698" t="s">
        <v>21505</v>
      </c>
      <c r="P4698" t="s">
        <v>21506</v>
      </c>
      <c r="S4698" t="s">
        <v>21507</v>
      </c>
      <c r="T4698" t="s">
        <v>21508</v>
      </c>
      <c r="U4698" t="s">
        <v>21509</v>
      </c>
      <c r="V4698" t="s">
        <v>21507</v>
      </c>
      <c r="W4698" t="s">
        <v>21510</v>
      </c>
      <c r="X4698" t="s">
        <v>21511</v>
      </c>
      <c r="Y4698">
        <v>2</v>
      </c>
    </row>
    <row r="4699" spans="1:26">
      <c r="A4699" s="1">
        <v>4697</v>
      </c>
      <c r="B4699" t="str">
        <f>HYPERLINK("https://bugs.eclipse.org/bugs/show_bug.cgi?id=493214", "493214")</f>
        <v>493214</v>
      </c>
      <c r="C4699" t="s">
        <v>4692</v>
      </c>
      <c r="D4699" t="s">
        <v>4692</v>
      </c>
      <c r="F4699" t="s">
        <v>26</v>
      </c>
    </row>
    <row r="4700" spans="1:26">
      <c r="A4700" s="1">
        <v>4698</v>
      </c>
      <c r="B4700" t="str">
        <f>HYPERLINK("https://bugs.eclipse.org/bugs/show_bug.cgi?id=493648", "493648")</f>
        <v>493648</v>
      </c>
      <c r="C4700" t="s">
        <v>191</v>
      </c>
      <c r="D4700" t="s">
        <v>192</v>
      </c>
      <c r="E4700" t="s">
        <v>14</v>
      </c>
      <c r="F4700" t="s">
        <v>26</v>
      </c>
      <c r="T4700" t="s">
        <v>21512</v>
      </c>
      <c r="U4700" t="s">
        <v>21513</v>
      </c>
      <c r="V4700" t="s">
        <v>21514</v>
      </c>
      <c r="W4700" t="s">
        <v>65</v>
      </c>
      <c r="X4700" t="s">
        <v>21515</v>
      </c>
      <c r="Y4700">
        <v>5</v>
      </c>
      <c r="Z4700">
        <v>1268</v>
      </c>
    </row>
    <row r="4701" spans="1:26">
      <c r="A4701" s="1">
        <v>4699</v>
      </c>
      <c r="B4701" t="str">
        <f>HYPERLINK("https://bugs.eclipse.org/bugs/show_bug.cgi?id=494856", "494856")</f>
        <v>494856</v>
      </c>
      <c r="C4701" t="s">
        <v>149</v>
      </c>
      <c r="D4701" t="s">
        <v>10</v>
      </c>
      <c r="E4701" t="s">
        <v>12</v>
      </c>
      <c r="F4701" t="s">
        <v>26</v>
      </c>
      <c r="L4701" t="s">
        <v>21516</v>
      </c>
      <c r="N4701" t="s">
        <v>21516</v>
      </c>
      <c r="S4701" t="s">
        <v>21517</v>
      </c>
      <c r="T4701" t="s">
        <v>21518</v>
      </c>
      <c r="U4701" t="s">
        <v>21519</v>
      </c>
      <c r="V4701" t="s">
        <v>21516</v>
      </c>
      <c r="W4701" t="s">
        <v>16518</v>
      </c>
      <c r="X4701" t="s">
        <v>21520</v>
      </c>
      <c r="Y4701">
        <v>0</v>
      </c>
      <c r="Z4701">
        <v>35</v>
      </c>
    </row>
    <row r="4702" spans="1:26">
      <c r="A4702" s="1">
        <v>4700</v>
      </c>
      <c r="B4702" t="str">
        <f>HYPERLINK("https://bugs.eclipse.org/bugs/show_bug.cgi?id=495342", "495342")</f>
        <v>495342</v>
      </c>
      <c r="C4702" t="s">
        <v>4692</v>
      </c>
      <c r="D4702" t="s">
        <v>4692</v>
      </c>
      <c r="F4702" t="s">
        <v>26</v>
      </c>
      <c r="T4702" t="s">
        <v>21521</v>
      </c>
      <c r="U4702" t="s">
        <v>21522</v>
      </c>
      <c r="V4702" t="s">
        <v>21523</v>
      </c>
      <c r="W4702" t="s">
        <v>21524</v>
      </c>
      <c r="X4702" t="s">
        <v>21525</v>
      </c>
      <c r="Y4702">
        <v>1</v>
      </c>
    </row>
    <row r="4703" spans="1:26">
      <c r="A4703" s="1">
        <v>4701</v>
      </c>
      <c r="B4703" t="str">
        <f>HYPERLINK("https://bugs.eclipse.org/bugs/show_bug.cgi?id=495348", "495348")</f>
        <v>495348</v>
      </c>
      <c r="C4703" t="s">
        <v>191</v>
      </c>
      <c r="D4703" t="s">
        <v>192</v>
      </c>
      <c r="E4703" t="s">
        <v>14</v>
      </c>
      <c r="F4703" t="s">
        <v>26</v>
      </c>
      <c r="P4703" t="s">
        <v>21526</v>
      </c>
      <c r="T4703" t="s">
        <v>21527</v>
      </c>
      <c r="U4703" t="s">
        <v>21528</v>
      </c>
      <c r="V4703" t="s">
        <v>21526</v>
      </c>
      <c r="W4703" t="s">
        <v>65</v>
      </c>
      <c r="X4703" t="s">
        <v>21529</v>
      </c>
      <c r="Y4703">
        <v>1</v>
      </c>
      <c r="Z4703">
        <v>1410</v>
      </c>
    </row>
    <row r="4704" spans="1:26">
      <c r="A4704" s="1">
        <v>4702</v>
      </c>
      <c r="B4704" t="str">
        <f>HYPERLINK("https://bugs.eclipse.org/bugs/show_bug.cgi?id=495369", "495369")</f>
        <v>495369</v>
      </c>
      <c r="C4704" t="s">
        <v>25</v>
      </c>
      <c r="D4704" t="s">
        <v>25</v>
      </c>
      <c r="F4704" t="s">
        <v>26</v>
      </c>
      <c r="G4704" t="s">
        <v>21530</v>
      </c>
      <c r="H4704" t="s">
        <v>21531</v>
      </c>
      <c r="T4704" t="s">
        <v>21532</v>
      </c>
      <c r="U4704" t="s">
        <v>21533</v>
      </c>
      <c r="V4704" t="s">
        <v>21534</v>
      </c>
      <c r="W4704" t="s">
        <v>4846</v>
      </c>
      <c r="X4704" t="s">
        <v>21535</v>
      </c>
      <c r="Y4704">
        <v>0</v>
      </c>
    </row>
    <row r="4705" spans="1:26">
      <c r="A4705" s="1">
        <v>4703</v>
      </c>
      <c r="B4705" t="str">
        <f>HYPERLINK("https://bugs.eclipse.org/bugs/show_bug.cgi?id=495874", "495874")</f>
        <v>495874</v>
      </c>
      <c r="C4705" t="s">
        <v>191</v>
      </c>
      <c r="D4705" t="s">
        <v>192</v>
      </c>
      <c r="E4705" t="s">
        <v>14</v>
      </c>
      <c r="F4705" t="s">
        <v>26</v>
      </c>
      <c r="T4705" t="s">
        <v>21536</v>
      </c>
      <c r="U4705" t="s">
        <v>21537</v>
      </c>
      <c r="V4705" t="s">
        <v>21537</v>
      </c>
      <c r="W4705" t="s">
        <v>65</v>
      </c>
      <c r="X4705" t="s">
        <v>21538</v>
      </c>
      <c r="Y4705">
        <v>1282.041666666667</v>
      </c>
      <c r="Z4705">
        <v>1282.041666666667</v>
      </c>
    </row>
    <row r="4706" spans="1:26">
      <c r="A4706" s="1">
        <v>4704</v>
      </c>
      <c r="B4706" t="str">
        <f>HYPERLINK("https://bugs.eclipse.org/bugs/show_bug.cgi?id=495877", "495877")</f>
        <v>495877</v>
      </c>
      <c r="C4706" t="s">
        <v>191</v>
      </c>
      <c r="D4706" t="s">
        <v>192</v>
      </c>
      <c r="E4706" t="s">
        <v>14</v>
      </c>
      <c r="F4706" t="s">
        <v>26</v>
      </c>
      <c r="P4706" t="s">
        <v>21539</v>
      </c>
      <c r="T4706" t="s">
        <v>21540</v>
      </c>
      <c r="U4706" t="s">
        <v>21539</v>
      </c>
      <c r="V4706" t="s">
        <v>21539</v>
      </c>
      <c r="W4706" t="s">
        <v>65</v>
      </c>
      <c r="X4706" t="s">
        <v>21541</v>
      </c>
      <c r="Y4706">
        <v>1336.041666666667</v>
      </c>
      <c r="Z4706">
        <v>1336.041666666667</v>
      </c>
    </row>
    <row r="4707" spans="1:26">
      <c r="A4707" s="1">
        <v>4705</v>
      </c>
      <c r="B4707" t="str">
        <f>HYPERLINK("https://bugs.eclipse.org/bugs/show_bug.cgi?id=495902", "495902")</f>
        <v>495902</v>
      </c>
      <c r="C4707" t="s">
        <v>191</v>
      </c>
      <c r="D4707" t="s">
        <v>192</v>
      </c>
      <c r="E4707" t="s">
        <v>14</v>
      </c>
      <c r="F4707" t="s">
        <v>26</v>
      </c>
      <c r="P4707" t="s">
        <v>21542</v>
      </c>
      <c r="T4707" t="s">
        <v>21543</v>
      </c>
      <c r="U4707" t="s">
        <v>21544</v>
      </c>
      <c r="V4707" t="s">
        <v>21542</v>
      </c>
      <c r="W4707" t="s">
        <v>65</v>
      </c>
      <c r="X4707" t="s">
        <v>21545</v>
      </c>
      <c r="Y4707">
        <v>0</v>
      </c>
      <c r="Z4707">
        <v>1328.041666666667</v>
      </c>
    </row>
    <row r="4708" spans="1:26">
      <c r="A4708" s="1">
        <v>4706</v>
      </c>
      <c r="B4708" t="str">
        <f>HYPERLINK("https://bugs.eclipse.org/bugs/show_bug.cgi?id=495903", "495903")</f>
        <v>495903</v>
      </c>
      <c r="C4708" t="s">
        <v>25</v>
      </c>
      <c r="D4708" t="s">
        <v>25</v>
      </c>
      <c r="F4708" t="s">
        <v>26</v>
      </c>
      <c r="L4708" t="s">
        <v>21546</v>
      </c>
      <c r="O4708" t="s">
        <v>21546</v>
      </c>
      <c r="R4708" t="s">
        <v>21547</v>
      </c>
      <c r="S4708" t="s">
        <v>21548</v>
      </c>
      <c r="T4708" t="s">
        <v>21549</v>
      </c>
      <c r="U4708" t="s">
        <v>21550</v>
      </c>
      <c r="V4708" t="s">
        <v>21551</v>
      </c>
      <c r="W4708" t="s">
        <v>65</v>
      </c>
      <c r="X4708" t="s">
        <v>21552</v>
      </c>
      <c r="Y4708">
        <v>0</v>
      </c>
    </row>
    <row r="4709" spans="1:26">
      <c r="A4709" s="1">
        <v>4707</v>
      </c>
      <c r="B4709" t="str">
        <f>HYPERLINK("https://bugs.eclipse.org/bugs/show_bug.cgi?id=497144", "497144")</f>
        <v>497144</v>
      </c>
      <c r="C4709" t="s">
        <v>149</v>
      </c>
      <c r="D4709" t="s">
        <v>10</v>
      </c>
      <c r="E4709" t="s">
        <v>12</v>
      </c>
      <c r="F4709" t="s">
        <v>26</v>
      </c>
      <c r="L4709" t="s">
        <v>21553</v>
      </c>
      <c r="N4709" t="s">
        <v>21553</v>
      </c>
      <c r="T4709" t="s">
        <v>21554</v>
      </c>
      <c r="U4709" t="s">
        <v>21555</v>
      </c>
      <c r="V4709" t="s">
        <v>21553</v>
      </c>
      <c r="W4709" t="s">
        <v>4846</v>
      </c>
      <c r="X4709" t="s">
        <v>21556</v>
      </c>
      <c r="Y4709">
        <v>167.04166666666671</v>
      </c>
      <c r="Z4709">
        <v>167.04166666666671</v>
      </c>
    </row>
    <row r="4710" spans="1:26">
      <c r="A4710" s="1">
        <v>4708</v>
      </c>
      <c r="B4710" t="str">
        <f>HYPERLINK("https://bugs.eclipse.org/bugs/show_bug.cgi?id=497199", "497199")</f>
        <v>497199</v>
      </c>
      <c r="C4710" t="s">
        <v>21557</v>
      </c>
      <c r="D4710" t="s">
        <v>192</v>
      </c>
      <c r="E4710" t="s">
        <v>15</v>
      </c>
      <c r="F4710" t="s">
        <v>26</v>
      </c>
      <c r="Q4710" t="s">
        <v>21558</v>
      </c>
      <c r="T4710" t="s">
        <v>21559</v>
      </c>
      <c r="U4710" t="s">
        <v>21560</v>
      </c>
      <c r="V4710" t="s">
        <v>21558</v>
      </c>
      <c r="W4710" t="s">
        <v>4846</v>
      </c>
      <c r="X4710" t="s">
        <v>21561</v>
      </c>
      <c r="Y4710">
        <v>0</v>
      </c>
      <c r="Z4710">
        <v>439</v>
      </c>
    </row>
    <row r="4711" spans="1:26">
      <c r="A4711" s="1">
        <v>4709</v>
      </c>
      <c r="B4711" t="str">
        <f>HYPERLINK("https://bugs.eclipse.org/bugs/show_bug.cgi?id=497312", "497312")</f>
        <v>497312</v>
      </c>
      <c r="C4711" t="s">
        <v>4692</v>
      </c>
      <c r="D4711" t="s">
        <v>4692</v>
      </c>
      <c r="F4711" t="s">
        <v>26</v>
      </c>
      <c r="T4711" t="s">
        <v>21562</v>
      </c>
      <c r="U4711" t="s">
        <v>21563</v>
      </c>
      <c r="V4711" t="s">
        <v>21564</v>
      </c>
      <c r="W4711" t="s">
        <v>12867</v>
      </c>
      <c r="X4711" t="s">
        <v>21565</v>
      </c>
      <c r="Y4711">
        <v>0</v>
      </c>
    </row>
    <row r="4712" spans="1:26">
      <c r="A4712" s="1">
        <v>4710</v>
      </c>
      <c r="B4712" t="str">
        <f>HYPERLINK("https://bugs.eclipse.org/bugs/show_bug.cgi?id=497368", "497368")</f>
        <v>497368</v>
      </c>
      <c r="C4712" t="s">
        <v>149</v>
      </c>
      <c r="D4712" t="s">
        <v>10</v>
      </c>
      <c r="E4712" t="s">
        <v>12</v>
      </c>
      <c r="F4712" t="s">
        <v>26</v>
      </c>
      <c r="G4712" t="s">
        <v>21566</v>
      </c>
      <c r="L4712" t="s">
        <v>21567</v>
      </c>
      <c r="N4712" t="s">
        <v>21567</v>
      </c>
      <c r="T4712" t="s">
        <v>21568</v>
      </c>
      <c r="U4712" t="s">
        <v>21569</v>
      </c>
      <c r="V4712" t="s">
        <v>21570</v>
      </c>
      <c r="W4712" t="s">
        <v>4846</v>
      </c>
      <c r="X4712" t="s">
        <v>21571</v>
      </c>
      <c r="Y4712">
        <v>7</v>
      </c>
      <c r="Z4712">
        <v>12</v>
      </c>
    </row>
    <row r="4713" spans="1:26">
      <c r="A4713" s="1">
        <v>4711</v>
      </c>
      <c r="B4713" t="str">
        <f>HYPERLINK("https://bugs.eclipse.org/bugs/show_bug.cgi?id=499304", "499304")</f>
        <v>499304</v>
      </c>
      <c r="C4713" t="s">
        <v>191</v>
      </c>
      <c r="D4713" t="s">
        <v>192</v>
      </c>
      <c r="E4713" t="s">
        <v>14</v>
      </c>
      <c r="F4713" t="s">
        <v>26</v>
      </c>
      <c r="P4713" t="s">
        <v>21572</v>
      </c>
      <c r="T4713" t="s">
        <v>21573</v>
      </c>
      <c r="U4713" t="s">
        <v>21572</v>
      </c>
      <c r="V4713" t="s">
        <v>21572</v>
      </c>
      <c r="W4713" t="s">
        <v>65</v>
      </c>
      <c r="X4713" t="s">
        <v>21574</v>
      </c>
      <c r="Y4713">
        <v>1274.041666666667</v>
      </c>
      <c r="Z4713">
        <v>1274.041666666667</v>
      </c>
    </row>
    <row r="4714" spans="1:26">
      <c r="A4714" s="1">
        <v>4712</v>
      </c>
      <c r="B4714" t="str">
        <f>HYPERLINK("https://bugs.eclipse.org/bugs/show_bug.cgi?id=499305", "499305")</f>
        <v>499305</v>
      </c>
      <c r="C4714" t="s">
        <v>191</v>
      </c>
      <c r="D4714" t="s">
        <v>192</v>
      </c>
      <c r="E4714" t="s">
        <v>14</v>
      </c>
      <c r="F4714" t="s">
        <v>26</v>
      </c>
      <c r="P4714" t="s">
        <v>21575</v>
      </c>
      <c r="T4714" t="s">
        <v>21576</v>
      </c>
      <c r="U4714" t="s">
        <v>21575</v>
      </c>
      <c r="V4714" t="s">
        <v>21575</v>
      </c>
      <c r="W4714" t="s">
        <v>65</v>
      </c>
      <c r="X4714" t="s">
        <v>21577</v>
      </c>
      <c r="Y4714">
        <v>1311</v>
      </c>
      <c r="Z4714">
        <v>1311</v>
      </c>
    </row>
    <row r="4715" spans="1:26">
      <c r="A4715" s="1">
        <v>4713</v>
      </c>
      <c r="B4715" t="str">
        <f>HYPERLINK("https://bugs.eclipse.org/bugs/show_bug.cgi?id=499306", "499306")</f>
        <v>499306</v>
      </c>
      <c r="C4715" t="s">
        <v>191</v>
      </c>
      <c r="D4715" t="s">
        <v>192</v>
      </c>
      <c r="E4715" t="s">
        <v>14</v>
      </c>
      <c r="F4715" t="s">
        <v>26</v>
      </c>
      <c r="T4715" t="s">
        <v>21578</v>
      </c>
      <c r="U4715" t="s">
        <v>21579</v>
      </c>
      <c r="V4715" t="s">
        <v>21579</v>
      </c>
      <c r="W4715" t="s">
        <v>65</v>
      </c>
      <c r="X4715" t="s">
        <v>21580</v>
      </c>
      <c r="Y4715">
        <v>1220.041666666667</v>
      </c>
      <c r="Z4715">
        <v>1220.041666666667</v>
      </c>
    </row>
    <row r="4716" spans="1:26">
      <c r="A4716" s="1">
        <v>4714</v>
      </c>
      <c r="B4716" t="str">
        <f>HYPERLINK("https://bugs.eclipse.org/bugs/show_bug.cgi?id=499307", "499307")</f>
        <v>499307</v>
      </c>
      <c r="C4716" t="s">
        <v>191</v>
      </c>
      <c r="D4716" t="s">
        <v>192</v>
      </c>
      <c r="E4716" t="s">
        <v>14</v>
      </c>
      <c r="F4716" t="s">
        <v>26</v>
      </c>
      <c r="T4716" t="s">
        <v>21581</v>
      </c>
      <c r="U4716" t="s">
        <v>21582</v>
      </c>
      <c r="V4716" t="s">
        <v>21582</v>
      </c>
      <c r="W4716" t="s">
        <v>65</v>
      </c>
      <c r="X4716" t="s">
        <v>21583</v>
      </c>
      <c r="Y4716">
        <v>1175</v>
      </c>
      <c r="Z4716">
        <v>1175</v>
      </c>
    </row>
    <row r="4717" spans="1:26">
      <c r="A4717" s="1">
        <v>4715</v>
      </c>
      <c r="B4717" t="str">
        <f>HYPERLINK("https://bugs.eclipse.org/bugs/show_bug.cgi?id=499311", "499311")</f>
        <v>499311</v>
      </c>
      <c r="C4717" t="s">
        <v>191</v>
      </c>
      <c r="D4717" t="s">
        <v>192</v>
      </c>
      <c r="E4717" t="s">
        <v>14</v>
      </c>
      <c r="F4717" t="s">
        <v>26</v>
      </c>
      <c r="P4717" t="s">
        <v>21584</v>
      </c>
      <c r="T4717" t="s">
        <v>21585</v>
      </c>
      <c r="U4717" t="s">
        <v>21584</v>
      </c>
      <c r="V4717" t="s">
        <v>21584</v>
      </c>
      <c r="W4717" t="s">
        <v>65</v>
      </c>
      <c r="X4717" t="s">
        <v>21586</v>
      </c>
      <c r="Y4717">
        <v>1366</v>
      </c>
      <c r="Z4717">
        <v>1366</v>
      </c>
    </row>
    <row r="4718" spans="1:26">
      <c r="A4718" s="1">
        <v>4716</v>
      </c>
      <c r="B4718" t="str">
        <f>HYPERLINK("https://bugs.eclipse.org/bugs/show_bug.cgi?id=499312", "499312")</f>
        <v>499312</v>
      </c>
      <c r="C4718" t="s">
        <v>191</v>
      </c>
      <c r="D4718" t="s">
        <v>192</v>
      </c>
      <c r="E4718" t="s">
        <v>14</v>
      </c>
      <c r="F4718" t="s">
        <v>26</v>
      </c>
      <c r="P4718" t="s">
        <v>21587</v>
      </c>
      <c r="T4718" t="s">
        <v>21588</v>
      </c>
      <c r="U4718" t="s">
        <v>21587</v>
      </c>
      <c r="V4718" t="s">
        <v>21587</v>
      </c>
      <c r="W4718" t="s">
        <v>65</v>
      </c>
      <c r="X4718" t="s">
        <v>21589</v>
      </c>
      <c r="Y4718">
        <v>1346</v>
      </c>
      <c r="Z4718">
        <v>1346</v>
      </c>
    </row>
    <row r="4719" spans="1:26">
      <c r="A4719" s="1">
        <v>4717</v>
      </c>
      <c r="B4719" t="str">
        <f>HYPERLINK("https://bugs.eclipse.org/bugs/show_bug.cgi?id=499313", "499313")</f>
        <v>499313</v>
      </c>
      <c r="C4719" t="s">
        <v>191</v>
      </c>
      <c r="D4719" t="s">
        <v>192</v>
      </c>
      <c r="E4719" t="s">
        <v>14</v>
      </c>
      <c r="F4719" t="s">
        <v>26</v>
      </c>
      <c r="P4719" t="s">
        <v>21590</v>
      </c>
      <c r="T4719" t="s">
        <v>21591</v>
      </c>
      <c r="U4719" t="s">
        <v>21590</v>
      </c>
      <c r="V4719" t="s">
        <v>21590</v>
      </c>
      <c r="W4719" t="s">
        <v>65</v>
      </c>
      <c r="X4719" t="s">
        <v>21592</v>
      </c>
      <c r="Y4719">
        <v>1331</v>
      </c>
      <c r="Z4719">
        <v>1331</v>
      </c>
    </row>
    <row r="4720" spans="1:26">
      <c r="A4720" s="1">
        <v>4718</v>
      </c>
      <c r="B4720" t="str">
        <f>HYPERLINK("https://bugs.eclipse.org/bugs/show_bug.cgi?id=499314", "499314")</f>
        <v>499314</v>
      </c>
      <c r="C4720" t="s">
        <v>140</v>
      </c>
      <c r="D4720" t="s">
        <v>10</v>
      </c>
      <c r="E4720" t="s">
        <v>16</v>
      </c>
      <c r="F4720" t="s">
        <v>26</v>
      </c>
      <c r="L4720" t="s">
        <v>21593</v>
      </c>
      <c r="R4720" t="s">
        <v>21593</v>
      </c>
      <c r="T4720" t="s">
        <v>21594</v>
      </c>
      <c r="U4720" t="s">
        <v>21595</v>
      </c>
      <c r="V4720" t="s">
        <v>21593</v>
      </c>
      <c r="W4720" t="s">
        <v>143</v>
      </c>
      <c r="X4720" t="s">
        <v>21596</v>
      </c>
      <c r="Y4720">
        <v>976</v>
      </c>
      <c r="Z4720">
        <v>977</v>
      </c>
    </row>
    <row r="4721" spans="1:26">
      <c r="A4721" s="1">
        <v>4719</v>
      </c>
      <c r="B4721" t="str">
        <f>HYPERLINK("https://bugs.eclipse.org/bugs/show_bug.cgi?id=499315", "499315")</f>
        <v>499315</v>
      </c>
      <c r="C4721" t="s">
        <v>191</v>
      </c>
      <c r="D4721" t="s">
        <v>192</v>
      </c>
      <c r="E4721" t="s">
        <v>14</v>
      </c>
      <c r="F4721" t="s">
        <v>26</v>
      </c>
      <c r="T4721" t="s">
        <v>21597</v>
      </c>
      <c r="U4721" t="s">
        <v>21598</v>
      </c>
      <c r="V4721" t="s">
        <v>21598</v>
      </c>
      <c r="W4721" t="s">
        <v>65</v>
      </c>
      <c r="X4721" t="s">
        <v>21599</v>
      </c>
      <c r="Y4721">
        <v>1188.041666666667</v>
      </c>
      <c r="Z4721">
        <v>1188.041666666667</v>
      </c>
    </row>
    <row r="4722" spans="1:26">
      <c r="A4722" s="1">
        <v>4720</v>
      </c>
      <c r="B4722" t="str">
        <f>HYPERLINK("https://bugs.eclipse.org/bugs/show_bug.cgi?id=499316", "499316")</f>
        <v>499316</v>
      </c>
      <c r="C4722" t="s">
        <v>191</v>
      </c>
      <c r="D4722" t="s">
        <v>192</v>
      </c>
      <c r="E4722" t="s">
        <v>14</v>
      </c>
      <c r="F4722" t="s">
        <v>26</v>
      </c>
      <c r="T4722" t="s">
        <v>21600</v>
      </c>
      <c r="U4722" t="s">
        <v>21601</v>
      </c>
      <c r="V4722" t="s">
        <v>21601</v>
      </c>
      <c r="W4722" t="s">
        <v>65</v>
      </c>
      <c r="X4722" t="s">
        <v>21602</v>
      </c>
      <c r="Y4722">
        <v>1225.041666666667</v>
      </c>
      <c r="Z4722">
        <v>1225.041666666667</v>
      </c>
    </row>
    <row r="4723" spans="1:26">
      <c r="A4723" s="1">
        <v>4721</v>
      </c>
      <c r="B4723" t="str">
        <f>HYPERLINK("https://bugs.eclipse.org/bugs/show_bug.cgi?id=499317", "499317")</f>
        <v>499317</v>
      </c>
      <c r="C4723" t="s">
        <v>191</v>
      </c>
      <c r="D4723" t="s">
        <v>192</v>
      </c>
      <c r="E4723" t="s">
        <v>14</v>
      </c>
      <c r="F4723" t="s">
        <v>26</v>
      </c>
      <c r="P4723" t="s">
        <v>21603</v>
      </c>
      <c r="T4723" t="s">
        <v>21604</v>
      </c>
      <c r="U4723" t="s">
        <v>21603</v>
      </c>
      <c r="V4723" t="s">
        <v>21603</v>
      </c>
      <c r="W4723" t="s">
        <v>65</v>
      </c>
      <c r="X4723" t="s">
        <v>21605</v>
      </c>
      <c r="Y4723">
        <v>1378</v>
      </c>
      <c r="Z4723">
        <v>1378</v>
      </c>
    </row>
    <row r="4724" spans="1:26">
      <c r="A4724" s="1">
        <v>4722</v>
      </c>
      <c r="B4724" t="str">
        <f>HYPERLINK("https://bugs.eclipse.org/bugs/show_bug.cgi?id=499318", "499318")</f>
        <v>499318</v>
      </c>
      <c r="C4724" t="s">
        <v>191</v>
      </c>
      <c r="D4724" t="s">
        <v>192</v>
      </c>
      <c r="E4724" t="s">
        <v>14</v>
      </c>
      <c r="F4724" t="s">
        <v>26</v>
      </c>
      <c r="T4724" t="s">
        <v>21606</v>
      </c>
      <c r="U4724" t="s">
        <v>21607</v>
      </c>
      <c r="V4724" t="s">
        <v>21608</v>
      </c>
      <c r="W4724" t="s">
        <v>143</v>
      </c>
      <c r="X4724" t="s">
        <v>21609</v>
      </c>
      <c r="Y4724">
        <v>860.04166666666663</v>
      </c>
      <c r="Z4724">
        <v>862.04166666666663</v>
      </c>
    </row>
    <row r="4725" spans="1:26">
      <c r="A4725" s="1">
        <v>4723</v>
      </c>
      <c r="B4725" t="str">
        <f>HYPERLINK("https://bugs.eclipse.org/bugs/show_bug.cgi?id=499319", "499319")</f>
        <v>499319</v>
      </c>
      <c r="C4725" t="s">
        <v>140</v>
      </c>
      <c r="D4725" t="s">
        <v>10</v>
      </c>
      <c r="E4725" t="s">
        <v>16</v>
      </c>
      <c r="F4725" t="s">
        <v>26</v>
      </c>
      <c r="L4725" t="s">
        <v>21610</v>
      </c>
      <c r="R4725" t="s">
        <v>21610</v>
      </c>
      <c r="T4725" t="s">
        <v>21611</v>
      </c>
      <c r="U4725" t="s">
        <v>21612</v>
      </c>
      <c r="V4725" t="s">
        <v>21610</v>
      </c>
      <c r="W4725" t="s">
        <v>143</v>
      </c>
      <c r="X4725" t="s">
        <v>21613</v>
      </c>
      <c r="Y4725">
        <v>858.04166666666663</v>
      </c>
      <c r="Z4725">
        <v>859.04166666666663</v>
      </c>
    </row>
    <row r="4726" spans="1:26">
      <c r="A4726" s="1">
        <v>4724</v>
      </c>
      <c r="B4726" t="str">
        <f>HYPERLINK("https://bugs.eclipse.org/bugs/show_bug.cgi?id=499320", "499320")</f>
        <v>499320</v>
      </c>
      <c r="C4726" t="s">
        <v>191</v>
      </c>
      <c r="D4726" t="s">
        <v>192</v>
      </c>
      <c r="E4726" t="s">
        <v>14</v>
      </c>
      <c r="F4726" t="s">
        <v>26</v>
      </c>
      <c r="P4726" t="s">
        <v>21614</v>
      </c>
      <c r="T4726" t="s">
        <v>21615</v>
      </c>
      <c r="U4726" t="s">
        <v>21614</v>
      </c>
      <c r="V4726" t="s">
        <v>21614</v>
      </c>
      <c r="W4726" t="s">
        <v>65</v>
      </c>
      <c r="X4726" t="s">
        <v>21616</v>
      </c>
      <c r="Y4726">
        <v>1356</v>
      </c>
      <c r="Z4726">
        <v>1356</v>
      </c>
    </row>
    <row r="4727" spans="1:26">
      <c r="A4727" s="1">
        <v>4725</v>
      </c>
      <c r="B4727" t="str">
        <f>HYPERLINK("https://bugs.eclipse.org/bugs/show_bug.cgi?id=499639", "499639")</f>
        <v>499639</v>
      </c>
      <c r="C4727" t="s">
        <v>140</v>
      </c>
      <c r="D4727" t="s">
        <v>10</v>
      </c>
      <c r="E4727" t="s">
        <v>16</v>
      </c>
      <c r="F4727" t="s">
        <v>26</v>
      </c>
      <c r="L4727" t="s">
        <v>21617</v>
      </c>
      <c r="R4727" t="s">
        <v>21617</v>
      </c>
      <c r="T4727" t="s">
        <v>21618</v>
      </c>
      <c r="U4727" t="s">
        <v>21619</v>
      </c>
      <c r="V4727" t="s">
        <v>21617</v>
      </c>
      <c r="W4727" t="s">
        <v>143</v>
      </c>
      <c r="X4727" t="s">
        <v>21620</v>
      </c>
      <c r="Y4727">
        <v>0</v>
      </c>
      <c r="Z4727">
        <v>1221.041666666667</v>
      </c>
    </row>
    <row r="4728" spans="1:26">
      <c r="A4728" s="1">
        <v>4726</v>
      </c>
      <c r="B4728" t="str">
        <f>HYPERLINK("https://bugs.eclipse.org/bugs/show_bug.cgi?id=499716", "499716")</f>
        <v>499716</v>
      </c>
      <c r="C4728" t="s">
        <v>149</v>
      </c>
      <c r="D4728" t="s">
        <v>10</v>
      </c>
      <c r="E4728" t="s">
        <v>12</v>
      </c>
      <c r="F4728" t="s">
        <v>26</v>
      </c>
      <c r="G4728" t="s">
        <v>21621</v>
      </c>
      <c r="L4728" t="s">
        <v>21622</v>
      </c>
      <c r="N4728" t="s">
        <v>21622</v>
      </c>
      <c r="T4728" t="s">
        <v>21623</v>
      </c>
      <c r="U4728" t="s">
        <v>21624</v>
      </c>
      <c r="V4728" t="s">
        <v>21622</v>
      </c>
      <c r="W4728" t="s">
        <v>16518</v>
      </c>
      <c r="X4728" t="s">
        <v>21625</v>
      </c>
      <c r="Y4728">
        <v>0</v>
      </c>
      <c r="Z4728">
        <v>158.04166666666671</v>
      </c>
    </row>
    <row r="4729" spans="1:26">
      <c r="A4729" s="1">
        <v>4727</v>
      </c>
      <c r="B4729" t="str">
        <f>HYPERLINK("https://bugs.eclipse.org/bugs/show_bug.cgi?id=499863", "499863")</f>
        <v>499863</v>
      </c>
      <c r="C4729" t="s">
        <v>25</v>
      </c>
      <c r="D4729" t="s">
        <v>25</v>
      </c>
      <c r="F4729" t="s">
        <v>26</v>
      </c>
      <c r="G4729" t="s">
        <v>21626</v>
      </c>
      <c r="H4729" t="s">
        <v>21627</v>
      </c>
      <c r="T4729" t="s">
        <v>21628</v>
      </c>
      <c r="U4729" t="s">
        <v>21629</v>
      </c>
      <c r="V4729" t="s">
        <v>21630</v>
      </c>
      <c r="W4729" t="s">
        <v>65</v>
      </c>
      <c r="X4729" t="s">
        <v>21631</v>
      </c>
      <c r="Y4729">
        <v>0</v>
      </c>
    </row>
    <row r="4730" spans="1:26">
      <c r="A4730" s="1">
        <v>4728</v>
      </c>
      <c r="B4730" t="str">
        <f>HYPERLINK("https://bugs.eclipse.org/bugs/show_bug.cgi?id=500209", "500209")</f>
        <v>500209</v>
      </c>
      <c r="C4730" t="s">
        <v>17</v>
      </c>
      <c r="D4730" t="s">
        <v>17</v>
      </c>
      <c r="F4730" t="s">
        <v>26</v>
      </c>
      <c r="P4730" t="s">
        <v>21632</v>
      </c>
      <c r="S4730" t="s">
        <v>21633</v>
      </c>
      <c r="T4730" t="s">
        <v>21634</v>
      </c>
      <c r="U4730" t="s">
        <v>21635</v>
      </c>
      <c r="V4730" t="s">
        <v>21633</v>
      </c>
      <c r="W4730" t="s">
        <v>16518</v>
      </c>
      <c r="X4730" t="s">
        <v>21636</v>
      </c>
      <c r="Y4730">
        <v>0</v>
      </c>
    </row>
    <row r="4731" spans="1:26">
      <c r="A4731" s="1">
        <v>4729</v>
      </c>
      <c r="B4731" t="str">
        <f>HYPERLINK("https://bugs.eclipse.org/bugs/show_bug.cgi?id=501298", "501298")</f>
        <v>501298</v>
      </c>
      <c r="C4731" t="s">
        <v>88</v>
      </c>
      <c r="D4731" t="s">
        <v>10</v>
      </c>
      <c r="E4731" t="s">
        <v>13</v>
      </c>
      <c r="F4731" t="s">
        <v>26</v>
      </c>
      <c r="L4731" t="s">
        <v>21637</v>
      </c>
      <c r="O4731" t="s">
        <v>21637</v>
      </c>
      <c r="T4731" t="s">
        <v>21638</v>
      </c>
      <c r="U4731" t="s">
        <v>21639</v>
      </c>
      <c r="V4731" t="s">
        <v>21637</v>
      </c>
      <c r="W4731" t="s">
        <v>143</v>
      </c>
      <c r="X4731" t="s">
        <v>21640</v>
      </c>
      <c r="Y4731">
        <v>1</v>
      </c>
      <c r="Z4731">
        <v>921</v>
      </c>
    </row>
    <row r="4732" spans="1:26">
      <c r="A4732" s="1">
        <v>4730</v>
      </c>
      <c r="B4732" t="str">
        <f>HYPERLINK("https://bugs.eclipse.org/bugs/show_bug.cgi?id=501577", "501577")</f>
        <v>501577</v>
      </c>
      <c r="C4732" t="s">
        <v>149</v>
      </c>
      <c r="D4732" t="s">
        <v>10</v>
      </c>
      <c r="E4732" t="s">
        <v>12</v>
      </c>
      <c r="F4732" t="s">
        <v>26</v>
      </c>
      <c r="L4732" t="s">
        <v>21641</v>
      </c>
      <c r="N4732" t="s">
        <v>21641</v>
      </c>
      <c r="T4732" t="s">
        <v>21642</v>
      </c>
      <c r="U4732" t="s">
        <v>21643</v>
      </c>
      <c r="V4732" t="s">
        <v>21641</v>
      </c>
      <c r="W4732" t="s">
        <v>4846</v>
      </c>
      <c r="X4732" t="s">
        <v>21644</v>
      </c>
      <c r="Y4732">
        <v>0</v>
      </c>
      <c r="Z4732">
        <v>7</v>
      </c>
    </row>
    <row r="4733" spans="1:26">
      <c r="A4733" s="1">
        <v>4731</v>
      </c>
      <c r="B4733" t="str">
        <f>HYPERLINK("https://bugs.eclipse.org/bugs/show_bug.cgi?id=501631", "501631")</f>
        <v>501631</v>
      </c>
      <c r="C4733" t="s">
        <v>149</v>
      </c>
      <c r="D4733" t="s">
        <v>10</v>
      </c>
      <c r="E4733" t="s">
        <v>12</v>
      </c>
      <c r="F4733" t="s">
        <v>26</v>
      </c>
      <c r="L4733" t="s">
        <v>21645</v>
      </c>
      <c r="N4733" t="s">
        <v>21645</v>
      </c>
      <c r="T4733" t="s">
        <v>21646</v>
      </c>
      <c r="U4733" t="s">
        <v>21645</v>
      </c>
      <c r="V4733" t="s">
        <v>21645</v>
      </c>
      <c r="W4733" t="s">
        <v>4846</v>
      </c>
      <c r="X4733" t="s">
        <v>21647</v>
      </c>
      <c r="Y4733">
        <v>2</v>
      </c>
      <c r="Z4733">
        <v>2</v>
      </c>
    </row>
    <row r="4734" spans="1:26">
      <c r="A4734" s="1">
        <v>4732</v>
      </c>
      <c r="B4734" t="str">
        <f>HYPERLINK("https://bugs.eclipse.org/bugs/show_bug.cgi?id=502254", "502254")</f>
        <v>502254</v>
      </c>
      <c r="C4734" t="s">
        <v>191</v>
      </c>
      <c r="D4734" t="s">
        <v>192</v>
      </c>
      <c r="E4734" t="s">
        <v>14</v>
      </c>
      <c r="F4734" t="s">
        <v>26</v>
      </c>
      <c r="P4734" t="s">
        <v>21648</v>
      </c>
      <c r="T4734" t="s">
        <v>21649</v>
      </c>
      <c r="U4734" t="s">
        <v>21648</v>
      </c>
      <c r="V4734" t="s">
        <v>21648</v>
      </c>
      <c r="W4734" t="s">
        <v>65</v>
      </c>
      <c r="X4734" t="s">
        <v>21650</v>
      </c>
      <c r="Y4734">
        <v>1304</v>
      </c>
      <c r="Z4734">
        <v>1304</v>
      </c>
    </row>
    <row r="4735" spans="1:26">
      <c r="A4735" s="1">
        <v>4733</v>
      </c>
      <c r="B4735" t="str">
        <f>HYPERLINK("https://bugs.eclipse.org/bugs/show_bug.cgi?id=505978", "505978")</f>
        <v>505978</v>
      </c>
      <c r="C4735" t="s">
        <v>191</v>
      </c>
      <c r="D4735" t="s">
        <v>192</v>
      </c>
      <c r="E4735" t="s">
        <v>14</v>
      </c>
      <c r="F4735" t="s">
        <v>460</v>
      </c>
      <c r="P4735" t="s">
        <v>21651</v>
      </c>
      <c r="T4735" t="s">
        <v>21652</v>
      </c>
      <c r="U4735" t="s">
        <v>21653</v>
      </c>
      <c r="V4735" t="s">
        <v>21651</v>
      </c>
      <c r="W4735" t="s">
        <v>65</v>
      </c>
      <c r="X4735" t="s">
        <v>21654</v>
      </c>
      <c r="Y4735">
        <v>0</v>
      </c>
      <c r="Z4735">
        <v>1299</v>
      </c>
    </row>
    <row r="4736" spans="1:26">
      <c r="A4736" s="1">
        <v>4734</v>
      </c>
      <c r="B4736" t="str">
        <f>HYPERLINK("https://bugs.eclipse.org/bugs/show_bug.cgi?id=506009", "506009")</f>
        <v>506009</v>
      </c>
      <c r="C4736" t="s">
        <v>149</v>
      </c>
      <c r="D4736" t="s">
        <v>10</v>
      </c>
      <c r="E4736" t="s">
        <v>12</v>
      </c>
      <c r="F4736" t="s">
        <v>26</v>
      </c>
      <c r="G4736" t="s">
        <v>21655</v>
      </c>
      <c r="L4736" t="s">
        <v>21656</v>
      </c>
      <c r="N4736" t="s">
        <v>21656</v>
      </c>
      <c r="T4736" t="s">
        <v>21657</v>
      </c>
      <c r="U4736" t="s">
        <v>21658</v>
      </c>
      <c r="V4736" t="s">
        <v>21659</v>
      </c>
      <c r="W4736" t="s">
        <v>14690</v>
      </c>
      <c r="X4736" t="s">
        <v>21660</v>
      </c>
      <c r="Y4736">
        <v>0</v>
      </c>
      <c r="Z4736">
        <v>977</v>
      </c>
    </row>
    <row r="4737" spans="1:26">
      <c r="A4737" s="1">
        <v>4735</v>
      </c>
      <c r="B4737" t="str">
        <f>HYPERLINK("https://bugs.eclipse.org/bugs/show_bug.cgi?id=506108", "506108")</f>
        <v>506108</v>
      </c>
      <c r="C4737" t="s">
        <v>149</v>
      </c>
      <c r="D4737" t="s">
        <v>10</v>
      </c>
      <c r="E4737" t="s">
        <v>12</v>
      </c>
      <c r="F4737" t="s">
        <v>26</v>
      </c>
      <c r="L4737" t="s">
        <v>21661</v>
      </c>
      <c r="N4737" t="s">
        <v>21661</v>
      </c>
      <c r="T4737" t="s">
        <v>21662</v>
      </c>
      <c r="U4737" t="s">
        <v>21663</v>
      </c>
      <c r="V4737" t="s">
        <v>21661</v>
      </c>
      <c r="W4737" t="s">
        <v>16518</v>
      </c>
      <c r="X4737" t="s">
        <v>21664</v>
      </c>
      <c r="Y4737">
        <v>0</v>
      </c>
      <c r="Z4737">
        <v>62.041666666666657</v>
      </c>
    </row>
    <row r="4738" spans="1:26">
      <c r="A4738" s="1">
        <v>4736</v>
      </c>
      <c r="B4738" t="str">
        <f>HYPERLINK("https://bugs.eclipse.org/bugs/show_bug.cgi?id=506137", "506137")</f>
        <v>506137</v>
      </c>
      <c r="C4738" t="s">
        <v>4692</v>
      </c>
      <c r="D4738" t="s">
        <v>4692</v>
      </c>
      <c r="F4738" t="s">
        <v>26</v>
      </c>
    </row>
    <row r="4739" spans="1:26">
      <c r="A4739" s="1">
        <v>4737</v>
      </c>
      <c r="B4739" t="str">
        <f>HYPERLINK("https://bugs.eclipse.org/bugs/show_bug.cgi?id=506229", "506229")</f>
        <v>506229</v>
      </c>
      <c r="C4739" t="s">
        <v>35</v>
      </c>
      <c r="D4739" t="s">
        <v>11</v>
      </c>
      <c r="E4739" t="s">
        <v>12</v>
      </c>
      <c r="F4739" t="s">
        <v>26</v>
      </c>
      <c r="H4739" t="s">
        <v>21665</v>
      </c>
      <c r="L4739" t="s">
        <v>21666</v>
      </c>
      <c r="M4739" t="s">
        <v>21667</v>
      </c>
      <c r="N4739" t="s">
        <v>21666</v>
      </c>
      <c r="S4739" t="s">
        <v>21668</v>
      </c>
      <c r="T4739" t="s">
        <v>21669</v>
      </c>
      <c r="U4739" t="s">
        <v>21670</v>
      </c>
      <c r="V4739" t="s">
        <v>21667</v>
      </c>
      <c r="W4739" t="s">
        <v>4846</v>
      </c>
      <c r="X4739" t="s">
        <v>21671</v>
      </c>
      <c r="Y4739">
        <v>761.04166666666663</v>
      </c>
      <c r="Z4739">
        <v>946</v>
      </c>
    </row>
    <row r="4740" spans="1:26">
      <c r="A4740" s="1">
        <v>4738</v>
      </c>
      <c r="B4740" t="str">
        <f>HYPERLINK("https://bugs.eclipse.org/bugs/show_bug.cgi?id=506239", "506239")</f>
        <v>506239</v>
      </c>
      <c r="C4740" t="s">
        <v>149</v>
      </c>
      <c r="D4740" t="s">
        <v>10</v>
      </c>
      <c r="E4740" t="s">
        <v>12</v>
      </c>
      <c r="F4740" t="s">
        <v>26</v>
      </c>
      <c r="H4740" t="s">
        <v>21672</v>
      </c>
      <c r="L4740" t="s">
        <v>21673</v>
      </c>
      <c r="N4740" t="s">
        <v>21673</v>
      </c>
      <c r="S4740" t="s">
        <v>21674</v>
      </c>
      <c r="T4740" t="s">
        <v>21675</v>
      </c>
      <c r="U4740" t="s">
        <v>21676</v>
      </c>
      <c r="V4740" t="s">
        <v>21677</v>
      </c>
      <c r="W4740" t="s">
        <v>4846</v>
      </c>
      <c r="X4740" t="s">
        <v>21678</v>
      </c>
      <c r="Y4740">
        <v>1</v>
      </c>
      <c r="Z4740">
        <v>863.04166666666663</v>
      </c>
    </row>
    <row r="4741" spans="1:26">
      <c r="A4741" s="1">
        <v>4739</v>
      </c>
      <c r="B4741" t="str">
        <f>HYPERLINK("https://bugs.eclipse.org/bugs/show_bug.cgi?id=507013", "507013")</f>
        <v>507013</v>
      </c>
      <c r="C4741" t="s">
        <v>35</v>
      </c>
      <c r="D4741" t="s">
        <v>11</v>
      </c>
      <c r="E4741" t="s">
        <v>12</v>
      </c>
      <c r="F4741" t="s">
        <v>26</v>
      </c>
      <c r="L4741" t="s">
        <v>21679</v>
      </c>
      <c r="M4741" t="s">
        <v>21680</v>
      </c>
      <c r="N4741" t="s">
        <v>21679</v>
      </c>
      <c r="S4741" t="s">
        <v>21681</v>
      </c>
      <c r="T4741" t="s">
        <v>21682</v>
      </c>
      <c r="U4741" t="s">
        <v>21683</v>
      </c>
      <c r="V4741" t="s">
        <v>21680</v>
      </c>
      <c r="W4741" t="s">
        <v>19215</v>
      </c>
      <c r="X4741" t="s">
        <v>21684</v>
      </c>
      <c r="Y4741">
        <v>0</v>
      </c>
      <c r="Z4741">
        <v>15.04166666666667</v>
      </c>
    </row>
    <row r="4742" spans="1:26">
      <c r="A4742" s="1">
        <v>4740</v>
      </c>
      <c r="B4742" t="str">
        <f>HYPERLINK("https://bugs.eclipse.org/bugs/show_bug.cgi?id=507111", "507111")</f>
        <v>507111</v>
      </c>
      <c r="C4742" t="s">
        <v>21685</v>
      </c>
      <c r="D4742" t="s">
        <v>192</v>
      </c>
      <c r="E4742" t="s">
        <v>15</v>
      </c>
      <c r="F4742" t="s">
        <v>26</v>
      </c>
      <c r="Q4742" t="s">
        <v>21686</v>
      </c>
      <c r="T4742" t="s">
        <v>21687</v>
      </c>
      <c r="U4742" t="s">
        <v>21688</v>
      </c>
      <c r="V4742" t="s">
        <v>21686</v>
      </c>
      <c r="W4742" t="s">
        <v>4846</v>
      </c>
      <c r="X4742" t="s">
        <v>21689</v>
      </c>
      <c r="Y4742">
        <v>0</v>
      </c>
      <c r="Z4742">
        <v>2.041666666666667</v>
      </c>
    </row>
    <row r="4743" spans="1:26">
      <c r="A4743" s="1">
        <v>4741</v>
      </c>
      <c r="B4743" t="str">
        <f>HYPERLINK("https://bugs.eclipse.org/bugs/show_bug.cgi?id=507579", "507579")</f>
        <v>507579</v>
      </c>
      <c r="C4743" t="s">
        <v>25</v>
      </c>
      <c r="D4743" t="s">
        <v>25</v>
      </c>
      <c r="F4743" t="s">
        <v>26</v>
      </c>
      <c r="T4743" t="s">
        <v>21690</v>
      </c>
      <c r="U4743" t="s">
        <v>21691</v>
      </c>
      <c r="V4743" t="s">
        <v>21692</v>
      </c>
      <c r="W4743" t="s">
        <v>143</v>
      </c>
      <c r="X4743" t="s">
        <v>21693</v>
      </c>
      <c r="Y4743">
        <v>0</v>
      </c>
    </row>
    <row r="4744" spans="1:26">
      <c r="A4744" s="1">
        <v>4742</v>
      </c>
      <c r="B4744" t="str">
        <f>HYPERLINK("https://bugs.eclipse.org/bugs/show_bug.cgi?id=507614", "507614")</f>
        <v>507614</v>
      </c>
      <c r="C4744" t="s">
        <v>25</v>
      </c>
      <c r="D4744" t="s">
        <v>25</v>
      </c>
      <c r="F4744" t="s">
        <v>26</v>
      </c>
      <c r="T4744" t="s">
        <v>21694</v>
      </c>
      <c r="U4744" t="s">
        <v>21695</v>
      </c>
      <c r="V4744" t="s">
        <v>21696</v>
      </c>
      <c r="W4744" t="s">
        <v>5069</v>
      </c>
      <c r="X4744" t="s">
        <v>21697</v>
      </c>
      <c r="Y4744">
        <v>154.95833333333329</v>
      </c>
    </row>
    <row r="4745" spans="1:26">
      <c r="A4745" s="1">
        <v>4743</v>
      </c>
      <c r="B4745" t="str">
        <f>HYPERLINK("https://bugs.eclipse.org/bugs/show_bug.cgi?id=507615", "507615")</f>
        <v>507615</v>
      </c>
      <c r="C4745" t="s">
        <v>25</v>
      </c>
      <c r="D4745" t="s">
        <v>25</v>
      </c>
      <c r="F4745" t="s">
        <v>26</v>
      </c>
      <c r="T4745" t="s">
        <v>21698</v>
      </c>
      <c r="U4745" t="s">
        <v>21699</v>
      </c>
      <c r="V4745" t="s">
        <v>21700</v>
      </c>
      <c r="W4745" t="s">
        <v>143</v>
      </c>
      <c r="X4745" t="s">
        <v>21701</v>
      </c>
      <c r="Y4745">
        <v>892.95833333333337</v>
      </c>
    </row>
    <row r="4746" spans="1:26">
      <c r="A4746" s="1">
        <v>4744</v>
      </c>
      <c r="B4746" t="str">
        <f>HYPERLINK("https://bugs.eclipse.org/bugs/show_bug.cgi?id=507666", "507666")</f>
        <v>507666</v>
      </c>
      <c r="C4746" t="s">
        <v>88</v>
      </c>
      <c r="D4746" t="s">
        <v>10</v>
      </c>
      <c r="E4746" t="s">
        <v>13</v>
      </c>
      <c r="F4746" t="s">
        <v>26</v>
      </c>
      <c r="L4746" t="s">
        <v>21702</v>
      </c>
      <c r="O4746" t="s">
        <v>21702</v>
      </c>
      <c r="T4746" t="s">
        <v>21703</v>
      </c>
      <c r="U4746" t="s">
        <v>21702</v>
      </c>
      <c r="V4746" t="s">
        <v>21702</v>
      </c>
      <c r="W4746" t="s">
        <v>143</v>
      </c>
      <c r="X4746" t="s">
        <v>21704</v>
      </c>
      <c r="Y4746">
        <v>152.95833333333329</v>
      </c>
      <c r="Z4746">
        <v>152.95833333333329</v>
      </c>
    </row>
    <row r="4747" spans="1:26">
      <c r="A4747" s="1">
        <v>4745</v>
      </c>
      <c r="B4747" t="str">
        <f>HYPERLINK("https://bugs.eclipse.org/bugs/show_bug.cgi?id=507865", "507865")</f>
        <v>507865</v>
      </c>
      <c r="C4747" t="s">
        <v>25</v>
      </c>
      <c r="D4747" t="s">
        <v>25</v>
      </c>
      <c r="F4747" t="s">
        <v>26</v>
      </c>
      <c r="T4747" t="s">
        <v>21705</v>
      </c>
      <c r="U4747" t="s">
        <v>21706</v>
      </c>
      <c r="V4747" t="s">
        <v>21707</v>
      </c>
      <c r="W4747" t="s">
        <v>143</v>
      </c>
      <c r="X4747" t="s">
        <v>21708</v>
      </c>
      <c r="Y4747">
        <v>1</v>
      </c>
    </row>
    <row r="4748" spans="1:26">
      <c r="A4748" s="1">
        <v>4746</v>
      </c>
      <c r="B4748" t="str">
        <f>HYPERLINK("https://bugs.eclipse.org/bugs/show_bug.cgi?id=507866", "507866")</f>
        <v>507866</v>
      </c>
      <c r="C4748" t="s">
        <v>17</v>
      </c>
      <c r="D4748" t="s">
        <v>17</v>
      </c>
      <c r="F4748" t="s">
        <v>26</v>
      </c>
      <c r="P4748" t="s">
        <v>21709</v>
      </c>
      <c r="S4748" t="s">
        <v>21710</v>
      </c>
      <c r="T4748" t="s">
        <v>21711</v>
      </c>
      <c r="U4748" t="s">
        <v>21712</v>
      </c>
      <c r="V4748" t="s">
        <v>21710</v>
      </c>
      <c r="W4748" t="s">
        <v>1161</v>
      </c>
      <c r="X4748" t="s">
        <v>21713</v>
      </c>
      <c r="Y4748">
        <v>0</v>
      </c>
    </row>
    <row r="4749" spans="1:26">
      <c r="A4749" s="1">
        <v>4747</v>
      </c>
      <c r="B4749" t="str">
        <f>HYPERLINK("https://bugs.eclipse.org/bugs/show_bug.cgi?id=508257", "508257")</f>
        <v>508257</v>
      </c>
      <c r="C4749" t="s">
        <v>25</v>
      </c>
      <c r="D4749" t="s">
        <v>25</v>
      </c>
      <c r="F4749" t="s">
        <v>26</v>
      </c>
      <c r="G4749" t="s">
        <v>21714</v>
      </c>
      <c r="T4749" t="s">
        <v>21715</v>
      </c>
      <c r="U4749" t="s">
        <v>21716</v>
      </c>
      <c r="V4749" t="s">
        <v>21717</v>
      </c>
      <c r="W4749" t="s">
        <v>16518</v>
      </c>
      <c r="X4749" t="s">
        <v>21718</v>
      </c>
      <c r="Y4749">
        <v>0</v>
      </c>
    </row>
    <row r="4750" spans="1:26">
      <c r="A4750" s="1">
        <v>4748</v>
      </c>
      <c r="B4750" t="str">
        <f>HYPERLINK("https://bugs.eclipse.org/bugs/show_bug.cgi?id=508777", "508777")</f>
        <v>508777</v>
      </c>
      <c r="C4750" t="s">
        <v>149</v>
      </c>
      <c r="D4750" t="s">
        <v>10</v>
      </c>
      <c r="E4750" t="s">
        <v>12</v>
      </c>
      <c r="F4750" t="s">
        <v>26</v>
      </c>
      <c r="L4750" t="s">
        <v>21719</v>
      </c>
      <c r="N4750" t="s">
        <v>21719</v>
      </c>
      <c r="T4750" t="s">
        <v>21720</v>
      </c>
      <c r="U4750" t="s">
        <v>21721</v>
      </c>
      <c r="V4750" t="s">
        <v>21722</v>
      </c>
      <c r="W4750" t="s">
        <v>21723</v>
      </c>
      <c r="X4750" t="s">
        <v>21724</v>
      </c>
      <c r="Y4750">
        <v>0</v>
      </c>
      <c r="Z4750">
        <v>359</v>
      </c>
    </row>
    <row r="4751" spans="1:26">
      <c r="A4751" s="1">
        <v>4749</v>
      </c>
      <c r="B4751" t="str">
        <f>HYPERLINK("https://bugs.eclipse.org/bugs/show_bug.cgi?id=508953", "508953")</f>
        <v>508953</v>
      </c>
      <c r="C4751" t="s">
        <v>191</v>
      </c>
      <c r="D4751" t="s">
        <v>192</v>
      </c>
      <c r="E4751" t="s">
        <v>14</v>
      </c>
      <c r="F4751" t="s">
        <v>26</v>
      </c>
      <c r="P4751" t="s">
        <v>21725</v>
      </c>
      <c r="T4751" t="s">
        <v>21726</v>
      </c>
      <c r="U4751" t="s">
        <v>21725</v>
      </c>
      <c r="V4751" t="s">
        <v>21725</v>
      </c>
      <c r="W4751" t="s">
        <v>65</v>
      </c>
      <c r="X4751" t="s">
        <v>21727</v>
      </c>
      <c r="Y4751">
        <v>1185</v>
      </c>
      <c r="Z4751">
        <v>1185</v>
      </c>
    </row>
    <row r="4752" spans="1:26">
      <c r="A4752" s="1">
        <v>4750</v>
      </c>
      <c r="B4752" t="str">
        <f>HYPERLINK("https://bugs.eclipse.org/bugs/show_bug.cgi?id=509172", "509172")</f>
        <v>509172</v>
      </c>
      <c r="C4752" t="s">
        <v>149</v>
      </c>
      <c r="D4752" t="s">
        <v>10</v>
      </c>
      <c r="E4752" t="s">
        <v>12</v>
      </c>
      <c r="F4752" t="s">
        <v>26</v>
      </c>
      <c r="L4752" t="s">
        <v>21728</v>
      </c>
      <c r="N4752" t="s">
        <v>21728</v>
      </c>
      <c r="T4752" t="s">
        <v>21729</v>
      </c>
      <c r="U4752" t="s">
        <v>21728</v>
      </c>
      <c r="V4752" t="s">
        <v>21728</v>
      </c>
      <c r="W4752" t="s">
        <v>4846</v>
      </c>
      <c r="X4752" t="s">
        <v>21730</v>
      </c>
      <c r="Y4752">
        <v>1</v>
      </c>
      <c r="Z4752">
        <v>1</v>
      </c>
    </row>
    <row r="4753" spans="1:26">
      <c r="A4753" s="1">
        <v>4751</v>
      </c>
      <c r="B4753" t="str">
        <f>HYPERLINK("https://bugs.eclipse.org/bugs/show_bug.cgi?id=509629", "509629")</f>
        <v>509629</v>
      </c>
      <c r="C4753" t="s">
        <v>8439</v>
      </c>
      <c r="D4753" t="s">
        <v>192</v>
      </c>
      <c r="E4753" t="s">
        <v>13</v>
      </c>
      <c r="F4753" t="s">
        <v>26</v>
      </c>
      <c r="O4753" t="s">
        <v>21731</v>
      </c>
      <c r="T4753" t="s">
        <v>21732</v>
      </c>
      <c r="U4753" t="s">
        <v>21733</v>
      </c>
      <c r="V4753" t="s">
        <v>21734</v>
      </c>
      <c r="W4753" t="s">
        <v>12867</v>
      </c>
      <c r="X4753" t="s">
        <v>21735</v>
      </c>
      <c r="Y4753">
        <v>0</v>
      </c>
      <c r="Z4753">
        <v>104.9583333333333</v>
      </c>
    </row>
    <row r="4754" spans="1:26">
      <c r="A4754" s="1">
        <v>4752</v>
      </c>
      <c r="B4754" t="str">
        <f>HYPERLINK("https://bugs.eclipse.org/bugs/show_bug.cgi?id=510400", "510400")</f>
        <v>510400</v>
      </c>
      <c r="C4754" t="s">
        <v>4692</v>
      </c>
      <c r="D4754" t="s">
        <v>4692</v>
      </c>
      <c r="F4754" t="s">
        <v>26</v>
      </c>
      <c r="T4754" t="s">
        <v>21736</v>
      </c>
      <c r="U4754" t="s">
        <v>21737</v>
      </c>
      <c r="V4754" t="s">
        <v>21738</v>
      </c>
      <c r="W4754" t="s">
        <v>65</v>
      </c>
      <c r="X4754" t="s">
        <v>21739</v>
      </c>
      <c r="Y4754">
        <v>0</v>
      </c>
    </row>
    <row r="4755" spans="1:26">
      <c r="A4755" s="1">
        <v>4753</v>
      </c>
      <c r="B4755" t="str">
        <f>HYPERLINK("https://bugs.eclipse.org/bugs/show_bug.cgi?id=511369", "511369")</f>
        <v>511369</v>
      </c>
      <c r="C4755" t="s">
        <v>25</v>
      </c>
      <c r="D4755" t="s">
        <v>25</v>
      </c>
      <c r="F4755" t="s">
        <v>26</v>
      </c>
      <c r="T4755" t="s">
        <v>21740</v>
      </c>
      <c r="U4755" t="s">
        <v>21741</v>
      </c>
      <c r="V4755" t="s">
        <v>21742</v>
      </c>
      <c r="W4755" t="s">
        <v>143</v>
      </c>
      <c r="X4755" t="s">
        <v>21743</v>
      </c>
      <c r="Y4755">
        <v>0</v>
      </c>
    </row>
    <row r="4756" spans="1:26">
      <c r="A4756" s="1">
        <v>4754</v>
      </c>
      <c r="B4756" t="str">
        <f>HYPERLINK("https://bugs.eclipse.org/bugs/show_bug.cgi?id=511746", "511746")</f>
        <v>511746</v>
      </c>
      <c r="C4756" t="s">
        <v>19698</v>
      </c>
      <c r="D4756" t="s">
        <v>192</v>
      </c>
      <c r="E4756" t="s">
        <v>15</v>
      </c>
      <c r="F4756" t="s">
        <v>26</v>
      </c>
      <c r="Q4756" t="s">
        <v>21744</v>
      </c>
      <c r="T4756" t="s">
        <v>21745</v>
      </c>
      <c r="U4756" t="s">
        <v>21746</v>
      </c>
      <c r="V4756" t="s">
        <v>21744</v>
      </c>
      <c r="W4756" t="s">
        <v>143</v>
      </c>
      <c r="X4756" t="s">
        <v>21747</v>
      </c>
      <c r="Y4756">
        <v>0</v>
      </c>
      <c r="Z4756">
        <v>66.958333333333329</v>
      </c>
    </row>
    <row r="4757" spans="1:26">
      <c r="A4757" s="1">
        <v>4755</v>
      </c>
      <c r="B4757" t="str">
        <f>HYPERLINK("https://bugs.eclipse.org/bugs/show_bug.cgi?id=512892", "512892")</f>
        <v>512892</v>
      </c>
      <c r="C4757" t="s">
        <v>191</v>
      </c>
      <c r="D4757" t="s">
        <v>192</v>
      </c>
      <c r="E4757" t="s">
        <v>14</v>
      </c>
      <c r="F4757" t="s">
        <v>26</v>
      </c>
      <c r="P4757" t="s">
        <v>21748</v>
      </c>
      <c r="T4757" t="s">
        <v>21749</v>
      </c>
      <c r="U4757" t="s">
        <v>21748</v>
      </c>
      <c r="V4757" t="s">
        <v>21748</v>
      </c>
      <c r="W4757" t="s">
        <v>65</v>
      </c>
      <c r="X4757" t="s">
        <v>21750</v>
      </c>
      <c r="Y4757">
        <v>1173.958333333333</v>
      </c>
      <c r="Z4757">
        <v>1173.958333333333</v>
      </c>
    </row>
    <row r="4758" spans="1:26">
      <c r="A4758" s="1">
        <v>4756</v>
      </c>
      <c r="B4758" t="str">
        <f>HYPERLINK("https://bugs.eclipse.org/bugs/show_bug.cgi?id=513863", "513863")</f>
        <v>513863</v>
      </c>
      <c r="C4758" t="s">
        <v>140</v>
      </c>
      <c r="D4758" t="s">
        <v>10</v>
      </c>
      <c r="E4758" t="s">
        <v>16</v>
      </c>
      <c r="F4758" t="s">
        <v>26</v>
      </c>
      <c r="L4758" t="s">
        <v>21751</v>
      </c>
      <c r="R4758" t="s">
        <v>21751</v>
      </c>
      <c r="T4758" t="s">
        <v>21752</v>
      </c>
      <c r="U4758" t="s">
        <v>21753</v>
      </c>
      <c r="V4758" t="s">
        <v>21751</v>
      </c>
      <c r="W4758" t="s">
        <v>4846</v>
      </c>
      <c r="X4758" t="s">
        <v>21754</v>
      </c>
      <c r="Y4758">
        <v>0</v>
      </c>
      <c r="Z4758">
        <v>956</v>
      </c>
    </row>
    <row r="4759" spans="1:26">
      <c r="A4759" s="1">
        <v>4757</v>
      </c>
      <c r="B4759" t="str">
        <f>HYPERLINK("https://bugs.eclipse.org/bugs/show_bug.cgi?id=514920", "514920")</f>
        <v>514920</v>
      </c>
      <c r="C4759" t="s">
        <v>191</v>
      </c>
      <c r="D4759" t="s">
        <v>192</v>
      </c>
      <c r="E4759" t="s">
        <v>14</v>
      </c>
      <c r="F4759" t="s">
        <v>26</v>
      </c>
      <c r="P4759" t="s">
        <v>21755</v>
      </c>
      <c r="T4759" t="s">
        <v>21756</v>
      </c>
      <c r="U4759" t="s">
        <v>21757</v>
      </c>
      <c r="V4759" t="s">
        <v>21755</v>
      </c>
      <c r="W4759" t="s">
        <v>65</v>
      </c>
      <c r="X4759" t="s">
        <v>21758</v>
      </c>
      <c r="Y4759">
        <v>0</v>
      </c>
      <c r="Z4759">
        <v>1082</v>
      </c>
    </row>
    <row r="4760" spans="1:26">
      <c r="A4760" s="1">
        <v>4758</v>
      </c>
      <c r="B4760" t="str">
        <f>HYPERLINK("https://bugs.eclipse.org/bugs/show_bug.cgi?id=514975", "514975")</f>
        <v>514975</v>
      </c>
      <c r="C4760" t="s">
        <v>149</v>
      </c>
      <c r="D4760" t="s">
        <v>10</v>
      </c>
      <c r="E4760" t="s">
        <v>12</v>
      </c>
      <c r="F4760" t="s">
        <v>26</v>
      </c>
      <c r="L4760" t="s">
        <v>21759</v>
      </c>
      <c r="N4760" t="s">
        <v>21759</v>
      </c>
      <c r="T4760" t="s">
        <v>21760</v>
      </c>
      <c r="U4760" t="s">
        <v>21761</v>
      </c>
      <c r="V4760" t="s">
        <v>21759</v>
      </c>
      <c r="W4760" t="s">
        <v>16518</v>
      </c>
      <c r="X4760" t="s">
        <v>21762</v>
      </c>
      <c r="Y4760">
        <v>0</v>
      </c>
      <c r="Z4760">
        <v>22</v>
      </c>
    </row>
    <row r="4761" spans="1:26">
      <c r="A4761" s="1">
        <v>4759</v>
      </c>
      <c r="B4761" t="str">
        <f>HYPERLINK("https://bugs.eclipse.org/bugs/show_bug.cgi?id=515597", "515597")</f>
        <v>515597</v>
      </c>
      <c r="C4761" t="s">
        <v>25</v>
      </c>
      <c r="D4761" t="s">
        <v>25</v>
      </c>
      <c r="F4761" t="s">
        <v>26</v>
      </c>
      <c r="T4761" t="s">
        <v>21763</v>
      </c>
      <c r="U4761" t="s">
        <v>21764</v>
      </c>
      <c r="V4761" t="s">
        <v>21765</v>
      </c>
      <c r="W4761" t="s">
        <v>11693</v>
      </c>
      <c r="X4761" t="s">
        <v>21766</v>
      </c>
      <c r="Y4761">
        <v>1213</v>
      </c>
    </row>
    <row r="4762" spans="1:26">
      <c r="A4762" s="1">
        <v>4760</v>
      </c>
      <c r="B4762" t="str">
        <f>HYPERLINK("https://bugs.eclipse.org/bugs/show_bug.cgi?id=515755", "515755")</f>
        <v>515755</v>
      </c>
      <c r="C4762" t="s">
        <v>35</v>
      </c>
      <c r="D4762" t="s">
        <v>11</v>
      </c>
      <c r="E4762" t="s">
        <v>12</v>
      </c>
      <c r="F4762" t="s">
        <v>26</v>
      </c>
      <c r="G4762" t="s">
        <v>21767</v>
      </c>
      <c r="H4762" t="s">
        <v>21768</v>
      </c>
      <c r="L4762" t="s">
        <v>21769</v>
      </c>
      <c r="M4762" t="s">
        <v>21770</v>
      </c>
      <c r="N4762" t="s">
        <v>21769</v>
      </c>
      <c r="T4762" t="s">
        <v>21771</v>
      </c>
      <c r="U4762" t="s">
        <v>21772</v>
      </c>
      <c r="V4762" t="s">
        <v>21770</v>
      </c>
      <c r="W4762" t="s">
        <v>4846</v>
      </c>
      <c r="X4762" t="s">
        <v>21773</v>
      </c>
      <c r="Y4762">
        <v>0</v>
      </c>
      <c r="Z4762">
        <v>321</v>
      </c>
    </row>
    <row r="4763" spans="1:26">
      <c r="A4763" s="1">
        <v>4761</v>
      </c>
      <c r="B4763" t="str">
        <f>HYPERLINK("https://bugs.eclipse.org/bugs/show_bug.cgi?id=515917", "515917")</f>
        <v>515917</v>
      </c>
      <c r="C4763" t="s">
        <v>149</v>
      </c>
      <c r="D4763" t="s">
        <v>10</v>
      </c>
      <c r="E4763" t="s">
        <v>12</v>
      </c>
      <c r="F4763" t="s">
        <v>26</v>
      </c>
      <c r="L4763" t="s">
        <v>21774</v>
      </c>
      <c r="N4763" t="s">
        <v>21774</v>
      </c>
      <c r="T4763" t="s">
        <v>21775</v>
      </c>
      <c r="U4763" t="s">
        <v>21776</v>
      </c>
      <c r="V4763" t="s">
        <v>21774</v>
      </c>
      <c r="W4763" t="s">
        <v>4846</v>
      </c>
      <c r="X4763" t="s">
        <v>21777</v>
      </c>
      <c r="Y4763">
        <v>1</v>
      </c>
      <c r="Z4763">
        <v>147</v>
      </c>
    </row>
    <row r="4764" spans="1:26">
      <c r="A4764" s="1">
        <v>4762</v>
      </c>
      <c r="B4764" t="str">
        <f>HYPERLINK("https://bugs.eclipse.org/bugs/show_bug.cgi?id=516003", "516003")</f>
        <v>516003</v>
      </c>
      <c r="C4764" t="s">
        <v>4692</v>
      </c>
      <c r="D4764" t="s">
        <v>4692</v>
      </c>
      <c r="F4764" t="s">
        <v>26</v>
      </c>
      <c r="H4764" t="s">
        <v>21768</v>
      </c>
      <c r="T4764" t="s">
        <v>21778</v>
      </c>
      <c r="U4764" t="s">
        <v>21779</v>
      </c>
      <c r="V4764" t="s">
        <v>21780</v>
      </c>
      <c r="W4764" t="s">
        <v>4846</v>
      </c>
      <c r="X4764" t="s">
        <v>21781</v>
      </c>
      <c r="Y4764">
        <v>0</v>
      </c>
    </row>
    <row r="4765" spans="1:26">
      <c r="A4765" s="1">
        <v>4763</v>
      </c>
      <c r="B4765" t="str">
        <f>HYPERLINK("https://bugs.eclipse.org/bugs/show_bug.cgi?id=516372", "516372")</f>
        <v>516372</v>
      </c>
      <c r="C4765" t="s">
        <v>191</v>
      </c>
      <c r="D4765" t="s">
        <v>192</v>
      </c>
      <c r="E4765" t="s">
        <v>14</v>
      </c>
      <c r="F4765" t="s">
        <v>26</v>
      </c>
      <c r="P4765" t="s">
        <v>21782</v>
      </c>
      <c r="T4765" t="s">
        <v>21783</v>
      </c>
      <c r="U4765" t="s">
        <v>21784</v>
      </c>
      <c r="V4765" t="s">
        <v>21782</v>
      </c>
      <c r="W4765" t="s">
        <v>65</v>
      </c>
      <c r="X4765" t="s">
        <v>21785</v>
      </c>
      <c r="Y4765">
        <v>0</v>
      </c>
      <c r="Z4765">
        <v>1028.041666666667</v>
      </c>
    </row>
    <row r="4766" spans="1:26">
      <c r="A4766" s="1">
        <v>4764</v>
      </c>
      <c r="B4766" t="str">
        <f>HYPERLINK("https://bugs.eclipse.org/bugs/show_bug.cgi?id=516924", "516924")</f>
        <v>516924</v>
      </c>
      <c r="C4766" t="s">
        <v>191</v>
      </c>
      <c r="D4766" t="s">
        <v>192</v>
      </c>
      <c r="E4766" t="s">
        <v>14</v>
      </c>
      <c r="F4766" t="s">
        <v>26</v>
      </c>
      <c r="P4766" t="s">
        <v>21786</v>
      </c>
      <c r="T4766" t="s">
        <v>21787</v>
      </c>
      <c r="U4766" t="s">
        <v>21788</v>
      </c>
      <c r="V4766" t="s">
        <v>21786</v>
      </c>
      <c r="W4766" t="s">
        <v>65</v>
      </c>
      <c r="X4766" t="s">
        <v>21789</v>
      </c>
      <c r="Y4766">
        <v>3</v>
      </c>
      <c r="Z4766">
        <v>978.04166666666663</v>
      </c>
    </row>
    <row r="4767" spans="1:26">
      <c r="A4767" s="1">
        <v>4765</v>
      </c>
      <c r="B4767" t="str">
        <f>HYPERLINK("https://bugs.eclipse.org/bugs/show_bug.cgi?id=517109", "517109")</f>
        <v>517109</v>
      </c>
      <c r="C4767" t="s">
        <v>21790</v>
      </c>
      <c r="D4767" t="s">
        <v>192</v>
      </c>
      <c r="E4767" t="s">
        <v>15</v>
      </c>
      <c r="F4767" t="s">
        <v>26</v>
      </c>
      <c r="Q4767" t="s">
        <v>21791</v>
      </c>
      <c r="T4767" t="s">
        <v>21792</v>
      </c>
      <c r="U4767" t="s">
        <v>21793</v>
      </c>
      <c r="V4767" t="s">
        <v>21791</v>
      </c>
      <c r="W4767" t="s">
        <v>143</v>
      </c>
      <c r="X4767" t="s">
        <v>21794</v>
      </c>
      <c r="Y4767">
        <v>0</v>
      </c>
      <c r="Z4767">
        <v>0</v>
      </c>
    </row>
    <row r="4768" spans="1:26">
      <c r="A4768" s="1">
        <v>4766</v>
      </c>
      <c r="B4768" t="str">
        <f>HYPERLINK("https://bugs.eclipse.org/bugs/show_bug.cgi?id=517987", "517987")</f>
        <v>517987</v>
      </c>
      <c r="C4768" t="s">
        <v>191</v>
      </c>
      <c r="D4768" t="s">
        <v>192</v>
      </c>
      <c r="E4768" t="s">
        <v>14</v>
      </c>
      <c r="F4768" t="s">
        <v>26</v>
      </c>
      <c r="P4768" t="s">
        <v>21795</v>
      </c>
      <c r="T4768" t="s">
        <v>21796</v>
      </c>
      <c r="U4768" t="s">
        <v>21797</v>
      </c>
      <c r="V4768" t="s">
        <v>21795</v>
      </c>
      <c r="W4768" t="s">
        <v>65</v>
      </c>
      <c r="X4768" t="s">
        <v>21798</v>
      </c>
      <c r="Y4768">
        <v>0</v>
      </c>
      <c r="Z4768">
        <v>1043</v>
      </c>
    </row>
    <row r="4769" spans="1:26">
      <c r="A4769" s="1">
        <v>4767</v>
      </c>
      <c r="B4769" t="str">
        <f>HYPERLINK("https://bugs.eclipse.org/bugs/show_bug.cgi?id=518161", "518161")</f>
        <v>518161</v>
      </c>
      <c r="C4769" t="s">
        <v>191</v>
      </c>
      <c r="D4769" t="s">
        <v>192</v>
      </c>
      <c r="E4769" t="s">
        <v>14</v>
      </c>
      <c r="F4769" t="s">
        <v>26</v>
      </c>
      <c r="P4769" t="s">
        <v>21799</v>
      </c>
      <c r="T4769" t="s">
        <v>21800</v>
      </c>
      <c r="U4769" t="s">
        <v>21799</v>
      </c>
      <c r="V4769" t="s">
        <v>21799</v>
      </c>
      <c r="W4769" t="s">
        <v>65</v>
      </c>
      <c r="X4769" t="s">
        <v>21801</v>
      </c>
      <c r="Y4769">
        <v>960.04166666666663</v>
      </c>
      <c r="Z4769">
        <v>960.04166666666663</v>
      </c>
    </row>
    <row r="4770" spans="1:26">
      <c r="A4770" s="1">
        <v>4768</v>
      </c>
      <c r="B4770" t="str">
        <f>HYPERLINK("https://bugs.eclipse.org/bugs/show_bug.cgi?id=518316", "518316")</f>
        <v>518316</v>
      </c>
      <c r="C4770" t="s">
        <v>17700</v>
      </c>
      <c r="D4770" t="s">
        <v>10</v>
      </c>
      <c r="E4770" t="s">
        <v>17701</v>
      </c>
      <c r="F4770" t="s">
        <v>26</v>
      </c>
      <c r="L4770" t="s">
        <v>21802</v>
      </c>
      <c r="T4770" t="s">
        <v>21803</v>
      </c>
      <c r="U4770" t="s">
        <v>21804</v>
      </c>
      <c r="V4770" t="s">
        <v>21802</v>
      </c>
      <c r="W4770" t="s">
        <v>143</v>
      </c>
      <c r="X4770" t="s">
        <v>21805</v>
      </c>
      <c r="Y4770">
        <v>0</v>
      </c>
      <c r="Z4770">
        <v>7</v>
      </c>
    </row>
    <row r="4771" spans="1:26">
      <c r="A4771" s="1">
        <v>4769</v>
      </c>
      <c r="B4771" t="str">
        <f>HYPERLINK("https://bugs.eclipse.org/bugs/show_bug.cgi?id=519444", "519444")</f>
        <v>519444</v>
      </c>
      <c r="C4771" t="s">
        <v>149</v>
      </c>
      <c r="D4771" t="s">
        <v>10</v>
      </c>
      <c r="E4771" t="s">
        <v>12</v>
      </c>
      <c r="F4771" t="s">
        <v>26</v>
      </c>
      <c r="G4771" t="s">
        <v>21806</v>
      </c>
      <c r="H4771" t="s">
        <v>21807</v>
      </c>
      <c r="L4771" t="s">
        <v>21808</v>
      </c>
      <c r="N4771" t="s">
        <v>21808</v>
      </c>
      <c r="O4771" t="s">
        <v>21809</v>
      </c>
      <c r="S4771" t="s">
        <v>21810</v>
      </c>
      <c r="T4771" t="s">
        <v>21811</v>
      </c>
      <c r="U4771" t="s">
        <v>21809</v>
      </c>
      <c r="V4771" t="s">
        <v>21812</v>
      </c>
      <c r="W4771" t="s">
        <v>16518</v>
      </c>
      <c r="X4771" t="s">
        <v>21813</v>
      </c>
      <c r="Y4771">
        <v>1</v>
      </c>
      <c r="Z4771">
        <v>374</v>
      </c>
    </row>
    <row r="4772" spans="1:26">
      <c r="A4772" s="1">
        <v>4770</v>
      </c>
      <c r="B4772" t="str">
        <f>HYPERLINK("https://bugs.eclipse.org/bugs/show_bug.cgi?id=519450", "519450")</f>
        <v>519450</v>
      </c>
      <c r="C4772" t="s">
        <v>149</v>
      </c>
      <c r="D4772" t="s">
        <v>10</v>
      </c>
      <c r="E4772" t="s">
        <v>12</v>
      </c>
      <c r="F4772" t="s">
        <v>26</v>
      </c>
      <c r="L4772" t="s">
        <v>21814</v>
      </c>
      <c r="N4772" t="s">
        <v>21814</v>
      </c>
      <c r="T4772" t="s">
        <v>21815</v>
      </c>
      <c r="U4772" t="s">
        <v>21816</v>
      </c>
      <c r="V4772" t="s">
        <v>21814</v>
      </c>
      <c r="W4772" t="s">
        <v>4846</v>
      </c>
      <c r="X4772" t="s">
        <v>21817</v>
      </c>
      <c r="Y4772">
        <v>0</v>
      </c>
      <c r="Z4772">
        <v>3</v>
      </c>
    </row>
    <row r="4773" spans="1:26">
      <c r="A4773" s="1">
        <v>4771</v>
      </c>
      <c r="B4773" t="str">
        <f>HYPERLINK("https://bugs.eclipse.org/bugs/show_bug.cgi?id=519652", "519652")</f>
        <v>519652</v>
      </c>
      <c r="C4773" t="s">
        <v>4692</v>
      </c>
      <c r="D4773" t="s">
        <v>4692</v>
      </c>
      <c r="F4773" t="s">
        <v>26</v>
      </c>
      <c r="T4773" t="s">
        <v>21818</v>
      </c>
      <c r="U4773" t="s">
        <v>21819</v>
      </c>
      <c r="V4773" t="s">
        <v>21820</v>
      </c>
      <c r="W4773" t="s">
        <v>4846</v>
      </c>
      <c r="X4773" t="s">
        <v>21821</v>
      </c>
      <c r="Y4773">
        <v>0</v>
      </c>
    </row>
    <row r="4774" spans="1:26">
      <c r="A4774" s="1">
        <v>4772</v>
      </c>
      <c r="B4774" t="str">
        <f>HYPERLINK("https://bugs.eclipse.org/bugs/show_bug.cgi?id=520300", "520300")</f>
        <v>520300</v>
      </c>
      <c r="C4774" t="s">
        <v>35</v>
      </c>
      <c r="D4774" t="s">
        <v>11</v>
      </c>
      <c r="E4774" t="s">
        <v>12</v>
      </c>
      <c r="F4774" t="s">
        <v>26</v>
      </c>
      <c r="G4774" t="s">
        <v>21822</v>
      </c>
      <c r="L4774" t="s">
        <v>21823</v>
      </c>
      <c r="M4774" t="s">
        <v>21824</v>
      </c>
      <c r="N4774" t="s">
        <v>21823</v>
      </c>
      <c r="S4774" t="s">
        <v>21825</v>
      </c>
      <c r="T4774" t="s">
        <v>21826</v>
      </c>
      <c r="U4774" t="s">
        <v>21827</v>
      </c>
      <c r="V4774" t="s">
        <v>21824</v>
      </c>
      <c r="W4774" t="s">
        <v>21828</v>
      </c>
      <c r="X4774" t="s">
        <v>21829</v>
      </c>
      <c r="Y4774">
        <v>0</v>
      </c>
      <c r="Z4774">
        <v>63</v>
      </c>
    </row>
    <row r="4775" spans="1:26">
      <c r="A4775" s="1">
        <v>4773</v>
      </c>
      <c r="B4775" t="str">
        <f>HYPERLINK("https://bugs.eclipse.org/bugs/show_bug.cgi?id=521666", "521666")</f>
        <v>521666</v>
      </c>
      <c r="C4775" t="s">
        <v>149</v>
      </c>
      <c r="D4775" t="s">
        <v>10</v>
      </c>
      <c r="E4775" t="s">
        <v>12</v>
      </c>
      <c r="F4775" t="s">
        <v>26</v>
      </c>
      <c r="G4775" t="s">
        <v>21830</v>
      </c>
      <c r="H4775" t="s">
        <v>21831</v>
      </c>
      <c r="L4775" t="s">
        <v>21832</v>
      </c>
      <c r="N4775" t="s">
        <v>21832</v>
      </c>
      <c r="T4775" t="s">
        <v>21833</v>
      </c>
      <c r="U4775" t="s">
        <v>21834</v>
      </c>
      <c r="V4775" t="s">
        <v>21835</v>
      </c>
      <c r="W4775" t="s">
        <v>4846</v>
      </c>
      <c r="X4775" t="s">
        <v>21836</v>
      </c>
      <c r="Y4775">
        <v>0</v>
      </c>
      <c r="Z4775">
        <v>21</v>
      </c>
    </row>
    <row r="4776" spans="1:26">
      <c r="A4776" s="1">
        <v>4774</v>
      </c>
      <c r="B4776" t="str">
        <f>HYPERLINK("https://bugs.eclipse.org/bugs/show_bug.cgi?id=521969", "521969")</f>
        <v>521969</v>
      </c>
      <c r="C4776" t="s">
        <v>191</v>
      </c>
      <c r="D4776" t="s">
        <v>192</v>
      </c>
      <c r="E4776" t="s">
        <v>14</v>
      </c>
      <c r="F4776" t="s">
        <v>26</v>
      </c>
      <c r="P4776" t="s">
        <v>21837</v>
      </c>
      <c r="T4776" t="s">
        <v>21838</v>
      </c>
      <c r="U4776" t="s">
        <v>21839</v>
      </c>
      <c r="V4776" t="s">
        <v>21837</v>
      </c>
      <c r="W4776" t="s">
        <v>65</v>
      </c>
      <c r="X4776" t="s">
        <v>21840</v>
      </c>
      <c r="Y4776">
        <v>67.041666666666671</v>
      </c>
      <c r="Z4776">
        <v>876.04166666666663</v>
      </c>
    </row>
    <row r="4777" spans="1:26">
      <c r="A4777" s="1">
        <v>4775</v>
      </c>
      <c r="B4777" t="str">
        <f>HYPERLINK("https://bugs.eclipse.org/bugs/show_bug.cgi?id=522022", "522022")</f>
        <v>522022</v>
      </c>
      <c r="C4777" t="s">
        <v>35</v>
      </c>
      <c r="D4777" t="s">
        <v>11</v>
      </c>
      <c r="E4777" t="s">
        <v>12</v>
      </c>
      <c r="F4777" t="s">
        <v>26</v>
      </c>
      <c r="G4777" t="s">
        <v>21841</v>
      </c>
      <c r="L4777" t="s">
        <v>21842</v>
      </c>
      <c r="M4777" t="s">
        <v>21843</v>
      </c>
      <c r="N4777" t="s">
        <v>21842</v>
      </c>
      <c r="T4777" t="s">
        <v>21844</v>
      </c>
      <c r="U4777" t="s">
        <v>21845</v>
      </c>
      <c r="V4777" t="s">
        <v>21843</v>
      </c>
      <c r="W4777" t="s">
        <v>4846</v>
      </c>
      <c r="X4777" t="s">
        <v>21846</v>
      </c>
      <c r="Y4777">
        <v>0</v>
      </c>
      <c r="Z4777">
        <v>154.04166666666671</v>
      </c>
    </row>
    <row r="4778" spans="1:26">
      <c r="A4778" s="1">
        <v>4776</v>
      </c>
      <c r="B4778" t="str">
        <f>HYPERLINK("https://bugs.eclipse.org/bugs/show_bug.cgi?id=522286", "522286")</f>
        <v>522286</v>
      </c>
      <c r="C4778" t="s">
        <v>35</v>
      </c>
      <c r="D4778" t="s">
        <v>11</v>
      </c>
      <c r="E4778" t="s">
        <v>12</v>
      </c>
      <c r="F4778" t="s">
        <v>26</v>
      </c>
      <c r="G4778" t="s">
        <v>21847</v>
      </c>
      <c r="H4778" t="s">
        <v>21848</v>
      </c>
      <c r="L4778" t="s">
        <v>21849</v>
      </c>
      <c r="M4778" t="s">
        <v>21850</v>
      </c>
      <c r="N4778" t="s">
        <v>21849</v>
      </c>
      <c r="T4778" t="s">
        <v>21851</v>
      </c>
      <c r="U4778" t="s">
        <v>21852</v>
      </c>
      <c r="V4778" t="s">
        <v>21850</v>
      </c>
      <c r="W4778" t="s">
        <v>21828</v>
      </c>
      <c r="X4778" t="s">
        <v>21853</v>
      </c>
      <c r="Y4778">
        <v>0</v>
      </c>
      <c r="Z4778">
        <v>13</v>
      </c>
    </row>
    <row r="4779" spans="1:26">
      <c r="A4779" s="1">
        <v>4777</v>
      </c>
      <c r="B4779" t="str">
        <f>HYPERLINK("https://bugs.eclipse.org/bugs/show_bug.cgi?id=525428", "525428")</f>
        <v>525428</v>
      </c>
      <c r="C4779" t="s">
        <v>149</v>
      </c>
      <c r="D4779" t="s">
        <v>10</v>
      </c>
      <c r="E4779" t="s">
        <v>12</v>
      </c>
      <c r="F4779" t="s">
        <v>26</v>
      </c>
      <c r="G4779" t="s">
        <v>21854</v>
      </c>
      <c r="L4779" t="s">
        <v>21855</v>
      </c>
      <c r="N4779" t="s">
        <v>21855</v>
      </c>
      <c r="T4779" t="s">
        <v>21856</v>
      </c>
      <c r="U4779" t="s">
        <v>21857</v>
      </c>
      <c r="V4779" t="s">
        <v>21858</v>
      </c>
      <c r="W4779" t="s">
        <v>16518</v>
      </c>
      <c r="X4779" t="s">
        <v>21859</v>
      </c>
      <c r="Y4779">
        <v>0</v>
      </c>
      <c r="Z4779">
        <v>25</v>
      </c>
    </row>
    <row r="4780" spans="1:26">
      <c r="A4780" s="1">
        <v>4778</v>
      </c>
      <c r="B4780" t="str">
        <f>HYPERLINK("https://bugs.eclipse.org/bugs/show_bug.cgi?id=525917", "525917")</f>
        <v>525917</v>
      </c>
      <c r="C4780" t="s">
        <v>35</v>
      </c>
      <c r="D4780" t="s">
        <v>11</v>
      </c>
      <c r="E4780" t="s">
        <v>12</v>
      </c>
      <c r="F4780" t="s">
        <v>26</v>
      </c>
      <c r="L4780" t="s">
        <v>21860</v>
      </c>
      <c r="M4780" t="s">
        <v>21861</v>
      </c>
      <c r="N4780" t="s">
        <v>21860</v>
      </c>
      <c r="T4780" t="s">
        <v>21862</v>
      </c>
      <c r="U4780" t="s">
        <v>21863</v>
      </c>
      <c r="V4780" t="s">
        <v>21861</v>
      </c>
      <c r="W4780" t="s">
        <v>12301</v>
      </c>
      <c r="X4780" t="s">
        <v>21864</v>
      </c>
      <c r="Y4780">
        <v>762.04166666666663</v>
      </c>
      <c r="Z4780">
        <v>817.04166666666663</v>
      </c>
    </row>
    <row r="4781" spans="1:26">
      <c r="A4781" s="1">
        <v>4779</v>
      </c>
      <c r="B4781" t="str">
        <f>HYPERLINK("https://bugs.eclipse.org/bugs/show_bug.cgi?id=526010", "526010")</f>
        <v>526010</v>
      </c>
      <c r="C4781" t="s">
        <v>149</v>
      </c>
      <c r="D4781" t="s">
        <v>10</v>
      </c>
      <c r="E4781" t="s">
        <v>12</v>
      </c>
      <c r="F4781" t="s">
        <v>26</v>
      </c>
      <c r="L4781" t="s">
        <v>21865</v>
      </c>
      <c r="N4781" t="s">
        <v>21865</v>
      </c>
      <c r="T4781" t="s">
        <v>21866</v>
      </c>
      <c r="U4781" t="s">
        <v>21867</v>
      </c>
      <c r="V4781" t="s">
        <v>21865</v>
      </c>
      <c r="W4781" t="s">
        <v>14690</v>
      </c>
      <c r="X4781" t="s">
        <v>21868</v>
      </c>
      <c r="Y4781">
        <v>5</v>
      </c>
      <c r="Z4781">
        <v>38.041666666666657</v>
      </c>
    </row>
    <row r="4782" spans="1:26">
      <c r="A4782" s="1">
        <v>4780</v>
      </c>
      <c r="B4782" t="str">
        <f>HYPERLINK("https://bugs.eclipse.org/bugs/show_bug.cgi?id=526849", "526849")</f>
        <v>526849</v>
      </c>
      <c r="C4782" t="s">
        <v>191</v>
      </c>
      <c r="D4782" t="s">
        <v>192</v>
      </c>
      <c r="E4782" t="s">
        <v>14</v>
      </c>
      <c r="F4782" t="s">
        <v>26</v>
      </c>
      <c r="P4782" t="s">
        <v>21869</v>
      </c>
      <c r="S4782" t="s">
        <v>21870</v>
      </c>
      <c r="T4782" t="s">
        <v>21871</v>
      </c>
      <c r="U4782" t="s">
        <v>21872</v>
      </c>
      <c r="V4782" t="s">
        <v>21870</v>
      </c>
      <c r="W4782" t="s">
        <v>21873</v>
      </c>
      <c r="X4782" t="s">
        <v>21874</v>
      </c>
      <c r="Y4782">
        <v>1.041666666666667</v>
      </c>
      <c r="Z4782">
        <v>809.04166666666663</v>
      </c>
    </row>
    <row r="4783" spans="1:26">
      <c r="A4783" s="1">
        <v>4781</v>
      </c>
      <c r="B4783" t="str">
        <f>HYPERLINK("https://bugs.eclipse.org/bugs/show_bug.cgi?id=527754", "527754")</f>
        <v>527754</v>
      </c>
      <c r="C4783" t="s">
        <v>191</v>
      </c>
      <c r="D4783" t="s">
        <v>192</v>
      </c>
      <c r="E4783" t="s">
        <v>14</v>
      </c>
      <c r="F4783" t="s">
        <v>26</v>
      </c>
      <c r="P4783" t="s">
        <v>21875</v>
      </c>
      <c r="T4783" t="s">
        <v>21876</v>
      </c>
      <c r="U4783" t="s">
        <v>21877</v>
      </c>
      <c r="V4783" t="s">
        <v>21875</v>
      </c>
      <c r="W4783" t="s">
        <v>6360</v>
      </c>
      <c r="X4783" t="s">
        <v>21878</v>
      </c>
      <c r="Y4783">
        <v>0</v>
      </c>
      <c r="Z4783">
        <v>921.95833333333337</v>
      </c>
    </row>
    <row r="4784" spans="1:26">
      <c r="A4784" s="1">
        <v>4782</v>
      </c>
      <c r="B4784" t="str">
        <f>HYPERLINK("https://bugs.eclipse.org/bugs/show_bug.cgi?id=527854", "527854")</f>
        <v>527854</v>
      </c>
      <c r="C4784" t="s">
        <v>191</v>
      </c>
      <c r="D4784" t="s">
        <v>192</v>
      </c>
      <c r="E4784" t="s">
        <v>14</v>
      </c>
      <c r="F4784" t="s">
        <v>26</v>
      </c>
      <c r="P4784" t="s">
        <v>21879</v>
      </c>
      <c r="T4784" t="s">
        <v>21880</v>
      </c>
      <c r="U4784" t="s">
        <v>21879</v>
      </c>
      <c r="V4784" t="s">
        <v>21879</v>
      </c>
      <c r="W4784" t="s">
        <v>65</v>
      </c>
      <c r="X4784" t="s">
        <v>21881</v>
      </c>
      <c r="Y4784">
        <v>812</v>
      </c>
      <c r="Z4784">
        <v>812</v>
      </c>
    </row>
    <row r="4785" spans="1:26">
      <c r="A4785" s="1">
        <v>4783</v>
      </c>
      <c r="B4785" t="str">
        <f>HYPERLINK("https://bugs.eclipse.org/bugs/show_bug.cgi?id=528003", "528003")</f>
        <v>528003</v>
      </c>
      <c r="C4785" t="s">
        <v>140</v>
      </c>
      <c r="D4785" t="s">
        <v>10</v>
      </c>
      <c r="E4785" t="s">
        <v>16</v>
      </c>
      <c r="F4785" t="s">
        <v>26</v>
      </c>
      <c r="L4785" t="s">
        <v>21882</v>
      </c>
      <c r="R4785" t="s">
        <v>21882</v>
      </c>
      <c r="T4785" t="s">
        <v>21883</v>
      </c>
      <c r="U4785" t="s">
        <v>21882</v>
      </c>
      <c r="V4785" t="s">
        <v>21882</v>
      </c>
      <c r="W4785" t="s">
        <v>143</v>
      </c>
      <c r="X4785" t="s">
        <v>21884</v>
      </c>
      <c r="Y4785">
        <v>0</v>
      </c>
      <c r="Z4785">
        <v>0</v>
      </c>
    </row>
    <row r="4786" spans="1:26">
      <c r="A4786" s="1">
        <v>4784</v>
      </c>
      <c r="B4786" t="str">
        <f>HYPERLINK("https://bugs.eclipse.org/bugs/show_bug.cgi?id=528139", "528139")</f>
        <v>528139</v>
      </c>
      <c r="C4786" t="s">
        <v>35</v>
      </c>
      <c r="D4786" t="s">
        <v>11</v>
      </c>
      <c r="E4786" t="s">
        <v>12</v>
      </c>
      <c r="F4786" t="s">
        <v>26</v>
      </c>
      <c r="L4786" t="s">
        <v>21885</v>
      </c>
      <c r="M4786" t="s">
        <v>21886</v>
      </c>
      <c r="N4786" t="s">
        <v>21885</v>
      </c>
      <c r="T4786" t="s">
        <v>21887</v>
      </c>
      <c r="U4786" t="s">
        <v>21888</v>
      </c>
      <c r="V4786" t="s">
        <v>21886</v>
      </c>
      <c r="W4786" t="s">
        <v>4846</v>
      </c>
      <c r="X4786" t="s">
        <v>21889</v>
      </c>
      <c r="Y4786">
        <v>13</v>
      </c>
      <c r="Z4786">
        <v>65</v>
      </c>
    </row>
    <row r="4787" spans="1:26">
      <c r="A4787" s="1">
        <v>4785</v>
      </c>
      <c r="B4787" t="str">
        <f>HYPERLINK("https://bugs.eclipse.org/bugs/show_bug.cgi?id=528259", "528259")</f>
        <v>528259</v>
      </c>
      <c r="C4787" t="s">
        <v>140</v>
      </c>
      <c r="D4787" t="s">
        <v>10</v>
      </c>
      <c r="E4787" t="s">
        <v>16</v>
      </c>
      <c r="F4787" t="s">
        <v>26</v>
      </c>
      <c r="L4787" t="s">
        <v>21890</v>
      </c>
      <c r="R4787" t="s">
        <v>21890</v>
      </c>
      <c r="T4787" t="s">
        <v>21891</v>
      </c>
      <c r="U4787" t="s">
        <v>21890</v>
      </c>
      <c r="V4787" t="s">
        <v>21890</v>
      </c>
      <c r="W4787" t="s">
        <v>4846</v>
      </c>
      <c r="X4787" t="s">
        <v>21892</v>
      </c>
      <c r="Y4787">
        <v>4</v>
      </c>
      <c r="Z4787">
        <v>4</v>
      </c>
    </row>
    <row r="4788" spans="1:26">
      <c r="A4788" s="1">
        <v>4786</v>
      </c>
      <c r="B4788" t="str">
        <f>HYPERLINK("https://bugs.eclipse.org/bugs/show_bug.cgi?id=528820", "528820")</f>
        <v>528820</v>
      </c>
      <c r="C4788" t="s">
        <v>56</v>
      </c>
      <c r="D4788" t="s">
        <v>10</v>
      </c>
      <c r="E4788" t="s">
        <v>14</v>
      </c>
      <c r="F4788" t="s">
        <v>26</v>
      </c>
      <c r="L4788" t="s">
        <v>21893</v>
      </c>
      <c r="P4788" t="s">
        <v>21893</v>
      </c>
      <c r="T4788" t="s">
        <v>21894</v>
      </c>
      <c r="U4788" t="s">
        <v>21895</v>
      </c>
      <c r="V4788" t="s">
        <v>21893</v>
      </c>
      <c r="W4788" t="s">
        <v>18080</v>
      </c>
      <c r="X4788" t="s">
        <v>21896</v>
      </c>
      <c r="Y4788">
        <v>0</v>
      </c>
      <c r="Z4788">
        <v>181.95833333333329</v>
      </c>
    </row>
    <row r="4789" spans="1:26">
      <c r="A4789" s="1">
        <v>4787</v>
      </c>
      <c r="B4789" t="str">
        <f>HYPERLINK("https://bugs.eclipse.org/bugs/show_bug.cgi?id=528984", "528984")</f>
        <v>528984</v>
      </c>
      <c r="C4789" t="s">
        <v>35</v>
      </c>
      <c r="D4789" t="s">
        <v>11</v>
      </c>
      <c r="E4789" t="s">
        <v>12</v>
      </c>
      <c r="F4789" t="s">
        <v>26</v>
      </c>
      <c r="G4789" t="s">
        <v>21897</v>
      </c>
      <c r="L4789" t="s">
        <v>21898</v>
      </c>
      <c r="M4789" t="s">
        <v>21899</v>
      </c>
      <c r="N4789" t="s">
        <v>21898</v>
      </c>
      <c r="T4789" t="s">
        <v>21900</v>
      </c>
      <c r="U4789" t="s">
        <v>21901</v>
      </c>
      <c r="V4789" t="s">
        <v>21899</v>
      </c>
      <c r="W4789" t="s">
        <v>21902</v>
      </c>
      <c r="X4789" t="s">
        <v>21903</v>
      </c>
      <c r="Y4789">
        <v>0</v>
      </c>
      <c r="Z4789">
        <v>1</v>
      </c>
    </row>
    <row r="4790" spans="1:26">
      <c r="A4790" s="1">
        <v>4788</v>
      </c>
      <c r="B4790" t="str">
        <f>HYPERLINK("https://bugs.eclipse.org/bugs/show_bug.cgi?id=529118", "529118")</f>
        <v>529118</v>
      </c>
      <c r="C4790" t="s">
        <v>35</v>
      </c>
      <c r="D4790" t="s">
        <v>11</v>
      </c>
      <c r="E4790" t="s">
        <v>12</v>
      </c>
      <c r="F4790" t="s">
        <v>26</v>
      </c>
      <c r="G4790" t="s">
        <v>21904</v>
      </c>
      <c r="L4790" t="s">
        <v>21905</v>
      </c>
      <c r="M4790" t="s">
        <v>21906</v>
      </c>
      <c r="N4790" t="s">
        <v>21905</v>
      </c>
      <c r="T4790" t="s">
        <v>21907</v>
      </c>
      <c r="U4790" t="s">
        <v>21908</v>
      </c>
      <c r="V4790" t="s">
        <v>21906</v>
      </c>
      <c r="W4790" t="s">
        <v>11693</v>
      </c>
      <c r="X4790" t="s">
        <v>21909</v>
      </c>
      <c r="Y4790">
        <v>0</v>
      </c>
      <c r="Z4790">
        <v>34</v>
      </c>
    </row>
    <row r="4791" spans="1:26">
      <c r="A4791" s="1">
        <v>4789</v>
      </c>
      <c r="B4791" t="str">
        <f>HYPERLINK("https://bugs.eclipse.org/bugs/show_bug.cgi?id=529432", "529432")</f>
        <v>529432</v>
      </c>
      <c r="C4791" t="s">
        <v>149</v>
      </c>
      <c r="D4791" t="s">
        <v>10</v>
      </c>
      <c r="E4791" t="s">
        <v>12</v>
      </c>
      <c r="F4791" t="s">
        <v>26</v>
      </c>
      <c r="H4791" t="s">
        <v>21910</v>
      </c>
      <c r="L4791" t="s">
        <v>21911</v>
      </c>
      <c r="N4791" t="s">
        <v>21911</v>
      </c>
      <c r="S4791" t="s">
        <v>21912</v>
      </c>
      <c r="T4791" t="s">
        <v>21913</v>
      </c>
      <c r="U4791" t="s">
        <v>21914</v>
      </c>
      <c r="V4791" t="s">
        <v>21911</v>
      </c>
      <c r="W4791" t="s">
        <v>4846</v>
      </c>
      <c r="X4791" t="s">
        <v>21915</v>
      </c>
      <c r="Y4791">
        <v>1</v>
      </c>
      <c r="Z4791">
        <v>42</v>
      </c>
    </row>
    <row r="4792" spans="1:26">
      <c r="A4792" s="1">
        <v>4790</v>
      </c>
      <c r="B4792" t="str">
        <f>HYPERLINK("https://bugs.eclipse.org/bugs/show_bug.cgi?id=530188", "530188")</f>
        <v>530188</v>
      </c>
      <c r="C4792" t="s">
        <v>35</v>
      </c>
      <c r="D4792" t="s">
        <v>11</v>
      </c>
      <c r="E4792" t="s">
        <v>12</v>
      </c>
      <c r="F4792" t="s">
        <v>26</v>
      </c>
      <c r="H4792" t="s">
        <v>21916</v>
      </c>
      <c r="L4792" t="s">
        <v>21917</v>
      </c>
      <c r="M4792" t="s">
        <v>21918</v>
      </c>
      <c r="N4792" t="s">
        <v>21917</v>
      </c>
      <c r="T4792" t="s">
        <v>21919</v>
      </c>
      <c r="U4792" t="s">
        <v>21920</v>
      </c>
      <c r="V4792" t="s">
        <v>21921</v>
      </c>
      <c r="W4792" t="s">
        <v>18080</v>
      </c>
      <c r="X4792" t="s">
        <v>21922</v>
      </c>
      <c r="Y4792">
        <v>0</v>
      </c>
      <c r="Z4792">
        <v>371</v>
      </c>
    </row>
    <row r="4793" spans="1:26">
      <c r="A4793" s="1">
        <v>4791</v>
      </c>
      <c r="B4793" t="str">
        <f>HYPERLINK("https://bugs.eclipse.org/bugs/show_bug.cgi?id=530268", "530268")</f>
        <v>530268</v>
      </c>
      <c r="C4793" t="s">
        <v>56</v>
      </c>
      <c r="D4793" t="s">
        <v>10</v>
      </c>
      <c r="E4793" t="s">
        <v>14</v>
      </c>
      <c r="F4793" t="s">
        <v>26</v>
      </c>
      <c r="L4793" t="s">
        <v>21923</v>
      </c>
      <c r="P4793" t="s">
        <v>21923</v>
      </c>
      <c r="T4793" t="s">
        <v>21924</v>
      </c>
      <c r="U4793" t="s">
        <v>21925</v>
      </c>
      <c r="V4793" t="s">
        <v>21923</v>
      </c>
      <c r="W4793" t="s">
        <v>16518</v>
      </c>
      <c r="X4793" t="s">
        <v>21926</v>
      </c>
      <c r="Y4793">
        <v>1</v>
      </c>
      <c r="Z4793">
        <v>22</v>
      </c>
    </row>
    <row r="4794" spans="1:26">
      <c r="A4794" s="1">
        <v>4792</v>
      </c>
      <c r="B4794" t="str">
        <f>HYPERLINK("https://bugs.eclipse.org/bugs/show_bug.cgi?id=530963", "530963")</f>
        <v>530963</v>
      </c>
      <c r="C4794" t="s">
        <v>2160</v>
      </c>
      <c r="D4794" t="s">
        <v>192</v>
      </c>
      <c r="E4794" t="s">
        <v>16</v>
      </c>
      <c r="F4794" t="s">
        <v>26</v>
      </c>
      <c r="L4794" t="s">
        <v>21927</v>
      </c>
      <c r="R4794" t="s">
        <v>21927</v>
      </c>
      <c r="T4794" t="s">
        <v>21928</v>
      </c>
      <c r="U4794" t="s">
        <v>21927</v>
      </c>
      <c r="V4794" t="s">
        <v>21929</v>
      </c>
      <c r="W4794" t="s">
        <v>12301</v>
      </c>
      <c r="X4794" t="s">
        <v>21930</v>
      </c>
      <c r="Y4794">
        <v>348</v>
      </c>
      <c r="Z4794">
        <v>348</v>
      </c>
    </row>
    <row r="4795" spans="1:26">
      <c r="A4795" s="1">
        <v>4793</v>
      </c>
      <c r="B4795" t="str">
        <f>HYPERLINK("https://bugs.eclipse.org/bugs/show_bug.cgi?id=531061", "531061")</f>
        <v>531061</v>
      </c>
      <c r="C4795" t="s">
        <v>149</v>
      </c>
      <c r="D4795" t="s">
        <v>10</v>
      </c>
      <c r="E4795" t="s">
        <v>12</v>
      </c>
      <c r="F4795" t="s">
        <v>26</v>
      </c>
      <c r="G4795" t="s">
        <v>21931</v>
      </c>
      <c r="H4795" t="s">
        <v>21932</v>
      </c>
      <c r="L4795" t="s">
        <v>21933</v>
      </c>
      <c r="N4795" t="s">
        <v>21933</v>
      </c>
      <c r="P4795" t="s">
        <v>21934</v>
      </c>
      <c r="S4795" t="s">
        <v>21935</v>
      </c>
      <c r="T4795" t="s">
        <v>21936</v>
      </c>
      <c r="U4795" t="s">
        <v>21937</v>
      </c>
      <c r="V4795" t="s">
        <v>21938</v>
      </c>
      <c r="W4795" t="s">
        <v>18080</v>
      </c>
      <c r="X4795" t="s">
        <v>21939</v>
      </c>
      <c r="Y4795">
        <v>0</v>
      </c>
      <c r="Z4795">
        <v>772.95833333333337</v>
      </c>
    </row>
    <row r="4796" spans="1:26">
      <c r="A4796" s="1">
        <v>4794</v>
      </c>
      <c r="B4796" t="str">
        <f>HYPERLINK("https://bugs.eclipse.org/bugs/show_bug.cgi?id=531222", "531222")</f>
        <v>531222</v>
      </c>
      <c r="C4796" t="s">
        <v>149</v>
      </c>
      <c r="D4796" t="s">
        <v>10</v>
      </c>
      <c r="E4796" t="s">
        <v>12</v>
      </c>
      <c r="F4796" t="s">
        <v>26</v>
      </c>
      <c r="H4796" t="s">
        <v>21768</v>
      </c>
      <c r="L4796" t="s">
        <v>21940</v>
      </c>
      <c r="N4796" t="s">
        <v>21940</v>
      </c>
      <c r="T4796" t="s">
        <v>21941</v>
      </c>
      <c r="U4796" t="s">
        <v>21942</v>
      </c>
      <c r="V4796" t="s">
        <v>21940</v>
      </c>
      <c r="W4796" t="s">
        <v>4846</v>
      </c>
      <c r="X4796" t="s">
        <v>21943</v>
      </c>
      <c r="Y4796">
        <v>0</v>
      </c>
      <c r="Z4796">
        <v>60.958333333333343</v>
      </c>
    </row>
    <row r="4797" spans="1:26">
      <c r="A4797" s="1">
        <v>4795</v>
      </c>
      <c r="B4797" t="str">
        <f>HYPERLINK("https://bugs.eclipse.org/bugs/show_bug.cgi?id=531690", "531690")</f>
        <v>531690</v>
      </c>
      <c r="C4797" t="s">
        <v>35</v>
      </c>
      <c r="D4797" t="s">
        <v>11</v>
      </c>
      <c r="E4797" t="s">
        <v>12</v>
      </c>
      <c r="F4797" t="s">
        <v>26</v>
      </c>
      <c r="L4797" t="s">
        <v>21944</v>
      </c>
      <c r="M4797" t="s">
        <v>21945</v>
      </c>
      <c r="N4797" t="s">
        <v>21944</v>
      </c>
      <c r="R4797" t="s">
        <v>21946</v>
      </c>
      <c r="S4797" t="s">
        <v>21947</v>
      </c>
      <c r="T4797" t="s">
        <v>21948</v>
      </c>
      <c r="U4797" t="s">
        <v>21949</v>
      </c>
      <c r="V4797" t="s">
        <v>21945</v>
      </c>
      <c r="W4797" t="s">
        <v>6360</v>
      </c>
      <c r="X4797" t="s">
        <v>21950</v>
      </c>
      <c r="Y4797">
        <v>0</v>
      </c>
      <c r="Z4797">
        <v>155.95833333333329</v>
      </c>
    </row>
    <row r="4798" spans="1:26">
      <c r="A4798" s="1">
        <v>4796</v>
      </c>
      <c r="B4798" t="str">
        <f>HYPERLINK("https://bugs.eclipse.org/bugs/show_bug.cgi?id=531942", "531942")</f>
        <v>531942</v>
      </c>
      <c r="C4798" t="s">
        <v>191</v>
      </c>
      <c r="D4798" t="s">
        <v>192</v>
      </c>
      <c r="E4798" t="s">
        <v>14</v>
      </c>
      <c r="F4798" t="s">
        <v>26</v>
      </c>
      <c r="P4798" t="s">
        <v>21951</v>
      </c>
      <c r="T4798" t="s">
        <v>21952</v>
      </c>
      <c r="U4798" t="s">
        <v>21953</v>
      </c>
      <c r="V4798" t="s">
        <v>21951</v>
      </c>
      <c r="W4798" t="s">
        <v>65</v>
      </c>
      <c r="X4798" t="s">
        <v>21954</v>
      </c>
      <c r="Y4798">
        <v>0</v>
      </c>
      <c r="Z4798">
        <v>728</v>
      </c>
    </row>
    <row r="4799" spans="1:26">
      <c r="A4799" s="1">
        <v>4797</v>
      </c>
      <c r="B4799" t="str">
        <f>HYPERLINK("https://bugs.eclipse.org/bugs/show_bug.cgi?id=531946", "531946")</f>
        <v>531946</v>
      </c>
      <c r="C4799" t="s">
        <v>17207</v>
      </c>
      <c r="D4799" t="s">
        <v>192</v>
      </c>
      <c r="E4799" t="s">
        <v>15</v>
      </c>
      <c r="F4799" t="s">
        <v>26</v>
      </c>
      <c r="Q4799" t="s">
        <v>21955</v>
      </c>
      <c r="T4799" t="s">
        <v>21956</v>
      </c>
      <c r="U4799" t="s">
        <v>21957</v>
      </c>
      <c r="V4799" t="s">
        <v>21958</v>
      </c>
      <c r="W4799" t="s">
        <v>143</v>
      </c>
      <c r="X4799" t="s">
        <v>21959</v>
      </c>
      <c r="Y4799">
        <v>0</v>
      </c>
      <c r="Z4799">
        <v>326</v>
      </c>
    </row>
    <row r="4800" spans="1:26">
      <c r="A4800" s="1">
        <v>4798</v>
      </c>
      <c r="B4800" t="str">
        <f>HYPERLINK("https://bugs.eclipse.org/bugs/show_bug.cgi?id=532079", "532079")</f>
        <v>532079</v>
      </c>
      <c r="C4800" t="s">
        <v>140</v>
      </c>
      <c r="D4800" t="s">
        <v>10</v>
      </c>
      <c r="E4800" t="s">
        <v>16</v>
      </c>
      <c r="F4800" t="s">
        <v>26</v>
      </c>
      <c r="L4800" t="s">
        <v>21960</v>
      </c>
      <c r="R4800" t="s">
        <v>21961</v>
      </c>
      <c r="T4800" t="s">
        <v>21962</v>
      </c>
      <c r="U4800" t="s">
        <v>21961</v>
      </c>
      <c r="V4800" t="s">
        <v>21960</v>
      </c>
      <c r="W4800" t="s">
        <v>6360</v>
      </c>
      <c r="X4800" t="s">
        <v>21963</v>
      </c>
      <c r="Y4800">
        <v>1</v>
      </c>
      <c r="Z4800">
        <v>1</v>
      </c>
    </row>
    <row r="4801" spans="1:26">
      <c r="A4801" s="1">
        <v>4799</v>
      </c>
      <c r="B4801" t="str">
        <f>HYPERLINK("https://bugs.eclipse.org/bugs/show_bug.cgi?id=532080", "532080")</f>
        <v>532080</v>
      </c>
      <c r="C4801" t="s">
        <v>88</v>
      </c>
      <c r="D4801" t="s">
        <v>10</v>
      </c>
      <c r="E4801" t="s">
        <v>13</v>
      </c>
      <c r="F4801" t="s">
        <v>26</v>
      </c>
      <c r="L4801" t="s">
        <v>21964</v>
      </c>
      <c r="O4801" t="s">
        <v>21964</v>
      </c>
      <c r="T4801" t="s">
        <v>21965</v>
      </c>
      <c r="U4801" t="s">
        <v>21966</v>
      </c>
      <c r="V4801" t="s">
        <v>21964</v>
      </c>
      <c r="W4801" t="s">
        <v>6360</v>
      </c>
      <c r="X4801" t="s">
        <v>21967</v>
      </c>
      <c r="Y4801">
        <v>0</v>
      </c>
      <c r="Z4801">
        <v>1</v>
      </c>
    </row>
    <row r="4802" spans="1:26">
      <c r="A4802" s="1">
        <v>4800</v>
      </c>
      <c r="B4802" t="str">
        <f>HYPERLINK("https://bugs.eclipse.org/bugs/show_bug.cgi?id=532245", "532245")</f>
        <v>532245</v>
      </c>
      <c r="C4802" t="s">
        <v>21968</v>
      </c>
      <c r="D4802" t="s">
        <v>192</v>
      </c>
      <c r="E4802" t="s">
        <v>15</v>
      </c>
      <c r="F4802" t="s">
        <v>26</v>
      </c>
      <c r="Q4802" t="s">
        <v>21969</v>
      </c>
      <c r="T4802" t="s">
        <v>21970</v>
      </c>
      <c r="U4802" t="s">
        <v>21969</v>
      </c>
      <c r="V4802" t="s">
        <v>21969</v>
      </c>
      <c r="W4802" t="s">
        <v>4846</v>
      </c>
      <c r="X4802" t="s">
        <v>21971</v>
      </c>
      <c r="Y4802">
        <v>1</v>
      </c>
      <c r="Z4802">
        <v>1</v>
      </c>
    </row>
    <row r="4803" spans="1:26">
      <c r="A4803" s="1">
        <v>4801</v>
      </c>
      <c r="B4803" t="str">
        <f>HYPERLINK("https://bugs.eclipse.org/bugs/show_bug.cgi?id=532441", "532441")</f>
        <v>532441</v>
      </c>
      <c r="C4803" t="s">
        <v>18910</v>
      </c>
      <c r="D4803" t="s">
        <v>192</v>
      </c>
      <c r="E4803" t="s">
        <v>15</v>
      </c>
      <c r="F4803" t="s">
        <v>26</v>
      </c>
      <c r="Q4803" t="s">
        <v>21972</v>
      </c>
      <c r="T4803" t="s">
        <v>21973</v>
      </c>
      <c r="U4803" t="s">
        <v>21974</v>
      </c>
      <c r="V4803" t="s">
        <v>21975</v>
      </c>
      <c r="W4803" t="s">
        <v>143</v>
      </c>
      <c r="X4803" t="s">
        <v>21976</v>
      </c>
      <c r="Y4803">
        <v>0</v>
      </c>
      <c r="Z4803">
        <v>54</v>
      </c>
    </row>
    <row r="4804" spans="1:26">
      <c r="A4804" s="1">
        <v>4802</v>
      </c>
      <c r="B4804" t="str">
        <f>HYPERLINK("https://bugs.eclipse.org/bugs/show_bug.cgi?id=532616", "532616")</f>
        <v>532616</v>
      </c>
      <c r="C4804" t="s">
        <v>191</v>
      </c>
      <c r="D4804" t="s">
        <v>192</v>
      </c>
      <c r="E4804" t="s">
        <v>14</v>
      </c>
      <c r="F4804" t="s">
        <v>26</v>
      </c>
      <c r="P4804" t="s">
        <v>21977</v>
      </c>
      <c r="T4804" t="s">
        <v>21978</v>
      </c>
      <c r="U4804" t="s">
        <v>21979</v>
      </c>
      <c r="V4804" t="s">
        <v>21977</v>
      </c>
      <c r="W4804" t="s">
        <v>65</v>
      </c>
      <c r="X4804" t="s">
        <v>21980</v>
      </c>
      <c r="Y4804">
        <v>0</v>
      </c>
      <c r="Z4804">
        <v>785</v>
      </c>
    </row>
    <row r="4805" spans="1:26">
      <c r="A4805" s="1">
        <v>4803</v>
      </c>
      <c r="B4805" t="str">
        <f>HYPERLINK("https://bugs.eclipse.org/bugs/show_bug.cgi?id=532996", "532996")</f>
        <v>532996</v>
      </c>
      <c r="C4805" t="s">
        <v>35</v>
      </c>
      <c r="D4805" t="s">
        <v>11</v>
      </c>
      <c r="E4805" t="s">
        <v>12</v>
      </c>
      <c r="F4805" t="s">
        <v>26</v>
      </c>
      <c r="G4805" t="s">
        <v>21981</v>
      </c>
      <c r="L4805" t="s">
        <v>21982</v>
      </c>
      <c r="M4805" t="s">
        <v>21983</v>
      </c>
      <c r="N4805" t="s">
        <v>21982</v>
      </c>
      <c r="T4805" t="s">
        <v>21984</v>
      </c>
      <c r="U4805" t="s">
        <v>21985</v>
      </c>
      <c r="V4805" t="s">
        <v>21983</v>
      </c>
      <c r="W4805" t="s">
        <v>143</v>
      </c>
      <c r="X4805" t="s">
        <v>21986</v>
      </c>
      <c r="Y4805">
        <v>0</v>
      </c>
      <c r="Z4805">
        <v>1</v>
      </c>
    </row>
    <row r="4806" spans="1:26">
      <c r="A4806" s="1">
        <v>4804</v>
      </c>
      <c r="B4806" t="str">
        <f>HYPERLINK("https://bugs.eclipse.org/bugs/show_bug.cgi?id=533330", "533330")</f>
        <v>533330</v>
      </c>
      <c r="C4806" t="s">
        <v>149</v>
      </c>
      <c r="D4806" t="s">
        <v>10</v>
      </c>
      <c r="E4806" t="s">
        <v>12</v>
      </c>
      <c r="F4806" t="s">
        <v>26</v>
      </c>
      <c r="L4806" t="s">
        <v>21987</v>
      </c>
      <c r="N4806" t="s">
        <v>21987</v>
      </c>
      <c r="T4806" t="s">
        <v>21988</v>
      </c>
      <c r="U4806" t="s">
        <v>21989</v>
      </c>
      <c r="V4806" t="s">
        <v>21987</v>
      </c>
      <c r="W4806" t="s">
        <v>4846</v>
      </c>
      <c r="X4806" t="s">
        <v>21990</v>
      </c>
      <c r="Y4806">
        <v>0</v>
      </c>
      <c r="Z4806">
        <v>7</v>
      </c>
    </row>
    <row r="4807" spans="1:26">
      <c r="A4807" s="1">
        <v>4805</v>
      </c>
      <c r="B4807" t="str">
        <f>HYPERLINK("https://bugs.eclipse.org/bugs/show_bug.cgi?id=534214", "534214")</f>
        <v>534214</v>
      </c>
      <c r="C4807" t="s">
        <v>149</v>
      </c>
      <c r="D4807" t="s">
        <v>10</v>
      </c>
      <c r="E4807" t="s">
        <v>12</v>
      </c>
      <c r="F4807" t="s">
        <v>26</v>
      </c>
      <c r="L4807" t="s">
        <v>21991</v>
      </c>
      <c r="N4807" t="s">
        <v>21991</v>
      </c>
      <c r="T4807" t="s">
        <v>21992</v>
      </c>
      <c r="U4807" t="s">
        <v>21993</v>
      </c>
      <c r="V4807" t="s">
        <v>21994</v>
      </c>
      <c r="W4807" t="s">
        <v>9266</v>
      </c>
      <c r="X4807" t="s">
        <v>21995</v>
      </c>
      <c r="Y4807">
        <v>0</v>
      </c>
      <c r="Z4807">
        <v>179</v>
      </c>
    </row>
    <row r="4808" spans="1:26">
      <c r="A4808" s="1">
        <v>4806</v>
      </c>
      <c r="B4808" t="str">
        <f>HYPERLINK("https://bugs.eclipse.org/bugs/show_bug.cgi?id=534284", "534284")</f>
        <v>534284</v>
      </c>
      <c r="C4808" t="s">
        <v>149</v>
      </c>
      <c r="D4808" t="s">
        <v>10</v>
      </c>
      <c r="E4808" t="s">
        <v>12</v>
      </c>
      <c r="F4808" t="s">
        <v>26</v>
      </c>
      <c r="H4808" t="s">
        <v>21996</v>
      </c>
      <c r="L4808" t="s">
        <v>21997</v>
      </c>
      <c r="N4808" t="s">
        <v>21997</v>
      </c>
      <c r="T4808" t="s">
        <v>21998</v>
      </c>
      <c r="U4808" t="s">
        <v>21999</v>
      </c>
      <c r="V4808" t="s">
        <v>22000</v>
      </c>
      <c r="W4808" t="s">
        <v>4846</v>
      </c>
      <c r="X4808" t="s">
        <v>22001</v>
      </c>
      <c r="Y4808">
        <v>0</v>
      </c>
      <c r="Z4808">
        <v>135</v>
      </c>
    </row>
    <row r="4809" spans="1:26">
      <c r="A4809" s="1">
        <v>4807</v>
      </c>
      <c r="B4809" t="str">
        <f>HYPERLINK("https://bugs.eclipse.org/bugs/show_bug.cgi?id=534449", "534449")</f>
        <v>534449</v>
      </c>
      <c r="C4809" t="s">
        <v>149</v>
      </c>
      <c r="D4809" t="s">
        <v>10</v>
      </c>
      <c r="E4809" t="s">
        <v>12</v>
      </c>
      <c r="F4809" t="s">
        <v>26</v>
      </c>
      <c r="L4809" t="s">
        <v>22002</v>
      </c>
      <c r="N4809" t="s">
        <v>22002</v>
      </c>
      <c r="T4809" t="s">
        <v>22003</v>
      </c>
      <c r="U4809" t="s">
        <v>22004</v>
      </c>
      <c r="V4809" t="s">
        <v>22005</v>
      </c>
      <c r="W4809" t="s">
        <v>4846</v>
      </c>
      <c r="X4809" t="s">
        <v>22006</v>
      </c>
      <c r="Y4809">
        <v>1</v>
      </c>
      <c r="Z4809">
        <v>10</v>
      </c>
    </row>
    <row r="4810" spans="1:26">
      <c r="A4810" s="1">
        <v>4808</v>
      </c>
      <c r="B4810" t="str">
        <f>HYPERLINK("https://bugs.eclipse.org/bugs/show_bug.cgi?id=534596", "534596")</f>
        <v>534596</v>
      </c>
      <c r="C4810" t="s">
        <v>149</v>
      </c>
      <c r="D4810" t="s">
        <v>10</v>
      </c>
      <c r="E4810" t="s">
        <v>12</v>
      </c>
      <c r="F4810" t="s">
        <v>26</v>
      </c>
      <c r="G4810" t="s">
        <v>22007</v>
      </c>
      <c r="L4810" t="s">
        <v>22008</v>
      </c>
      <c r="N4810" t="s">
        <v>22008</v>
      </c>
      <c r="T4810" t="s">
        <v>22009</v>
      </c>
      <c r="U4810" t="s">
        <v>22010</v>
      </c>
      <c r="V4810" t="s">
        <v>22011</v>
      </c>
      <c r="W4810" t="s">
        <v>4846</v>
      </c>
      <c r="X4810" t="s">
        <v>22012</v>
      </c>
      <c r="Y4810">
        <v>0</v>
      </c>
      <c r="Z4810">
        <v>126</v>
      </c>
    </row>
    <row r="4811" spans="1:26">
      <c r="A4811" s="1">
        <v>4809</v>
      </c>
      <c r="B4811" t="str">
        <f>HYPERLINK("https://bugs.eclipse.org/bugs/show_bug.cgi?id=534736", "534736")</f>
        <v>534736</v>
      </c>
      <c r="C4811" t="s">
        <v>35</v>
      </c>
      <c r="D4811" t="s">
        <v>11</v>
      </c>
      <c r="E4811" t="s">
        <v>12</v>
      </c>
      <c r="F4811" t="s">
        <v>26</v>
      </c>
      <c r="G4811" t="s">
        <v>22013</v>
      </c>
      <c r="L4811" t="s">
        <v>22014</v>
      </c>
      <c r="M4811" t="s">
        <v>22015</v>
      </c>
      <c r="N4811" t="s">
        <v>22014</v>
      </c>
      <c r="T4811" t="s">
        <v>22016</v>
      </c>
      <c r="U4811" t="s">
        <v>22017</v>
      </c>
      <c r="V4811" t="s">
        <v>22015</v>
      </c>
      <c r="W4811" t="s">
        <v>22018</v>
      </c>
      <c r="X4811" t="s">
        <v>22019</v>
      </c>
      <c r="Y4811">
        <v>0</v>
      </c>
      <c r="Z4811">
        <v>2</v>
      </c>
    </row>
    <row r="4812" spans="1:26">
      <c r="A4812" s="1">
        <v>4810</v>
      </c>
      <c r="B4812" t="str">
        <f>HYPERLINK("https://bugs.eclipse.org/bugs/show_bug.cgi?id=534944", "534944")</f>
        <v>534944</v>
      </c>
      <c r="C4812" t="s">
        <v>140</v>
      </c>
      <c r="D4812" t="s">
        <v>10</v>
      </c>
      <c r="E4812" t="s">
        <v>16</v>
      </c>
      <c r="F4812" t="s">
        <v>26</v>
      </c>
      <c r="L4812" t="s">
        <v>22020</v>
      </c>
      <c r="R4812" t="s">
        <v>22020</v>
      </c>
      <c r="T4812" t="s">
        <v>22021</v>
      </c>
      <c r="U4812" t="s">
        <v>22022</v>
      </c>
      <c r="V4812" t="s">
        <v>22020</v>
      </c>
      <c r="W4812" t="s">
        <v>143</v>
      </c>
      <c r="X4812" t="s">
        <v>22023</v>
      </c>
      <c r="Y4812">
        <v>0</v>
      </c>
      <c r="Z4812">
        <v>0</v>
      </c>
    </row>
    <row r="4813" spans="1:26">
      <c r="A4813" s="1">
        <v>4811</v>
      </c>
      <c r="B4813" t="str">
        <f>HYPERLINK("https://bugs.eclipse.org/bugs/show_bug.cgi?id=535094", "535094")</f>
        <v>535094</v>
      </c>
      <c r="C4813" t="s">
        <v>4692</v>
      </c>
      <c r="D4813" t="s">
        <v>4692</v>
      </c>
      <c r="F4813" t="s">
        <v>26</v>
      </c>
      <c r="T4813" t="s">
        <v>22024</v>
      </c>
      <c r="U4813" t="s">
        <v>22025</v>
      </c>
      <c r="V4813" t="s">
        <v>22025</v>
      </c>
      <c r="W4813" t="s">
        <v>65</v>
      </c>
      <c r="X4813" t="s">
        <v>22026</v>
      </c>
      <c r="Y4813">
        <v>853</v>
      </c>
    </row>
    <row r="4814" spans="1:26">
      <c r="A4814" s="1">
        <v>4812</v>
      </c>
      <c r="B4814" t="str">
        <f>HYPERLINK("https://bugs.eclipse.org/bugs/show_bug.cgi?id=535242", "535242")</f>
        <v>535242</v>
      </c>
      <c r="C4814" t="s">
        <v>35</v>
      </c>
      <c r="D4814" t="s">
        <v>11</v>
      </c>
      <c r="E4814" t="s">
        <v>12</v>
      </c>
      <c r="F4814" t="s">
        <v>26</v>
      </c>
      <c r="L4814" t="s">
        <v>22027</v>
      </c>
      <c r="M4814" t="s">
        <v>22028</v>
      </c>
      <c r="N4814" t="s">
        <v>22027</v>
      </c>
      <c r="T4814" t="s">
        <v>22029</v>
      </c>
      <c r="U4814" t="s">
        <v>22030</v>
      </c>
      <c r="V4814" t="s">
        <v>22028</v>
      </c>
      <c r="W4814" t="s">
        <v>11693</v>
      </c>
      <c r="X4814" t="s">
        <v>22031</v>
      </c>
      <c r="Y4814">
        <v>0</v>
      </c>
      <c r="Z4814">
        <v>65</v>
      </c>
    </row>
    <row r="4815" spans="1:26">
      <c r="A4815" s="1">
        <v>4813</v>
      </c>
      <c r="B4815" t="str">
        <f>HYPERLINK("https://bugs.eclipse.org/bugs/show_bug.cgi?id=535638", "535638")</f>
        <v>535638</v>
      </c>
      <c r="C4815" t="s">
        <v>35</v>
      </c>
      <c r="D4815" t="s">
        <v>11</v>
      </c>
      <c r="E4815" t="s">
        <v>12</v>
      </c>
      <c r="F4815" t="s">
        <v>26</v>
      </c>
      <c r="G4815" t="s">
        <v>22032</v>
      </c>
      <c r="L4815" t="s">
        <v>22033</v>
      </c>
      <c r="M4815" t="s">
        <v>22034</v>
      </c>
      <c r="N4815" t="s">
        <v>22033</v>
      </c>
      <c r="T4815" t="s">
        <v>22035</v>
      </c>
      <c r="U4815" t="s">
        <v>22036</v>
      </c>
      <c r="V4815" t="s">
        <v>22034</v>
      </c>
      <c r="W4815" t="s">
        <v>11693</v>
      </c>
      <c r="X4815" t="s">
        <v>22037</v>
      </c>
      <c r="Y4815">
        <v>8</v>
      </c>
      <c r="Z4815">
        <v>55</v>
      </c>
    </row>
    <row r="4816" spans="1:26">
      <c r="A4816" s="1">
        <v>4814</v>
      </c>
      <c r="B4816" t="str">
        <f>HYPERLINK("https://bugs.eclipse.org/bugs/show_bug.cgi?id=536071", "536071")</f>
        <v>536071</v>
      </c>
      <c r="C4816" t="s">
        <v>4692</v>
      </c>
      <c r="D4816" t="s">
        <v>4692</v>
      </c>
      <c r="F4816" t="s">
        <v>26</v>
      </c>
    </row>
    <row r="4817" spans="1:26">
      <c r="A4817" s="1">
        <v>4815</v>
      </c>
      <c r="B4817" t="str">
        <f>HYPERLINK("https://bugs.eclipse.org/bugs/show_bug.cgi?id=536269", "536269")</f>
        <v>536269</v>
      </c>
      <c r="C4817" t="s">
        <v>22038</v>
      </c>
      <c r="D4817" t="s">
        <v>192</v>
      </c>
      <c r="E4817" t="s">
        <v>15</v>
      </c>
      <c r="F4817" t="s">
        <v>26</v>
      </c>
      <c r="L4817" t="s">
        <v>22039</v>
      </c>
      <c r="Q4817" t="s">
        <v>22039</v>
      </c>
      <c r="T4817" t="s">
        <v>22040</v>
      </c>
      <c r="U4817" t="s">
        <v>22041</v>
      </c>
      <c r="V4817" t="s">
        <v>22042</v>
      </c>
      <c r="W4817" t="s">
        <v>4846</v>
      </c>
      <c r="X4817" t="s">
        <v>22043</v>
      </c>
      <c r="Y4817">
        <v>0</v>
      </c>
      <c r="Z4817">
        <v>0</v>
      </c>
    </row>
    <row r="4818" spans="1:26">
      <c r="A4818" s="1">
        <v>4816</v>
      </c>
      <c r="B4818" t="str">
        <f>HYPERLINK("https://bugs.eclipse.org/bugs/show_bug.cgi?id=536271", "536271")</f>
        <v>536271</v>
      </c>
      <c r="C4818" t="s">
        <v>22044</v>
      </c>
      <c r="D4818" t="s">
        <v>192</v>
      </c>
      <c r="E4818" t="s">
        <v>15</v>
      </c>
      <c r="F4818" t="s">
        <v>26</v>
      </c>
      <c r="H4818" t="s">
        <v>22045</v>
      </c>
      <c r="Q4818" t="s">
        <v>22046</v>
      </c>
      <c r="T4818" t="s">
        <v>22047</v>
      </c>
      <c r="U4818" t="s">
        <v>22048</v>
      </c>
      <c r="V4818" t="s">
        <v>22046</v>
      </c>
      <c r="W4818" t="s">
        <v>20632</v>
      </c>
      <c r="X4818" t="s">
        <v>22049</v>
      </c>
      <c r="Y4818">
        <v>0</v>
      </c>
      <c r="Z4818">
        <v>0</v>
      </c>
    </row>
    <row r="4819" spans="1:26">
      <c r="A4819" s="1">
        <v>4817</v>
      </c>
      <c r="B4819" t="str">
        <f>HYPERLINK("https://bugs.eclipse.org/bugs/show_bug.cgi?id=536673", "536673")</f>
        <v>536673</v>
      </c>
      <c r="C4819" t="s">
        <v>35</v>
      </c>
      <c r="D4819" t="s">
        <v>11</v>
      </c>
      <c r="E4819" t="s">
        <v>12</v>
      </c>
      <c r="F4819" t="s">
        <v>26</v>
      </c>
      <c r="L4819" t="s">
        <v>22050</v>
      </c>
      <c r="M4819" t="s">
        <v>22051</v>
      </c>
      <c r="N4819" t="s">
        <v>22050</v>
      </c>
      <c r="T4819" t="s">
        <v>22052</v>
      </c>
      <c r="U4819" t="s">
        <v>14689</v>
      </c>
      <c r="V4819" t="s">
        <v>22051</v>
      </c>
      <c r="W4819" t="s">
        <v>11693</v>
      </c>
      <c r="X4819" t="s">
        <v>22053</v>
      </c>
      <c r="Y4819">
        <v>0</v>
      </c>
      <c r="Z4819">
        <v>28</v>
      </c>
    </row>
    <row r="4820" spans="1:26">
      <c r="A4820" s="1">
        <v>4818</v>
      </c>
      <c r="B4820" t="str">
        <f>HYPERLINK("https://bugs.eclipse.org/bugs/show_bug.cgi?id=537029", "537029")</f>
        <v>537029</v>
      </c>
      <c r="C4820" t="s">
        <v>35</v>
      </c>
      <c r="D4820" t="s">
        <v>11</v>
      </c>
      <c r="E4820" t="s">
        <v>12</v>
      </c>
      <c r="F4820" t="s">
        <v>26</v>
      </c>
      <c r="G4820" t="s">
        <v>22054</v>
      </c>
      <c r="L4820" t="s">
        <v>22055</v>
      </c>
      <c r="M4820" t="s">
        <v>22056</v>
      </c>
      <c r="N4820" t="s">
        <v>22055</v>
      </c>
      <c r="T4820" t="s">
        <v>22057</v>
      </c>
      <c r="U4820" t="s">
        <v>22058</v>
      </c>
      <c r="V4820" t="s">
        <v>22059</v>
      </c>
      <c r="W4820" t="s">
        <v>9266</v>
      </c>
      <c r="X4820" t="s">
        <v>22060</v>
      </c>
      <c r="Y4820">
        <v>0</v>
      </c>
      <c r="Z4820">
        <v>67</v>
      </c>
    </row>
    <row r="4821" spans="1:26">
      <c r="A4821" s="1">
        <v>4819</v>
      </c>
      <c r="B4821" t="str">
        <f>HYPERLINK("https://bugs.eclipse.org/bugs/show_bug.cgi?id=537088", "537088")</f>
        <v>537088</v>
      </c>
      <c r="C4821" t="s">
        <v>35</v>
      </c>
      <c r="D4821" t="s">
        <v>11</v>
      </c>
      <c r="E4821" t="s">
        <v>12</v>
      </c>
      <c r="F4821" t="s">
        <v>26</v>
      </c>
      <c r="L4821" t="s">
        <v>22061</v>
      </c>
      <c r="M4821" t="s">
        <v>22062</v>
      </c>
      <c r="N4821" t="s">
        <v>22061</v>
      </c>
      <c r="T4821" t="s">
        <v>22063</v>
      </c>
      <c r="U4821" t="s">
        <v>22064</v>
      </c>
      <c r="V4821" t="s">
        <v>22062</v>
      </c>
      <c r="W4821" t="s">
        <v>11693</v>
      </c>
      <c r="X4821" t="s">
        <v>22065</v>
      </c>
      <c r="Y4821">
        <v>0</v>
      </c>
      <c r="Z4821">
        <v>16</v>
      </c>
    </row>
    <row r="4822" spans="1:26">
      <c r="A4822" s="1">
        <v>4820</v>
      </c>
      <c r="B4822" t="str">
        <f>HYPERLINK("https://bugs.eclipse.org/bugs/show_bug.cgi?id=537247", "537247")</f>
        <v>537247</v>
      </c>
      <c r="C4822" t="s">
        <v>149</v>
      </c>
      <c r="D4822" t="s">
        <v>10</v>
      </c>
      <c r="E4822" t="s">
        <v>12</v>
      </c>
      <c r="F4822" t="s">
        <v>26</v>
      </c>
      <c r="L4822" t="s">
        <v>22066</v>
      </c>
      <c r="N4822" t="s">
        <v>22066</v>
      </c>
      <c r="T4822" t="s">
        <v>22067</v>
      </c>
      <c r="U4822" t="s">
        <v>22068</v>
      </c>
      <c r="V4822" t="s">
        <v>22069</v>
      </c>
      <c r="W4822" t="s">
        <v>11693</v>
      </c>
      <c r="X4822" t="s">
        <v>22070</v>
      </c>
      <c r="Y4822">
        <v>0</v>
      </c>
      <c r="Z4822">
        <v>98</v>
      </c>
    </row>
    <row r="4823" spans="1:26">
      <c r="A4823" s="1">
        <v>4821</v>
      </c>
      <c r="B4823" t="str">
        <f>HYPERLINK("https://bugs.eclipse.org/bugs/show_bug.cgi?id=537346", "537346")</f>
        <v>537346</v>
      </c>
      <c r="C4823" t="s">
        <v>22071</v>
      </c>
      <c r="D4823" t="s">
        <v>192</v>
      </c>
      <c r="E4823" t="s">
        <v>15</v>
      </c>
      <c r="F4823" t="s">
        <v>26</v>
      </c>
      <c r="Q4823" t="s">
        <v>22059</v>
      </c>
      <c r="T4823" t="s">
        <v>22072</v>
      </c>
      <c r="U4823" t="s">
        <v>22073</v>
      </c>
      <c r="V4823" t="s">
        <v>22059</v>
      </c>
      <c r="W4823" t="s">
        <v>9266</v>
      </c>
      <c r="X4823" t="s">
        <v>22074</v>
      </c>
      <c r="Y4823">
        <v>0</v>
      </c>
      <c r="Z4823">
        <v>56</v>
      </c>
    </row>
    <row r="4824" spans="1:26">
      <c r="A4824" s="1">
        <v>4822</v>
      </c>
      <c r="B4824" t="str">
        <f>HYPERLINK("https://bugs.eclipse.org/bugs/show_bug.cgi?id=537911", "537911")</f>
        <v>537911</v>
      </c>
      <c r="C4824" t="s">
        <v>35</v>
      </c>
      <c r="D4824" t="s">
        <v>11</v>
      </c>
      <c r="E4824" t="s">
        <v>12</v>
      </c>
      <c r="F4824" t="s">
        <v>26</v>
      </c>
      <c r="L4824" t="s">
        <v>22075</v>
      </c>
      <c r="M4824" t="s">
        <v>22076</v>
      </c>
      <c r="N4824" t="s">
        <v>22075</v>
      </c>
      <c r="T4824" t="s">
        <v>22077</v>
      </c>
      <c r="U4824" t="s">
        <v>22078</v>
      </c>
      <c r="V4824" t="s">
        <v>22076</v>
      </c>
      <c r="W4824" t="s">
        <v>11693</v>
      </c>
      <c r="X4824" t="s">
        <v>22079</v>
      </c>
      <c r="Y4824">
        <v>0</v>
      </c>
      <c r="Z4824">
        <v>100.0416666666667</v>
      </c>
    </row>
    <row r="4825" spans="1:26">
      <c r="A4825" s="1">
        <v>4823</v>
      </c>
      <c r="B4825" t="str">
        <f>HYPERLINK("https://bugs.eclipse.org/bugs/show_bug.cgi?id=538133", "538133")</f>
        <v>538133</v>
      </c>
      <c r="C4825" t="s">
        <v>149</v>
      </c>
      <c r="D4825" t="s">
        <v>10</v>
      </c>
      <c r="E4825" t="s">
        <v>12</v>
      </c>
      <c r="F4825" t="s">
        <v>26</v>
      </c>
      <c r="L4825" t="s">
        <v>22080</v>
      </c>
      <c r="N4825" t="s">
        <v>22080</v>
      </c>
      <c r="T4825" t="s">
        <v>22081</v>
      </c>
      <c r="U4825" t="s">
        <v>22082</v>
      </c>
      <c r="V4825" t="s">
        <v>22080</v>
      </c>
      <c r="W4825" t="s">
        <v>11693</v>
      </c>
      <c r="X4825" t="s">
        <v>22083</v>
      </c>
      <c r="Y4825">
        <v>0</v>
      </c>
      <c r="Z4825">
        <v>633</v>
      </c>
    </row>
    <row r="4826" spans="1:26">
      <c r="A4826" s="1">
        <v>4824</v>
      </c>
      <c r="B4826" t="str">
        <f>HYPERLINK("https://bugs.eclipse.org/bugs/show_bug.cgi?id=538211", "538211")</f>
        <v>538211</v>
      </c>
      <c r="C4826" t="s">
        <v>149</v>
      </c>
      <c r="D4826" t="s">
        <v>10</v>
      </c>
      <c r="E4826" t="s">
        <v>12</v>
      </c>
      <c r="F4826" t="s">
        <v>26</v>
      </c>
      <c r="L4826" t="s">
        <v>22084</v>
      </c>
      <c r="N4826" t="s">
        <v>22084</v>
      </c>
      <c r="T4826" t="s">
        <v>22085</v>
      </c>
      <c r="U4826" t="s">
        <v>22086</v>
      </c>
      <c r="V4826" t="s">
        <v>22084</v>
      </c>
      <c r="W4826" t="s">
        <v>4206</v>
      </c>
      <c r="X4826" t="s">
        <v>22087</v>
      </c>
      <c r="Y4826">
        <v>0</v>
      </c>
      <c r="Z4826">
        <v>56</v>
      </c>
    </row>
    <row r="4827" spans="1:26">
      <c r="A4827" s="1">
        <v>4825</v>
      </c>
      <c r="B4827" t="str">
        <f>HYPERLINK("https://bugs.eclipse.org/bugs/show_bug.cgi?id=538300", "538300")</f>
        <v>538300</v>
      </c>
      <c r="C4827" t="s">
        <v>25</v>
      </c>
      <c r="D4827" t="s">
        <v>25</v>
      </c>
      <c r="F4827" t="s">
        <v>26</v>
      </c>
      <c r="T4827" t="s">
        <v>22088</v>
      </c>
      <c r="U4827" t="s">
        <v>22089</v>
      </c>
      <c r="V4827" t="s">
        <v>22090</v>
      </c>
      <c r="W4827" t="s">
        <v>12867</v>
      </c>
      <c r="X4827" t="s">
        <v>22091</v>
      </c>
      <c r="Y4827">
        <v>0</v>
      </c>
    </row>
    <row r="4828" spans="1:26">
      <c r="A4828" s="1">
        <v>4826</v>
      </c>
      <c r="B4828" t="str">
        <f>HYPERLINK("https://bugs.eclipse.org/bugs/show_bug.cgi?id=538429", "538429")</f>
        <v>538429</v>
      </c>
      <c r="C4828" t="s">
        <v>149</v>
      </c>
      <c r="D4828" t="s">
        <v>10</v>
      </c>
      <c r="E4828" t="s">
        <v>12</v>
      </c>
      <c r="F4828" t="s">
        <v>26</v>
      </c>
      <c r="L4828" t="s">
        <v>22092</v>
      </c>
      <c r="N4828" t="s">
        <v>22092</v>
      </c>
      <c r="T4828" t="s">
        <v>22093</v>
      </c>
      <c r="U4828" t="s">
        <v>22094</v>
      </c>
      <c r="V4828" t="s">
        <v>22095</v>
      </c>
      <c r="W4828" t="s">
        <v>11693</v>
      </c>
      <c r="X4828" t="s">
        <v>22096</v>
      </c>
      <c r="Y4828">
        <v>0</v>
      </c>
      <c r="Z4828">
        <v>57</v>
      </c>
    </row>
    <row r="4829" spans="1:26">
      <c r="A4829" s="1">
        <v>4827</v>
      </c>
      <c r="B4829" t="str">
        <f>HYPERLINK("https://bugs.eclipse.org/bugs/show_bug.cgi?id=538656", "538656")</f>
        <v>538656</v>
      </c>
      <c r="C4829" t="s">
        <v>149</v>
      </c>
      <c r="D4829" t="s">
        <v>10</v>
      </c>
      <c r="E4829" t="s">
        <v>12</v>
      </c>
      <c r="F4829" t="s">
        <v>26</v>
      </c>
      <c r="G4829" t="s">
        <v>22097</v>
      </c>
      <c r="H4829" t="s">
        <v>22098</v>
      </c>
      <c r="L4829" t="s">
        <v>22099</v>
      </c>
      <c r="N4829" t="s">
        <v>22099</v>
      </c>
      <c r="S4829" t="s">
        <v>22100</v>
      </c>
      <c r="T4829" t="s">
        <v>22101</v>
      </c>
      <c r="U4829" t="s">
        <v>22102</v>
      </c>
      <c r="V4829" t="s">
        <v>22103</v>
      </c>
      <c r="W4829" t="s">
        <v>65</v>
      </c>
      <c r="X4829" t="s">
        <v>22104</v>
      </c>
      <c r="Y4829">
        <v>0</v>
      </c>
      <c r="Z4829">
        <v>439.04166666666669</v>
      </c>
    </row>
    <row r="4830" spans="1:26">
      <c r="A4830" s="1">
        <v>4828</v>
      </c>
      <c r="B4830" t="str">
        <f>HYPERLINK("https://bugs.eclipse.org/bugs/show_bug.cgi?id=538995", "538995")</f>
        <v>538995</v>
      </c>
      <c r="C4830" t="s">
        <v>2160</v>
      </c>
      <c r="D4830" t="s">
        <v>192</v>
      </c>
      <c r="E4830" t="s">
        <v>16</v>
      </c>
      <c r="F4830" t="s">
        <v>26</v>
      </c>
      <c r="R4830" t="s">
        <v>22105</v>
      </c>
      <c r="T4830" t="s">
        <v>22106</v>
      </c>
      <c r="U4830" t="s">
        <v>22107</v>
      </c>
      <c r="V4830" t="s">
        <v>22108</v>
      </c>
      <c r="W4830" t="s">
        <v>16518</v>
      </c>
      <c r="X4830" t="s">
        <v>22109</v>
      </c>
      <c r="Y4830">
        <v>0</v>
      </c>
      <c r="Z4830">
        <v>23</v>
      </c>
    </row>
    <row r="4831" spans="1:26">
      <c r="A4831" s="1">
        <v>4829</v>
      </c>
      <c r="B4831" t="str">
        <f>HYPERLINK("https://bugs.eclipse.org/bugs/show_bug.cgi?id=539065", "539065")</f>
        <v>539065</v>
      </c>
      <c r="C4831" t="s">
        <v>4692</v>
      </c>
      <c r="D4831" t="s">
        <v>4692</v>
      </c>
      <c r="F4831" t="s">
        <v>26</v>
      </c>
    </row>
    <row r="4832" spans="1:26">
      <c r="A4832" s="1">
        <v>4830</v>
      </c>
      <c r="B4832" t="str">
        <f>HYPERLINK("https://bugs.eclipse.org/bugs/show_bug.cgi?id=539104", "539104")</f>
        <v>539104</v>
      </c>
      <c r="C4832" t="s">
        <v>4692</v>
      </c>
      <c r="D4832" t="s">
        <v>4692</v>
      </c>
      <c r="F4832" t="s">
        <v>26</v>
      </c>
      <c r="T4832" t="s">
        <v>22110</v>
      </c>
      <c r="U4832" t="s">
        <v>22111</v>
      </c>
      <c r="V4832" t="s">
        <v>22112</v>
      </c>
      <c r="W4832" t="s">
        <v>12301</v>
      </c>
      <c r="X4832" t="s">
        <v>22113</v>
      </c>
      <c r="Y4832">
        <v>0</v>
      </c>
    </row>
    <row r="4833" spans="1:26">
      <c r="A4833" s="1">
        <v>4831</v>
      </c>
      <c r="B4833" t="str">
        <f>HYPERLINK("https://bugs.eclipse.org/bugs/show_bug.cgi?id=539163", "539163")</f>
        <v>539163</v>
      </c>
      <c r="C4833" t="s">
        <v>35</v>
      </c>
      <c r="D4833" t="s">
        <v>11</v>
      </c>
      <c r="E4833" t="s">
        <v>12</v>
      </c>
      <c r="F4833" t="s">
        <v>26</v>
      </c>
      <c r="L4833" t="s">
        <v>22114</v>
      </c>
      <c r="M4833" t="s">
        <v>22115</v>
      </c>
      <c r="N4833" t="s">
        <v>22114</v>
      </c>
      <c r="T4833" t="s">
        <v>22116</v>
      </c>
      <c r="U4833" t="s">
        <v>22117</v>
      </c>
      <c r="V4833" t="s">
        <v>22115</v>
      </c>
      <c r="W4833" t="s">
        <v>11693</v>
      </c>
      <c r="X4833" t="s">
        <v>22118</v>
      </c>
      <c r="Y4833">
        <v>0</v>
      </c>
      <c r="Z4833">
        <v>65.041666666666671</v>
      </c>
    </row>
    <row r="4834" spans="1:26">
      <c r="A4834" s="1">
        <v>4832</v>
      </c>
      <c r="B4834" t="str">
        <f>HYPERLINK("https://bugs.eclipse.org/bugs/show_bug.cgi?id=539166", "539166")</f>
        <v>539166</v>
      </c>
      <c r="C4834" t="s">
        <v>35</v>
      </c>
      <c r="D4834" t="s">
        <v>11</v>
      </c>
      <c r="E4834" t="s">
        <v>12</v>
      </c>
      <c r="F4834" t="s">
        <v>26</v>
      </c>
      <c r="L4834" t="s">
        <v>22119</v>
      </c>
      <c r="M4834" t="s">
        <v>22120</v>
      </c>
      <c r="N4834" t="s">
        <v>22119</v>
      </c>
      <c r="T4834" t="s">
        <v>22121</v>
      </c>
      <c r="U4834" t="s">
        <v>22122</v>
      </c>
      <c r="V4834" t="s">
        <v>22120</v>
      </c>
      <c r="W4834" t="s">
        <v>11693</v>
      </c>
      <c r="X4834" t="s">
        <v>22123</v>
      </c>
      <c r="Y4834">
        <v>0</v>
      </c>
      <c r="Z4834">
        <v>65.041666666666671</v>
      </c>
    </row>
    <row r="4835" spans="1:26">
      <c r="A4835" s="1">
        <v>4833</v>
      </c>
      <c r="B4835" t="str">
        <f>HYPERLINK("https://bugs.eclipse.org/bugs/show_bug.cgi?id=539312", "539312")</f>
        <v>539312</v>
      </c>
      <c r="C4835" t="s">
        <v>2160</v>
      </c>
      <c r="D4835" t="s">
        <v>192</v>
      </c>
      <c r="E4835" t="s">
        <v>16</v>
      </c>
      <c r="F4835" t="s">
        <v>26</v>
      </c>
      <c r="R4835" t="s">
        <v>22124</v>
      </c>
      <c r="T4835" t="s">
        <v>22125</v>
      </c>
      <c r="U4835" t="s">
        <v>22126</v>
      </c>
      <c r="V4835" t="s">
        <v>22124</v>
      </c>
      <c r="W4835" t="s">
        <v>11693</v>
      </c>
      <c r="X4835" t="s">
        <v>22127</v>
      </c>
      <c r="Y4835">
        <v>0</v>
      </c>
      <c r="Z4835">
        <v>753</v>
      </c>
    </row>
    <row r="4836" spans="1:26">
      <c r="A4836" s="1">
        <v>4834</v>
      </c>
      <c r="B4836" t="str">
        <f>HYPERLINK("https://bugs.eclipse.org/bugs/show_bug.cgi?id=539429", "539429")</f>
        <v>539429</v>
      </c>
      <c r="C4836" t="s">
        <v>35</v>
      </c>
      <c r="D4836" t="s">
        <v>11</v>
      </c>
      <c r="E4836" t="s">
        <v>12</v>
      </c>
      <c r="F4836" t="s">
        <v>26</v>
      </c>
      <c r="L4836" t="s">
        <v>22128</v>
      </c>
      <c r="M4836" t="s">
        <v>22129</v>
      </c>
      <c r="N4836" t="s">
        <v>22128</v>
      </c>
      <c r="T4836" t="s">
        <v>22130</v>
      </c>
      <c r="U4836" t="s">
        <v>22131</v>
      </c>
      <c r="V4836" t="s">
        <v>22129</v>
      </c>
      <c r="W4836" t="s">
        <v>19597</v>
      </c>
      <c r="X4836" t="s">
        <v>22132</v>
      </c>
      <c r="Y4836">
        <v>0</v>
      </c>
      <c r="Z4836">
        <v>602</v>
      </c>
    </row>
    <row r="4837" spans="1:26">
      <c r="A4837" s="1">
        <v>4835</v>
      </c>
      <c r="B4837" t="str">
        <f>HYPERLINK("https://bugs.eclipse.org/bugs/show_bug.cgi?id=539509", "539509")</f>
        <v>539509</v>
      </c>
      <c r="C4837" t="s">
        <v>149</v>
      </c>
      <c r="D4837" t="s">
        <v>10</v>
      </c>
      <c r="E4837" t="s">
        <v>12</v>
      </c>
      <c r="F4837" t="s">
        <v>26</v>
      </c>
      <c r="G4837" t="s">
        <v>22133</v>
      </c>
      <c r="L4837" t="s">
        <v>22134</v>
      </c>
      <c r="N4837" t="s">
        <v>22134</v>
      </c>
      <c r="T4837" t="s">
        <v>22135</v>
      </c>
      <c r="U4837" t="s">
        <v>22136</v>
      </c>
      <c r="V4837" t="s">
        <v>22134</v>
      </c>
      <c r="W4837" t="s">
        <v>22137</v>
      </c>
      <c r="X4837" t="s">
        <v>22138</v>
      </c>
      <c r="Y4837">
        <v>0</v>
      </c>
      <c r="Z4837">
        <v>1</v>
      </c>
    </row>
    <row r="4838" spans="1:26">
      <c r="A4838" s="1">
        <v>4836</v>
      </c>
      <c r="B4838" t="str">
        <f>HYPERLINK("https://bugs.eclipse.org/bugs/show_bug.cgi?id=539511", "539511")</f>
        <v>539511</v>
      </c>
      <c r="C4838" t="s">
        <v>22139</v>
      </c>
      <c r="D4838" t="s">
        <v>192</v>
      </c>
      <c r="E4838" t="s">
        <v>15</v>
      </c>
      <c r="F4838" t="s">
        <v>26</v>
      </c>
      <c r="Q4838" t="s">
        <v>22140</v>
      </c>
      <c r="T4838" t="s">
        <v>22141</v>
      </c>
      <c r="U4838" t="s">
        <v>22140</v>
      </c>
      <c r="V4838" t="s">
        <v>22140</v>
      </c>
      <c r="W4838" t="s">
        <v>11693</v>
      </c>
      <c r="X4838" t="s">
        <v>22142</v>
      </c>
      <c r="Y4838">
        <v>0</v>
      </c>
      <c r="Z4838">
        <v>0</v>
      </c>
    </row>
    <row r="4839" spans="1:26">
      <c r="A4839" s="1">
        <v>4837</v>
      </c>
      <c r="B4839" t="str">
        <f>HYPERLINK("https://bugs.eclipse.org/bugs/show_bug.cgi?id=539589", "539589")</f>
        <v>539589</v>
      </c>
      <c r="C4839" t="s">
        <v>149</v>
      </c>
      <c r="D4839" t="s">
        <v>10</v>
      </c>
      <c r="E4839" t="s">
        <v>12</v>
      </c>
      <c r="F4839" t="s">
        <v>26</v>
      </c>
      <c r="G4839" t="s">
        <v>22143</v>
      </c>
      <c r="L4839" t="s">
        <v>22144</v>
      </c>
      <c r="N4839" t="s">
        <v>22144</v>
      </c>
      <c r="T4839" t="s">
        <v>22145</v>
      </c>
      <c r="U4839" t="s">
        <v>22146</v>
      </c>
      <c r="V4839" t="s">
        <v>22147</v>
      </c>
      <c r="W4839" t="s">
        <v>6360</v>
      </c>
      <c r="X4839" t="s">
        <v>22148</v>
      </c>
      <c r="Y4839">
        <v>0</v>
      </c>
      <c r="Z4839">
        <v>41.041666666666657</v>
      </c>
    </row>
    <row r="4840" spans="1:26">
      <c r="A4840" s="1">
        <v>4838</v>
      </c>
      <c r="B4840" t="str">
        <f>HYPERLINK("https://bugs.eclipse.org/bugs/show_bug.cgi?id=539710", "539710")</f>
        <v>539710</v>
      </c>
      <c r="C4840" t="s">
        <v>149</v>
      </c>
      <c r="D4840" t="s">
        <v>10</v>
      </c>
      <c r="E4840" t="s">
        <v>12</v>
      </c>
      <c r="F4840" t="s">
        <v>26</v>
      </c>
      <c r="L4840" t="s">
        <v>22149</v>
      </c>
      <c r="N4840" t="s">
        <v>22149</v>
      </c>
      <c r="T4840" t="s">
        <v>22150</v>
      </c>
      <c r="U4840" t="s">
        <v>22151</v>
      </c>
      <c r="V4840" t="s">
        <v>22149</v>
      </c>
      <c r="W4840" t="s">
        <v>12301</v>
      </c>
      <c r="X4840" t="s">
        <v>22152</v>
      </c>
      <c r="Y4840">
        <v>0</v>
      </c>
      <c r="Z4840">
        <v>105.0416666666667</v>
      </c>
    </row>
    <row r="4841" spans="1:26">
      <c r="A4841" s="1">
        <v>4839</v>
      </c>
      <c r="B4841" t="str">
        <f>HYPERLINK("https://bugs.eclipse.org/bugs/show_bug.cgi?id=540154", "540154")</f>
        <v>540154</v>
      </c>
      <c r="C4841" t="s">
        <v>140</v>
      </c>
      <c r="D4841" t="s">
        <v>10</v>
      </c>
      <c r="E4841" t="s">
        <v>16</v>
      </c>
      <c r="F4841" t="s">
        <v>26</v>
      </c>
      <c r="L4841" t="s">
        <v>22153</v>
      </c>
      <c r="R4841" t="s">
        <v>22153</v>
      </c>
      <c r="T4841" t="s">
        <v>22154</v>
      </c>
      <c r="U4841" t="s">
        <v>22153</v>
      </c>
      <c r="V4841" t="s">
        <v>22153</v>
      </c>
      <c r="W4841" t="s">
        <v>4846</v>
      </c>
      <c r="X4841" t="s">
        <v>22155</v>
      </c>
      <c r="Y4841">
        <v>1</v>
      </c>
      <c r="Z4841">
        <v>1</v>
      </c>
    </row>
    <row r="4842" spans="1:26">
      <c r="A4842" s="1">
        <v>4840</v>
      </c>
      <c r="B4842" t="str">
        <f>HYPERLINK("https://bugs.eclipse.org/bugs/show_bug.cgi?id=540490", "540490")</f>
        <v>540490</v>
      </c>
      <c r="C4842" t="s">
        <v>191</v>
      </c>
      <c r="D4842" t="s">
        <v>192</v>
      </c>
      <c r="E4842" t="s">
        <v>14</v>
      </c>
      <c r="F4842" t="s">
        <v>26</v>
      </c>
      <c r="P4842" t="s">
        <v>22156</v>
      </c>
      <c r="T4842" t="s">
        <v>22157</v>
      </c>
      <c r="U4842" t="s">
        <v>22158</v>
      </c>
      <c r="V4842" t="s">
        <v>22156</v>
      </c>
      <c r="W4842" t="s">
        <v>12301</v>
      </c>
      <c r="X4842" t="s">
        <v>22159</v>
      </c>
      <c r="Y4842">
        <v>0</v>
      </c>
      <c r="Z4842">
        <v>190</v>
      </c>
    </row>
    <row r="4843" spans="1:26">
      <c r="A4843" s="1">
        <v>4841</v>
      </c>
      <c r="B4843" t="str">
        <f>HYPERLINK("https://bugs.eclipse.org/bugs/show_bug.cgi?id=540873", "540873")</f>
        <v>540873</v>
      </c>
      <c r="C4843" t="s">
        <v>35</v>
      </c>
      <c r="D4843" t="s">
        <v>11</v>
      </c>
      <c r="E4843" t="s">
        <v>12</v>
      </c>
      <c r="F4843" t="s">
        <v>26</v>
      </c>
      <c r="L4843" t="s">
        <v>22160</v>
      </c>
      <c r="M4843" t="s">
        <v>22161</v>
      </c>
      <c r="N4843" t="s">
        <v>22160</v>
      </c>
      <c r="T4843" t="s">
        <v>22162</v>
      </c>
      <c r="U4843" t="s">
        <v>22163</v>
      </c>
      <c r="V4843" t="s">
        <v>22161</v>
      </c>
      <c r="W4843" t="s">
        <v>4846</v>
      </c>
      <c r="X4843" t="s">
        <v>22164</v>
      </c>
      <c r="Y4843">
        <v>1</v>
      </c>
      <c r="Z4843">
        <v>14</v>
      </c>
    </row>
    <row r="4844" spans="1:26">
      <c r="A4844" s="1">
        <v>4842</v>
      </c>
      <c r="B4844" t="str">
        <f>HYPERLINK("https://bugs.eclipse.org/bugs/show_bug.cgi?id=541398", "541398")</f>
        <v>541398</v>
      </c>
      <c r="C4844" t="s">
        <v>4692</v>
      </c>
      <c r="D4844" t="s">
        <v>4692</v>
      </c>
      <c r="F4844" t="s">
        <v>26</v>
      </c>
      <c r="G4844" t="s">
        <v>22165</v>
      </c>
      <c r="T4844" t="s">
        <v>22166</v>
      </c>
      <c r="U4844" t="s">
        <v>22167</v>
      </c>
      <c r="V4844" t="s">
        <v>22168</v>
      </c>
      <c r="W4844" t="s">
        <v>4846</v>
      </c>
      <c r="X4844" t="s">
        <v>22169</v>
      </c>
      <c r="Y4844">
        <v>0</v>
      </c>
    </row>
    <row r="4845" spans="1:26">
      <c r="A4845" s="1">
        <v>4843</v>
      </c>
      <c r="B4845" t="str">
        <f>HYPERLINK("https://bugs.eclipse.org/bugs/show_bug.cgi?id=542780", "542780")</f>
        <v>542780</v>
      </c>
      <c r="C4845" t="s">
        <v>149</v>
      </c>
      <c r="D4845" t="s">
        <v>10</v>
      </c>
      <c r="E4845" t="s">
        <v>12</v>
      </c>
      <c r="F4845" t="s">
        <v>26</v>
      </c>
      <c r="L4845" t="s">
        <v>22170</v>
      </c>
      <c r="N4845" t="s">
        <v>22170</v>
      </c>
      <c r="T4845" t="s">
        <v>22171</v>
      </c>
      <c r="U4845" t="s">
        <v>22172</v>
      </c>
      <c r="V4845" t="s">
        <v>22173</v>
      </c>
      <c r="W4845" t="s">
        <v>65</v>
      </c>
      <c r="X4845" t="s">
        <v>22174</v>
      </c>
      <c r="Y4845">
        <v>0</v>
      </c>
      <c r="Z4845">
        <v>4</v>
      </c>
    </row>
    <row r="4846" spans="1:26">
      <c r="A4846" s="1">
        <v>4844</v>
      </c>
      <c r="B4846" t="str">
        <f>HYPERLINK("https://bugs.eclipse.org/bugs/show_bug.cgi?id=542811", "542811")</f>
        <v>542811</v>
      </c>
      <c r="C4846" t="s">
        <v>149</v>
      </c>
      <c r="D4846" t="s">
        <v>10</v>
      </c>
      <c r="E4846" t="s">
        <v>12</v>
      </c>
      <c r="F4846" t="s">
        <v>26</v>
      </c>
      <c r="L4846" t="s">
        <v>22175</v>
      </c>
      <c r="N4846" t="s">
        <v>22175</v>
      </c>
      <c r="T4846" t="s">
        <v>22176</v>
      </c>
      <c r="U4846" t="s">
        <v>22177</v>
      </c>
      <c r="V4846" t="s">
        <v>22175</v>
      </c>
      <c r="W4846" t="s">
        <v>9266</v>
      </c>
      <c r="X4846" t="s">
        <v>22178</v>
      </c>
      <c r="Y4846">
        <v>0</v>
      </c>
      <c r="Z4846">
        <v>32</v>
      </c>
    </row>
    <row r="4847" spans="1:26">
      <c r="A4847" s="1">
        <v>4845</v>
      </c>
      <c r="B4847" t="str">
        <f>HYPERLINK("https://bugs.eclipse.org/bugs/show_bug.cgi?id=543202", "543202")</f>
        <v>543202</v>
      </c>
      <c r="C4847" t="s">
        <v>22179</v>
      </c>
      <c r="D4847" t="s">
        <v>192</v>
      </c>
      <c r="E4847" t="s">
        <v>17701</v>
      </c>
      <c r="F4847" t="s">
        <v>26</v>
      </c>
      <c r="T4847" t="s">
        <v>22180</v>
      </c>
      <c r="U4847" t="s">
        <v>22181</v>
      </c>
      <c r="V4847" t="s">
        <v>22182</v>
      </c>
      <c r="W4847" t="s">
        <v>16518</v>
      </c>
      <c r="X4847" t="s">
        <v>22183</v>
      </c>
      <c r="Y4847">
        <v>0</v>
      </c>
      <c r="Z4847">
        <v>15</v>
      </c>
    </row>
    <row r="4848" spans="1:26">
      <c r="A4848" s="1">
        <v>4846</v>
      </c>
      <c r="B4848" t="str">
        <f>HYPERLINK("https://bugs.eclipse.org/bugs/show_bug.cgi?id=543470", "543470")</f>
        <v>543470</v>
      </c>
      <c r="C4848" t="s">
        <v>35</v>
      </c>
      <c r="D4848" t="s">
        <v>11</v>
      </c>
      <c r="E4848" t="s">
        <v>12</v>
      </c>
      <c r="F4848" t="s">
        <v>26</v>
      </c>
      <c r="L4848" t="s">
        <v>22184</v>
      </c>
      <c r="M4848" t="s">
        <v>22185</v>
      </c>
      <c r="N4848" t="s">
        <v>22184</v>
      </c>
      <c r="T4848" t="s">
        <v>22186</v>
      </c>
      <c r="U4848" t="s">
        <v>22187</v>
      </c>
      <c r="V4848" t="s">
        <v>22185</v>
      </c>
      <c r="W4848" t="s">
        <v>9266</v>
      </c>
      <c r="X4848" t="s">
        <v>22188</v>
      </c>
      <c r="Y4848">
        <v>0</v>
      </c>
      <c r="Z4848">
        <v>181.95833333333329</v>
      </c>
    </row>
    <row r="4849" spans="1:26">
      <c r="A4849" s="1">
        <v>4847</v>
      </c>
      <c r="B4849" t="str">
        <f>HYPERLINK("https://bugs.eclipse.org/bugs/show_bug.cgi?id=543623", "543623")</f>
        <v>543623</v>
      </c>
      <c r="C4849" t="s">
        <v>25</v>
      </c>
      <c r="D4849" t="s">
        <v>25</v>
      </c>
      <c r="F4849" t="s">
        <v>26</v>
      </c>
      <c r="T4849" t="s">
        <v>22189</v>
      </c>
      <c r="U4849" t="s">
        <v>22190</v>
      </c>
      <c r="V4849" t="s">
        <v>22191</v>
      </c>
      <c r="W4849" t="s">
        <v>65</v>
      </c>
      <c r="X4849" t="s">
        <v>22192</v>
      </c>
      <c r="Y4849">
        <v>0</v>
      </c>
    </row>
    <row r="4850" spans="1:26">
      <c r="A4850" s="1">
        <v>4848</v>
      </c>
      <c r="B4850" t="str">
        <f>HYPERLINK("https://bugs.eclipse.org/bugs/show_bug.cgi?id=543991", "543991")</f>
        <v>543991</v>
      </c>
      <c r="C4850" t="s">
        <v>35</v>
      </c>
      <c r="D4850" t="s">
        <v>11</v>
      </c>
      <c r="E4850" t="s">
        <v>12</v>
      </c>
      <c r="F4850" t="s">
        <v>26</v>
      </c>
      <c r="L4850" t="s">
        <v>22193</v>
      </c>
      <c r="M4850" t="s">
        <v>22194</v>
      </c>
      <c r="N4850" t="s">
        <v>22193</v>
      </c>
      <c r="S4850" t="s">
        <v>22195</v>
      </c>
      <c r="T4850" t="s">
        <v>22196</v>
      </c>
      <c r="U4850" t="s">
        <v>22197</v>
      </c>
      <c r="V4850" t="s">
        <v>22194</v>
      </c>
      <c r="W4850" t="s">
        <v>9266</v>
      </c>
      <c r="X4850" t="s">
        <v>22198</v>
      </c>
      <c r="Y4850">
        <v>0</v>
      </c>
      <c r="Z4850">
        <v>111.9583333333333</v>
      </c>
    </row>
    <row r="4851" spans="1:26">
      <c r="A4851" s="1">
        <v>4849</v>
      </c>
      <c r="B4851" t="str">
        <f>HYPERLINK("https://bugs.eclipse.org/bugs/show_bug.cgi?id=544200", "544200")</f>
        <v>544200</v>
      </c>
      <c r="C4851" t="s">
        <v>17700</v>
      </c>
      <c r="D4851" t="s">
        <v>10</v>
      </c>
      <c r="E4851" t="s">
        <v>17701</v>
      </c>
      <c r="F4851" t="s">
        <v>26</v>
      </c>
      <c r="L4851" t="s">
        <v>22199</v>
      </c>
      <c r="T4851" t="s">
        <v>22200</v>
      </c>
      <c r="U4851" t="s">
        <v>22201</v>
      </c>
      <c r="V4851" t="s">
        <v>22199</v>
      </c>
      <c r="W4851" t="s">
        <v>4846</v>
      </c>
      <c r="X4851" t="s">
        <v>22202</v>
      </c>
      <c r="Y4851">
        <v>0</v>
      </c>
      <c r="Z4851">
        <v>0</v>
      </c>
    </row>
    <row r="4852" spans="1:26">
      <c r="A4852" s="1">
        <v>4850</v>
      </c>
      <c r="B4852" t="str">
        <f>HYPERLINK("https://bugs.eclipse.org/bugs/show_bug.cgi?id=544817", "544817")</f>
        <v>544817</v>
      </c>
      <c r="C4852" t="s">
        <v>149</v>
      </c>
      <c r="D4852" t="s">
        <v>10</v>
      </c>
      <c r="E4852" t="s">
        <v>12</v>
      </c>
      <c r="F4852" t="s">
        <v>26</v>
      </c>
      <c r="G4852" t="s">
        <v>22203</v>
      </c>
      <c r="H4852" t="s">
        <v>22204</v>
      </c>
      <c r="L4852" t="s">
        <v>22205</v>
      </c>
      <c r="N4852" t="s">
        <v>22205</v>
      </c>
      <c r="T4852" t="s">
        <v>22206</v>
      </c>
      <c r="U4852" t="s">
        <v>22207</v>
      </c>
      <c r="V4852" t="s">
        <v>22205</v>
      </c>
      <c r="W4852" t="s">
        <v>4846</v>
      </c>
      <c r="X4852" t="s">
        <v>22208</v>
      </c>
      <c r="Y4852">
        <v>0</v>
      </c>
      <c r="Z4852">
        <v>9</v>
      </c>
    </row>
    <row r="4853" spans="1:26">
      <c r="A4853" s="1">
        <v>4851</v>
      </c>
      <c r="B4853" t="str">
        <f>HYPERLINK("https://bugs.eclipse.org/bugs/show_bug.cgi?id=544898", "544898")</f>
        <v>544898</v>
      </c>
      <c r="C4853" t="s">
        <v>149</v>
      </c>
      <c r="D4853" t="s">
        <v>10</v>
      </c>
      <c r="E4853" t="s">
        <v>12</v>
      </c>
      <c r="F4853" t="s">
        <v>26</v>
      </c>
      <c r="L4853" t="s">
        <v>22209</v>
      </c>
      <c r="N4853" t="s">
        <v>22209</v>
      </c>
      <c r="S4853" t="s">
        <v>22210</v>
      </c>
      <c r="T4853" t="s">
        <v>22211</v>
      </c>
      <c r="U4853" t="s">
        <v>22212</v>
      </c>
      <c r="V4853" t="s">
        <v>22209</v>
      </c>
      <c r="W4853" t="s">
        <v>143</v>
      </c>
      <c r="X4853" t="s">
        <v>22213</v>
      </c>
      <c r="Y4853">
        <v>0</v>
      </c>
      <c r="Z4853">
        <v>84.958333333333329</v>
      </c>
    </row>
    <row r="4854" spans="1:26">
      <c r="A4854" s="1">
        <v>4852</v>
      </c>
      <c r="B4854" t="str">
        <f>HYPERLINK("https://bugs.eclipse.org/bugs/show_bug.cgi?id=544992", "544992")</f>
        <v>544992</v>
      </c>
      <c r="C4854" t="s">
        <v>149</v>
      </c>
      <c r="D4854" t="s">
        <v>10</v>
      </c>
      <c r="E4854" t="s">
        <v>12</v>
      </c>
      <c r="F4854" t="s">
        <v>26</v>
      </c>
      <c r="L4854" t="s">
        <v>22214</v>
      </c>
      <c r="N4854" t="s">
        <v>22214</v>
      </c>
      <c r="T4854" t="s">
        <v>22215</v>
      </c>
      <c r="U4854" t="s">
        <v>22216</v>
      </c>
      <c r="V4854" t="s">
        <v>22214</v>
      </c>
      <c r="W4854" t="s">
        <v>4846</v>
      </c>
      <c r="X4854" t="s">
        <v>22217</v>
      </c>
      <c r="Y4854">
        <v>3</v>
      </c>
      <c r="Z4854">
        <v>29.958333333333329</v>
      </c>
    </row>
    <row r="4855" spans="1:26">
      <c r="A4855" s="1">
        <v>4853</v>
      </c>
      <c r="B4855" t="str">
        <f>HYPERLINK("https://bugs.eclipse.org/bugs/show_bug.cgi?id=545112", "545112")</f>
        <v>545112</v>
      </c>
      <c r="C4855" t="s">
        <v>35</v>
      </c>
      <c r="D4855" t="s">
        <v>11</v>
      </c>
      <c r="E4855" t="s">
        <v>12</v>
      </c>
      <c r="F4855" t="s">
        <v>26</v>
      </c>
      <c r="H4855" t="s">
        <v>22204</v>
      </c>
      <c r="L4855" t="s">
        <v>22218</v>
      </c>
      <c r="M4855" t="s">
        <v>22219</v>
      </c>
      <c r="N4855" t="s">
        <v>22218</v>
      </c>
      <c r="T4855" t="s">
        <v>22220</v>
      </c>
      <c r="U4855" t="s">
        <v>22221</v>
      </c>
      <c r="V4855" t="s">
        <v>22219</v>
      </c>
      <c r="W4855" t="s">
        <v>4846</v>
      </c>
      <c r="X4855" t="s">
        <v>22222</v>
      </c>
      <c r="Y4855">
        <v>0</v>
      </c>
      <c r="Z4855">
        <v>77.958333333333329</v>
      </c>
    </row>
    <row r="4856" spans="1:26">
      <c r="A4856" s="1">
        <v>4854</v>
      </c>
      <c r="B4856" t="str">
        <f>HYPERLINK("https://bugs.eclipse.org/bugs/show_bug.cgi?id=545113", "545113")</f>
        <v>545113</v>
      </c>
      <c r="C4856" t="s">
        <v>35</v>
      </c>
      <c r="D4856" t="s">
        <v>11</v>
      </c>
      <c r="E4856" t="s">
        <v>12</v>
      </c>
      <c r="F4856" t="s">
        <v>26</v>
      </c>
      <c r="L4856" t="s">
        <v>22223</v>
      </c>
      <c r="M4856" t="s">
        <v>22224</v>
      </c>
      <c r="N4856" t="s">
        <v>22223</v>
      </c>
      <c r="T4856" t="s">
        <v>22225</v>
      </c>
      <c r="U4856" t="s">
        <v>22226</v>
      </c>
      <c r="V4856" t="s">
        <v>22224</v>
      </c>
      <c r="W4856" t="s">
        <v>9266</v>
      </c>
      <c r="X4856" t="s">
        <v>22227</v>
      </c>
      <c r="Y4856">
        <v>0</v>
      </c>
      <c r="Z4856">
        <v>33.958333333333343</v>
      </c>
    </row>
    <row r="4857" spans="1:26">
      <c r="A4857" s="1">
        <v>4855</v>
      </c>
      <c r="B4857" t="str">
        <f>HYPERLINK("https://bugs.eclipse.org/bugs/show_bug.cgi?id=545194", "545194")</f>
        <v>545194</v>
      </c>
      <c r="C4857" t="s">
        <v>149</v>
      </c>
      <c r="D4857" t="s">
        <v>10</v>
      </c>
      <c r="E4857" t="s">
        <v>12</v>
      </c>
      <c r="F4857" t="s">
        <v>26</v>
      </c>
      <c r="G4857" t="s">
        <v>22228</v>
      </c>
      <c r="H4857" t="s">
        <v>22204</v>
      </c>
      <c r="L4857" t="s">
        <v>22229</v>
      </c>
      <c r="N4857" t="s">
        <v>22229</v>
      </c>
      <c r="T4857" t="s">
        <v>22230</v>
      </c>
      <c r="U4857" t="s">
        <v>22231</v>
      </c>
      <c r="V4857" t="s">
        <v>22232</v>
      </c>
      <c r="W4857" t="s">
        <v>4846</v>
      </c>
      <c r="X4857" t="s">
        <v>22233</v>
      </c>
      <c r="Y4857">
        <v>0</v>
      </c>
      <c r="Z4857">
        <v>11.95833333333333</v>
      </c>
    </row>
    <row r="4858" spans="1:26">
      <c r="A4858" s="1">
        <v>4856</v>
      </c>
      <c r="B4858" t="str">
        <f>HYPERLINK("https://bugs.eclipse.org/bugs/show_bug.cgi?id=546083", "546083")</f>
        <v>546083</v>
      </c>
      <c r="C4858" t="s">
        <v>88</v>
      </c>
      <c r="D4858" t="s">
        <v>10</v>
      </c>
      <c r="E4858" t="s">
        <v>13</v>
      </c>
      <c r="F4858" t="s">
        <v>26</v>
      </c>
      <c r="L4858" t="s">
        <v>22234</v>
      </c>
      <c r="O4858" t="s">
        <v>22234</v>
      </c>
      <c r="T4858" t="s">
        <v>22235</v>
      </c>
      <c r="U4858" t="s">
        <v>22236</v>
      </c>
      <c r="V4858" t="s">
        <v>22237</v>
      </c>
      <c r="W4858" t="s">
        <v>6360</v>
      </c>
      <c r="X4858" t="s">
        <v>22238</v>
      </c>
      <c r="Y4858">
        <v>0</v>
      </c>
      <c r="Z4858">
        <v>0</v>
      </c>
    </row>
    <row r="4859" spans="1:26">
      <c r="A4859" s="1">
        <v>4857</v>
      </c>
      <c r="B4859" t="str">
        <f>HYPERLINK("https://bugs.eclipse.org/bugs/show_bug.cgi?id=546404", "546404")</f>
        <v>546404</v>
      </c>
      <c r="C4859" t="s">
        <v>35</v>
      </c>
      <c r="D4859" t="s">
        <v>11</v>
      </c>
      <c r="E4859" t="s">
        <v>12</v>
      </c>
      <c r="F4859" t="s">
        <v>26</v>
      </c>
      <c r="L4859" t="s">
        <v>22239</v>
      </c>
      <c r="M4859" t="s">
        <v>22240</v>
      </c>
      <c r="N4859" t="s">
        <v>22239</v>
      </c>
      <c r="T4859" t="s">
        <v>22241</v>
      </c>
      <c r="U4859" t="s">
        <v>22242</v>
      </c>
      <c r="V4859" t="s">
        <v>22240</v>
      </c>
      <c r="W4859" t="s">
        <v>9266</v>
      </c>
      <c r="X4859" t="s">
        <v>22243</v>
      </c>
      <c r="Y4859">
        <v>1</v>
      </c>
      <c r="Z4859">
        <v>38</v>
      </c>
    </row>
    <row r="4860" spans="1:26">
      <c r="A4860" s="1">
        <v>4858</v>
      </c>
      <c r="B4860" t="str">
        <f>HYPERLINK("https://bugs.eclipse.org/bugs/show_bug.cgi?id=546456", "546456")</f>
        <v>546456</v>
      </c>
      <c r="C4860" t="s">
        <v>140</v>
      </c>
      <c r="D4860" t="s">
        <v>10</v>
      </c>
      <c r="E4860" t="s">
        <v>16</v>
      </c>
      <c r="F4860" t="s">
        <v>26</v>
      </c>
      <c r="L4860" t="s">
        <v>22244</v>
      </c>
      <c r="R4860" t="s">
        <v>22244</v>
      </c>
      <c r="T4860" t="s">
        <v>22245</v>
      </c>
      <c r="U4860" t="s">
        <v>22246</v>
      </c>
      <c r="V4860" t="s">
        <v>22244</v>
      </c>
      <c r="W4860" t="s">
        <v>143</v>
      </c>
      <c r="X4860" t="s">
        <v>22247</v>
      </c>
      <c r="Y4860">
        <v>1</v>
      </c>
      <c r="Z4860">
        <v>22</v>
      </c>
    </row>
    <row r="4861" spans="1:26">
      <c r="A4861" s="1">
        <v>4859</v>
      </c>
      <c r="B4861" t="str">
        <f>HYPERLINK("https://bugs.eclipse.org/bugs/show_bug.cgi?id=546645", "546645")</f>
        <v>546645</v>
      </c>
      <c r="C4861" t="s">
        <v>25</v>
      </c>
      <c r="D4861" t="s">
        <v>25</v>
      </c>
      <c r="F4861" t="s">
        <v>26</v>
      </c>
      <c r="T4861" t="s">
        <v>22248</v>
      </c>
      <c r="U4861" t="s">
        <v>22249</v>
      </c>
      <c r="V4861" t="s">
        <v>22250</v>
      </c>
      <c r="W4861" t="s">
        <v>4846</v>
      </c>
      <c r="X4861" t="s">
        <v>22251</v>
      </c>
      <c r="Y4861">
        <v>0</v>
      </c>
    </row>
    <row r="4862" spans="1:26">
      <c r="A4862" s="1">
        <v>4860</v>
      </c>
      <c r="B4862" t="str">
        <f>HYPERLINK("https://bugs.eclipse.org/bugs/show_bug.cgi?id=546736", "546736")</f>
        <v>546736</v>
      </c>
      <c r="C4862" t="s">
        <v>4692</v>
      </c>
      <c r="D4862" t="s">
        <v>4692</v>
      </c>
      <c r="F4862" t="s">
        <v>26</v>
      </c>
      <c r="H4862" t="s">
        <v>22252</v>
      </c>
      <c r="T4862" t="s">
        <v>22253</v>
      </c>
      <c r="U4862" t="s">
        <v>22254</v>
      </c>
      <c r="V4862" t="s">
        <v>22255</v>
      </c>
      <c r="W4862" t="s">
        <v>16518</v>
      </c>
      <c r="X4862" t="s">
        <v>22256</v>
      </c>
      <c r="Y4862">
        <v>0</v>
      </c>
    </row>
    <row r="4863" spans="1:26">
      <c r="A4863" s="1">
        <v>4861</v>
      </c>
      <c r="B4863" t="str">
        <f>HYPERLINK("https://bugs.eclipse.org/bugs/show_bug.cgi?id=546819", "546819")</f>
        <v>546819</v>
      </c>
      <c r="C4863" t="s">
        <v>149</v>
      </c>
      <c r="D4863" t="s">
        <v>10</v>
      </c>
      <c r="E4863" t="s">
        <v>12</v>
      </c>
      <c r="F4863" t="s">
        <v>26</v>
      </c>
      <c r="L4863" t="s">
        <v>22257</v>
      </c>
      <c r="N4863" t="s">
        <v>22257</v>
      </c>
      <c r="T4863" t="s">
        <v>22258</v>
      </c>
      <c r="U4863" t="s">
        <v>22259</v>
      </c>
      <c r="V4863" t="s">
        <v>22257</v>
      </c>
      <c r="W4863" t="s">
        <v>12301</v>
      </c>
      <c r="X4863" t="s">
        <v>22260</v>
      </c>
      <c r="Y4863">
        <v>584.04166666666663</v>
      </c>
      <c r="Z4863">
        <v>620.04166666666663</v>
      </c>
    </row>
    <row r="4864" spans="1:26">
      <c r="A4864" s="1">
        <v>4862</v>
      </c>
      <c r="B4864" t="str">
        <f>HYPERLINK("https://bugs.eclipse.org/bugs/show_bug.cgi?id=547167", "547167")</f>
        <v>547167</v>
      </c>
      <c r="C4864" t="s">
        <v>22261</v>
      </c>
      <c r="D4864" t="s">
        <v>192</v>
      </c>
      <c r="E4864" t="s">
        <v>15</v>
      </c>
      <c r="F4864" t="s">
        <v>26</v>
      </c>
      <c r="Q4864" t="s">
        <v>22262</v>
      </c>
      <c r="T4864" t="s">
        <v>22263</v>
      </c>
      <c r="U4864" t="s">
        <v>22264</v>
      </c>
      <c r="V4864" t="s">
        <v>22262</v>
      </c>
      <c r="W4864" t="s">
        <v>22265</v>
      </c>
      <c r="X4864" t="s">
        <v>22266</v>
      </c>
      <c r="Y4864">
        <v>0</v>
      </c>
      <c r="Z4864">
        <v>6</v>
      </c>
    </row>
    <row r="4865" spans="1:26">
      <c r="A4865" s="1">
        <v>4863</v>
      </c>
      <c r="B4865" t="str">
        <f>HYPERLINK("https://bugs.eclipse.org/bugs/show_bug.cgi?id=547208", "547208")</f>
        <v>547208</v>
      </c>
      <c r="C4865" t="s">
        <v>140</v>
      </c>
      <c r="D4865" t="s">
        <v>10</v>
      </c>
      <c r="E4865" t="s">
        <v>16</v>
      </c>
      <c r="F4865" t="s">
        <v>26</v>
      </c>
      <c r="L4865" t="s">
        <v>22267</v>
      </c>
      <c r="R4865" t="s">
        <v>22267</v>
      </c>
      <c r="T4865" t="s">
        <v>22268</v>
      </c>
      <c r="U4865" t="s">
        <v>22269</v>
      </c>
      <c r="V4865" t="s">
        <v>22267</v>
      </c>
      <c r="W4865" t="s">
        <v>143</v>
      </c>
      <c r="X4865" t="s">
        <v>22270</v>
      </c>
      <c r="Y4865">
        <v>4</v>
      </c>
      <c r="Z4865">
        <v>11</v>
      </c>
    </row>
    <row r="4866" spans="1:26">
      <c r="A4866" s="1">
        <v>4864</v>
      </c>
      <c r="B4866" t="str">
        <f>HYPERLINK("https://bugs.eclipse.org/bugs/show_bug.cgi?id=548002", "548002")</f>
        <v>548002</v>
      </c>
      <c r="C4866" t="s">
        <v>35</v>
      </c>
      <c r="D4866" t="s">
        <v>11</v>
      </c>
      <c r="E4866" t="s">
        <v>12</v>
      </c>
      <c r="F4866" t="s">
        <v>26</v>
      </c>
      <c r="H4866" t="s">
        <v>22271</v>
      </c>
      <c r="L4866" t="s">
        <v>22272</v>
      </c>
      <c r="M4866" t="s">
        <v>22273</v>
      </c>
      <c r="N4866" t="s">
        <v>22272</v>
      </c>
      <c r="S4866" t="s">
        <v>22274</v>
      </c>
      <c r="T4866" t="s">
        <v>22275</v>
      </c>
      <c r="U4866" t="s">
        <v>22276</v>
      </c>
      <c r="V4866" t="s">
        <v>22273</v>
      </c>
      <c r="W4866" t="s">
        <v>12301</v>
      </c>
      <c r="X4866" t="s">
        <v>22277</v>
      </c>
      <c r="Y4866">
        <v>0</v>
      </c>
      <c r="Z4866">
        <v>90</v>
      </c>
    </row>
    <row r="4867" spans="1:26">
      <c r="A4867" s="1">
        <v>4865</v>
      </c>
      <c r="B4867" t="str">
        <f>HYPERLINK("https://bugs.eclipse.org/bugs/show_bug.cgi?id=548265", "548265")</f>
        <v>548265</v>
      </c>
      <c r="C4867" t="s">
        <v>17</v>
      </c>
      <c r="D4867" t="s">
        <v>17</v>
      </c>
      <c r="F4867" t="s">
        <v>26</v>
      </c>
      <c r="G4867" t="s">
        <v>22278</v>
      </c>
      <c r="L4867" t="s">
        <v>22279</v>
      </c>
      <c r="O4867" t="s">
        <v>22279</v>
      </c>
      <c r="S4867" t="s">
        <v>22280</v>
      </c>
      <c r="T4867" t="s">
        <v>22281</v>
      </c>
      <c r="U4867" t="s">
        <v>22282</v>
      </c>
      <c r="V4867" t="s">
        <v>22283</v>
      </c>
      <c r="W4867" t="s">
        <v>4846</v>
      </c>
      <c r="X4867" t="s">
        <v>22284</v>
      </c>
      <c r="Y4867">
        <v>0</v>
      </c>
    </row>
    <row r="4868" spans="1:26">
      <c r="A4868" s="1">
        <v>4866</v>
      </c>
      <c r="B4868" t="str">
        <f>HYPERLINK("https://bugs.eclipse.org/bugs/show_bug.cgi?id=548309", "548309")</f>
        <v>548309</v>
      </c>
      <c r="C4868" t="s">
        <v>149</v>
      </c>
      <c r="D4868" t="s">
        <v>10</v>
      </c>
      <c r="E4868" t="s">
        <v>12</v>
      </c>
      <c r="F4868" t="s">
        <v>26</v>
      </c>
      <c r="H4868" t="s">
        <v>22285</v>
      </c>
      <c r="L4868" t="s">
        <v>22286</v>
      </c>
      <c r="N4868" t="s">
        <v>22286</v>
      </c>
      <c r="T4868" t="s">
        <v>22287</v>
      </c>
      <c r="U4868" t="s">
        <v>22288</v>
      </c>
      <c r="V4868" t="s">
        <v>22289</v>
      </c>
      <c r="W4868" t="s">
        <v>65</v>
      </c>
      <c r="X4868" t="s">
        <v>22290</v>
      </c>
      <c r="Y4868">
        <v>0</v>
      </c>
      <c r="Z4868">
        <v>461</v>
      </c>
    </row>
    <row r="4869" spans="1:26">
      <c r="A4869" s="1">
        <v>4867</v>
      </c>
      <c r="B4869" t="str">
        <f>HYPERLINK("https://bugs.eclipse.org/bugs/show_bug.cgi?id=548546", "548546")</f>
        <v>548546</v>
      </c>
      <c r="C4869" t="s">
        <v>25</v>
      </c>
      <c r="D4869" t="s">
        <v>25</v>
      </c>
      <c r="F4869" t="s">
        <v>26</v>
      </c>
      <c r="L4869" t="s">
        <v>22291</v>
      </c>
      <c r="R4869" t="s">
        <v>22291</v>
      </c>
      <c r="S4869" t="s">
        <v>22292</v>
      </c>
      <c r="T4869" t="s">
        <v>22293</v>
      </c>
      <c r="U4869" t="s">
        <v>22291</v>
      </c>
      <c r="V4869" t="s">
        <v>22294</v>
      </c>
      <c r="W4869" t="s">
        <v>4846</v>
      </c>
      <c r="X4869" t="s">
        <v>22295</v>
      </c>
      <c r="Y4869">
        <v>2</v>
      </c>
    </row>
    <row r="4870" spans="1:26">
      <c r="A4870" s="1">
        <v>4868</v>
      </c>
      <c r="B4870" t="str">
        <f>HYPERLINK("https://bugs.eclipse.org/bugs/show_bug.cgi?id=548553", "548553")</f>
        <v>548553</v>
      </c>
      <c r="C4870" t="s">
        <v>4692</v>
      </c>
      <c r="D4870" t="s">
        <v>4692</v>
      </c>
      <c r="F4870" t="s">
        <v>26</v>
      </c>
      <c r="T4870" t="s">
        <v>22296</v>
      </c>
      <c r="U4870" t="s">
        <v>22297</v>
      </c>
      <c r="V4870" t="s">
        <v>22298</v>
      </c>
      <c r="W4870" t="s">
        <v>22137</v>
      </c>
      <c r="X4870" t="s">
        <v>22299</v>
      </c>
      <c r="Y4870">
        <v>0</v>
      </c>
    </row>
    <row r="4871" spans="1:26">
      <c r="A4871" s="1">
        <v>4869</v>
      </c>
      <c r="B4871" t="str">
        <f>HYPERLINK("https://bugs.eclipse.org/bugs/show_bug.cgi?id=548683", "548683")</f>
        <v>548683</v>
      </c>
      <c r="C4871" t="s">
        <v>149</v>
      </c>
      <c r="D4871" t="s">
        <v>10</v>
      </c>
      <c r="E4871" t="s">
        <v>12</v>
      </c>
      <c r="F4871" t="s">
        <v>26</v>
      </c>
      <c r="L4871" t="s">
        <v>22300</v>
      </c>
      <c r="N4871" t="s">
        <v>22300</v>
      </c>
      <c r="T4871" t="s">
        <v>22301</v>
      </c>
      <c r="U4871" t="s">
        <v>22302</v>
      </c>
      <c r="V4871" t="s">
        <v>22300</v>
      </c>
      <c r="W4871" t="s">
        <v>11939</v>
      </c>
      <c r="X4871" t="s">
        <v>22303</v>
      </c>
      <c r="Y4871">
        <v>0</v>
      </c>
      <c r="Z4871">
        <v>415</v>
      </c>
    </row>
    <row r="4872" spans="1:26">
      <c r="A4872" s="1">
        <v>4870</v>
      </c>
      <c r="B4872" t="str">
        <f>HYPERLINK("https://bugs.eclipse.org/bugs/show_bug.cgi?id=548734", "548734")</f>
        <v>548734</v>
      </c>
      <c r="C4872" t="s">
        <v>35</v>
      </c>
      <c r="D4872" t="s">
        <v>11</v>
      </c>
      <c r="E4872" t="s">
        <v>12</v>
      </c>
      <c r="F4872" t="s">
        <v>26</v>
      </c>
      <c r="L4872" t="s">
        <v>22304</v>
      </c>
      <c r="M4872" t="s">
        <v>22305</v>
      </c>
      <c r="N4872" t="s">
        <v>22304</v>
      </c>
      <c r="T4872" t="s">
        <v>22306</v>
      </c>
      <c r="U4872" t="s">
        <v>22307</v>
      </c>
      <c r="V4872" t="s">
        <v>22305</v>
      </c>
      <c r="W4872" t="s">
        <v>12301</v>
      </c>
      <c r="X4872" t="s">
        <v>22308</v>
      </c>
      <c r="Y4872">
        <v>0</v>
      </c>
      <c r="Z4872">
        <v>18</v>
      </c>
    </row>
    <row r="4873" spans="1:26">
      <c r="A4873" s="1">
        <v>4871</v>
      </c>
      <c r="B4873" t="str">
        <f>HYPERLINK("https://bugs.eclipse.org/bugs/show_bug.cgi?id=548783", "548783")</f>
        <v>548783</v>
      </c>
      <c r="C4873" t="s">
        <v>4692</v>
      </c>
      <c r="D4873" t="s">
        <v>4692</v>
      </c>
      <c r="F4873" t="s">
        <v>26</v>
      </c>
    </row>
    <row r="4874" spans="1:26">
      <c r="A4874" s="1">
        <v>4872</v>
      </c>
      <c r="B4874" t="str">
        <f>HYPERLINK("https://bugs.eclipse.org/bugs/show_bug.cgi?id=548800", "548800")</f>
        <v>548800</v>
      </c>
      <c r="C4874" t="s">
        <v>4692</v>
      </c>
      <c r="D4874" t="s">
        <v>4692</v>
      </c>
      <c r="F4874" t="s">
        <v>26</v>
      </c>
      <c r="T4874" t="s">
        <v>22309</v>
      </c>
      <c r="U4874" t="s">
        <v>22310</v>
      </c>
      <c r="V4874" t="s">
        <v>22311</v>
      </c>
      <c r="W4874" t="s">
        <v>16518</v>
      </c>
      <c r="X4874" t="s">
        <v>22312</v>
      </c>
      <c r="Y4874">
        <v>0</v>
      </c>
    </row>
    <row r="4875" spans="1:26">
      <c r="A4875" s="1">
        <v>4873</v>
      </c>
      <c r="B4875" t="str">
        <f>HYPERLINK("https://bugs.eclipse.org/bugs/show_bug.cgi?id=548887", "548887")</f>
        <v>548887</v>
      </c>
      <c r="C4875" t="s">
        <v>35</v>
      </c>
      <c r="D4875" t="s">
        <v>11</v>
      </c>
      <c r="E4875" t="s">
        <v>12</v>
      </c>
      <c r="F4875" t="s">
        <v>26</v>
      </c>
      <c r="L4875" t="s">
        <v>22313</v>
      </c>
      <c r="M4875" t="s">
        <v>22314</v>
      </c>
      <c r="N4875" t="s">
        <v>22313</v>
      </c>
      <c r="T4875" t="s">
        <v>22315</v>
      </c>
      <c r="U4875" t="s">
        <v>22316</v>
      </c>
      <c r="V4875" t="s">
        <v>22314</v>
      </c>
      <c r="W4875" t="s">
        <v>12301</v>
      </c>
      <c r="X4875" t="s">
        <v>22317</v>
      </c>
      <c r="Y4875">
        <v>0</v>
      </c>
      <c r="Z4875">
        <v>50</v>
      </c>
    </row>
    <row r="4876" spans="1:26">
      <c r="A4876" s="1">
        <v>4874</v>
      </c>
      <c r="B4876" t="str">
        <f>HYPERLINK("https://bugs.eclipse.org/bugs/show_bug.cgi?id=549219", "549219")</f>
        <v>549219</v>
      </c>
      <c r="C4876" t="s">
        <v>149</v>
      </c>
      <c r="D4876" t="s">
        <v>10</v>
      </c>
      <c r="E4876" t="s">
        <v>12</v>
      </c>
      <c r="F4876" t="s">
        <v>26</v>
      </c>
      <c r="H4876" t="s">
        <v>22318</v>
      </c>
      <c r="L4876" t="s">
        <v>22319</v>
      </c>
      <c r="N4876" t="s">
        <v>22319</v>
      </c>
      <c r="S4876" t="s">
        <v>22320</v>
      </c>
      <c r="T4876" t="s">
        <v>22321</v>
      </c>
      <c r="U4876" t="s">
        <v>22322</v>
      </c>
      <c r="V4876" t="s">
        <v>22319</v>
      </c>
      <c r="W4876" t="s">
        <v>4846</v>
      </c>
      <c r="X4876" t="s">
        <v>22323</v>
      </c>
      <c r="Y4876">
        <v>0</v>
      </c>
      <c r="Z4876">
        <v>5</v>
      </c>
    </row>
    <row r="4877" spans="1:26">
      <c r="A4877" s="1">
        <v>4875</v>
      </c>
      <c r="B4877" t="str">
        <f>HYPERLINK("https://bugs.eclipse.org/bugs/show_bug.cgi?id=549470", "549470")</f>
        <v>549470</v>
      </c>
      <c r="C4877" t="s">
        <v>35</v>
      </c>
      <c r="D4877" t="s">
        <v>11</v>
      </c>
      <c r="E4877" t="s">
        <v>12</v>
      </c>
      <c r="F4877" t="s">
        <v>26</v>
      </c>
      <c r="L4877" t="s">
        <v>22324</v>
      </c>
      <c r="M4877" t="s">
        <v>22325</v>
      </c>
      <c r="N4877" t="s">
        <v>22324</v>
      </c>
      <c r="T4877" t="s">
        <v>22326</v>
      </c>
      <c r="U4877" t="s">
        <v>22327</v>
      </c>
      <c r="V4877" t="s">
        <v>22325</v>
      </c>
      <c r="W4877" t="s">
        <v>12301</v>
      </c>
      <c r="X4877" t="s">
        <v>22328</v>
      </c>
      <c r="Y4877">
        <v>0</v>
      </c>
      <c r="Z4877">
        <v>30</v>
      </c>
    </row>
    <row r="4878" spans="1:26">
      <c r="A4878" s="1">
        <v>4876</v>
      </c>
      <c r="B4878" t="str">
        <f>HYPERLINK("https://bugs.eclipse.org/bugs/show_bug.cgi?id=549616", "549616")</f>
        <v>549616</v>
      </c>
      <c r="C4878" t="s">
        <v>149</v>
      </c>
      <c r="D4878" t="s">
        <v>10</v>
      </c>
      <c r="E4878" t="s">
        <v>12</v>
      </c>
      <c r="F4878" t="s">
        <v>26</v>
      </c>
      <c r="L4878" t="s">
        <v>22329</v>
      </c>
      <c r="N4878" t="s">
        <v>22329</v>
      </c>
      <c r="T4878" t="s">
        <v>22330</v>
      </c>
      <c r="U4878" t="s">
        <v>22331</v>
      </c>
      <c r="V4878" t="s">
        <v>22329</v>
      </c>
      <c r="W4878" t="s">
        <v>12301</v>
      </c>
      <c r="X4878" t="s">
        <v>22332</v>
      </c>
      <c r="Y4878">
        <v>0</v>
      </c>
      <c r="Z4878">
        <v>8</v>
      </c>
    </row>
    <row r="4879" spans="1:26">
      <c r="A4879" s="1">
        <v>4877</v>
      </c>
      <c r="B4879" t="str">
        <f>HYPERLINK("https://bugs.eclipse.org/bugs/show_bug.cgi?id=549622", "549622")</f>
        <v>549622</v>
      </c>
      <c r="C4879" t="s">
        <v>35</v>
      </c>
      <c r="D4879" t="s">
        <v>11</v>
      </c>
      <c r="E4879" t="s">
        <v>12</v>
      </c>
      <c r="F4879" t="s">
        <v>26</v>
      </c>
      <c r="G4879" t="s">
        <v>22333</v>
      </c>
      <c r="H4879" t="s">
        <v>22334</v>
      </c>
      <c r="L4879" t="s">
        <v>22335</v>
      </c>
      <c r="M4879" t="s">
        <v>22336</v>
      </c>
      <c r="N4879" t="s">
        <v>22335</v>
      </c>
      <c r="S4879" t="s">
        <v>22337</v>
      </c>
      <c r="T4879" t="s">
        <v>22338</v>
      </c>
      <c r="U4879" t="s">
        <v>22339</v>
      </c>
      <c r="V4879" t="s">
        <v>22340</v>
      </c>
      <c r="W4879" t="s">
        <v>4846</v>
      </c>
      <c r="X4879" t="s">
        <v>22341</v>
      </c>
      <c r="Y4879">
        <v>0</v>
      </c>
      <c r="Z4879">
        <v>18</v>
      </c>
    </row>
    <row r="4880" spans="1:26">
      <c r="A4880" s="1">
        <v>4878</v>
      </c>
      <c r="B4880" t="str">
        <f>HYPERLINK("https://bugs.eclipse.org/bugs/show_bug.cgi?id=549674", "549674")</f>
        <v>549674</v>
      </c>
      <c r="C4880" t="s">
        <v>35</v>
      </c>
      <c r="D4880" t="s">
        <v>11</v>
      </c>
      <c r="E4880" t="s">
        <v>12</v>
      </c>
      <c r="F4880" t="s">
        <v>26</v>
      </c>
      <c r="L4880" t="s">
        <v>22342</v>
      </c>
      <c r="M4880" t="s">
        <v>22343</v>
      </c>
      <c r="N4880" t="s">
        <v>22342</v>
      </c>
      <c r="S4880" t="s">
        <v>22344</v>
      </c>
      <c r="T4880" t="s">
        <v>22345</v>
      </c>
      <c r="U4880" t="s">
        <v>22346</v>
      </c>
      <c r="V4880" t="s">
        <v>22343</v>
      </c>
      <c r="W4880" t="s">
        <v>12301</v>
      </c>
      <c r="X4880" t="s">
        <v>22347</v>
      </c>
      <c r="Y4880">
        <v>0</v>
      </c>
      <c r="Z4880">
        <v>21</v>
      </c>
    </row>
    <row r="4881" spans="1:26">
      <c r="A4881" s="1">
        <v>4879</v>
      </c>
      <c r="B4881" t="str">
        <f>HYPERLINK("https://bugs.eclipse.org/bugs/show_bug.cgi?id=549831", "549831")</f>
        <v>549831</v>
      </c>
      <c r="C4881" t="s">
        <v>35</v>
      </c>
      <c r="D4881" t="s">
        <v>11</v>
      </c>
      <c r="E4881" t="s">
        <v>12</v>
      </c>
      <c r="F4881" t="s">
        <v>26</v>
      </c>
      <c r="L4881" t="s">
        <v>22348</v>
      </c>
      <c r="M4881" t="s">
        <v>22349</v>
      </c>
      <c r="N4881" t="s">
        <v>22348</v>
      </c>
      <c r="T4881" t="s">
        <v>22350</v>
      </c>
      <c r="U4881" t="s">
        <v>22351</v>
      </c>
      <c r="V4881" t="s">
        <v>22349</v>
      </c>
      <c r="W4881" t="s">
        <v>12301</v>
      </c>
      <c r="X4881" t="s">
        <v>22352</v>
      </c>
      <c r="Y4881">
        <v>0</v>
      </c>
      <c r="Z4881">
        <v>14</v>
      </c>
    </row>
    <row r="4882" spans="1:26">
      <c r="A4882" s="1">
        <v>4880</v>
      </c>
      <c r="B4882" t="str">
        <f>HYPERLINK("https://bugs.eclipse.org/bugs/show_bug.cgi?id=549873", "549873")</f>
        <v>549873</v>
      </c>
      <c r="C4882" t="s">
        <v>22353</v>
      </c>
      <c r="D4882" t="s">
        <v>192</v>
      </c>
      <c r="E4882" t="s">
        <v>15</v>
      </c>
      <c r="F4882" t="s">
        <v>26</v>
      </c>
      <c r="G4882" t="s">
        <v>22354</v>
      </c>
      <c r="Q4882" t="s">
        <v>22355</v>
      </c>
      <c r="T4882" t="s">
        <v>22356</v>
      </c>
      <c r="U4882" t="s">
        <v>22357</v>
      </c>
      <c r="V4882" t="s">
        <v>22355</v>
      </c>
      <c r="W4882" t="s">
        <v>4846</v>
      </c>
      <c r="X4882" t="s">
        <v>22358</v>
      </c>
      <c r="Y4882">
        <v>0</v>
      </c>
      <c r="Z4882">
        <v>39</v>
      </c>
    </row>
    <row r="4883" spans="1:26">
      <c r="A4883" s="1">
        <v>4881</v>
      </c>
      <c r="B4883" t="str">
        <f>HYPERLINK("https://bugs.eclipse.org/bugs/show_bug.cgi?id=549876", "549876")</f>
        <v>549876</v>
      </c>
      <c r="C4883" t="s">
        <v>4692</v>
      </c>
      <c r="D4883" t="s">
        <v>4692</v>
      </c>
      <c r="F4883" t="s">
        <v>26</v>
      </c>
      <c r="T4883" t="s">
        <v>22359</v>
      </c>
      <c r="U4883" t="s">
        <v>22360</v>
      </c>
      <c r="V4883" t="s">
        <v>22361</v>
      </c>
      <c r="W4883" t="s">
        <v>22265</v>
      </c>
      <c r="X4883" t="s">
        <v>22362</v>
      </c>
      <c r="Y4883">
        <v>0</v>
      </c>
    </row>
    <row r="4884" spans="1:26">
      <c r="A4884" s="1">
        <v>4882</v>
      </c>
      <c r="B4884" t="str">
        <f>HYPERLINK("https://bugs.eclipse.org/bugs/show_bug.cgi?id=549899", "549899")</f>
        <v>549899</v>
      </c>
      <c r="C4884" t="s">
        <v>35</v>
      </c>
      <c r="D4884" t="s">
        <v>11</v>
      </c>
      <c r="E4884" t="s">
        <v>12</v>
      </c>
      <c r="F4884" t="s">
        <v>26</v>
      </c>
      <c r="G4884" t="s">
        <v>22363</v>
      </c>
      <c r="L4884" t="s">
        <v>22364</v>
      </c>
      <c r="M4884" t="s">
        <v>22365</v>
      </c>
      <c r="N4884" t="s">
        <v>22364</v>
      </c>
      <c r="T4884" t="s">
        <v>22366</v>
      </c>
      <c r="U4884" t="s">
        <v>22367</v>
      </c>
      <c r="V4884" t="s">
        <v>22368</v>
      </c>
      <c r="W4884" t="s">
        <v>19597</v>
      </c>
      <c r="X4884" t="s">
        <v>22369</v>
      </c>
      <c r="Y4884">
        <v>0</v>
      </c>
      <c r="Z4884">
        <v>525.04166666666663</v>
      </c>
    </row>
    <row r="4885" spans="1:26">
      <c r="A4885" s="1">
        <v>4883</v>
      </c>
      <c r="B4885" t="str">
        <f>HYPERLINK("https://bugs.eclipse.org/bugs/show_bug.cgi?id=549988", "549988")</f>
        <v>549988</v>
      </c>
      <c r="C4885" t="s">
        <v>35</v>
      </c>
      <c r="D4885" t="s">
        <v>11</v>
      </c>
      <c r="E4885" t="s">
        <v>12</v>
      </c>
      <c r="F4885" t="s">
        <v>26</v>
      </c>
      <c r="L4885" t="s">
        <v>22370</v>
      </c>
      <c r="M4885" t="s">
        <v>22371</v>
      </c>
      <c r="N4885" t="s">
        <v>22370</v>
      </c>
      <c r="T4885" t="s">
        <v>22372</v>
      </c>
      <c r="U4885" t="s">
        <v>22373</v>
      </c>
      <c r="V4885" t="s">
        <v>22371</v>
      </c>
      <c r="W4885" t="s">
        <v>12301</v>
      </c>
      <c r="X4885" t="s">
        <v>22374</v>
      </c>
      <c r="Y4885">
        <v>0</v>
      </c>
      <c r="Z4885">
        <v>9</v>
      </c>
    </row>
    <row r="4886" spans="1:26">
      <c r="A4886" s="1">
        <v>4884</v>
      </c>
      <c r="B4886" t="str">
        <f>HYPERLINK("https://bugs.eclipse.org/bugs/show_bug.cgi?id=549989", "549989")</f>
        <v>549989</v>
      </c>
      <c r="C4886" t="s">
        <v>35</v>
      </c>
      <c r="D4886" t="s">
        <v>11</v>
      </c>
      <c r="E4886" t="s">
        <v>12</v>
      </c>
      <c r="F4886" t="s">
        <v>26</v>
      </c>
      <c r="L4886" t="s">
        <v>22375</v>
      </c>
      <c r="M4886" t="s">
        <v>22376</v>
      </c>
      <c r="N4886" t="s">
        <v>22375</v>
      </c>
      <c r="T4886" t="s">
        <v>22377</v>
      </c>
      <c r="U4886" t="s">
        <v>22378</v>
      </c>
      <c r="V4886" t="s">
        <v>22376</v>
      </c>
      <c r="W4886" t="s">
        <v>12301</v>
      </c>
      <c r="X4886" t="s">
        <v>22379</v>
      </c>
      <c r="Y4886">
        <v>1</v>
      </c>
      <c r="Z4886">
        <v>58</v>
      </c>
    </row>
    <row r="4887" spans="1:26">
      <c r="A4887" s="1">
        <v>4885</v>
      </c>
      <c r="B4887" t="str">
        <f>HYPERLINK("https://bugs.eclipse.org/bugs/show_bug.cgi?id=550004", "550004")</f>
        <v>550004</v>
      </c>
      <c r="C4887" t="s">
        <v>140</v>
      </c>
      <c r="D4887" t="s">
        <v>10</v>
      </c>
      <c r="E4887" t="s">
        <v>16</v>
      </c>
      <c r="F4887" t="s">
        <v>26</v>
      </c>
      <c r="L4887" t="s">
        <v>22380</v>
      </c>
      <c r="R4887" t="s">
        <v>22380</v>
      </c>
      <c r="T4887" t="s">
        <v>22381</v>
      </c>
      <c r="U4887" t="s">
        <v>22382</v>
      </c>
      <c r="V4887" t="s">
        <v>22380</v>
      </c>
      <c r="W4887" t="s">
        <v>18080</v>
      </c>
      <c r="X4887" t="s">
        <v>22383</v>
      </c>
      <c r="Y4887">
        <v>0</v>
      </c>
      <c r="Z4887">
        <v>444</v>
      </c>
    </row>
    <row r="4888" spans="1:26">
      <c r="A4888" s="1">
        <v>4886</v>
      </c>
      <c r="B4888" t="str">
        <f>HYPERLINK("https://bugs.eclipse.org/bugs/show_bug.cgi?id=550044", "550044")</f>
        <v>550044</v>
      </c>
      <c r="C4888" t="s">
        <v>35</v>
      </c>
      <c r="D4888" t="s">
        <v>11</v>
      </c>
      <c r="E4888" t="s">
        <v>12</v>
      </c>
      <c r="F4888" t="s">
        <v>26</v>
      </c>
      <c r="L4888" t="s">
        <v>22384</v>
      </c>
      <c r="M4888" t="s">
        <v>22385</v>
      </c>
      <c r="N4888" t="s">
        <v>22384</v>
      </c>
      <c r="T4888" t="s">
        <v>22386</v>
      </c>
      <c r="U4888" t="s">
        <v>22387</v>
      </c>
      <c r="V4888" t="s">
        <v>22388</v>
      </c>
      <c r="W4888" t="s">
        <v>143</v>
      </c>
      <c r="X4888" t="s">
        <v>22389</v>
      </c>
      <c r="Y4888">
        <v>0</v>
      </c>
      <c r="Z4888">
        <v>1</v>
      </c>
    </row>
    <row r="4889" spans="1:26">
      <c r="A4889" s="1">
        <v>4887</v>
      </c>
      <c r="B4889" t="str">
        <f>HYPERLINK("https://bugs.eclipse.org/bugs/show_bug.cgi?id=550334", "550334")</f>
        <v>550334</v>
      </c>
      <c r="C4889" t="s">
        <v>35</v>
      </c>
      <c r="D4889" t="s">
        <v>11</v>
      </c>
      <c r="E4889" t="s">
        <v>12</v>
      </c>
      <c r="F4889" t="s">
        <v>26</v>
      </c>
      <c r="G4889" t="s">
        <v>22390</v>
      </c>
      <c r="L4889" t="s">
        <v>22391</v>
      </c>
      <c r="M4889" t="s">
        <v>22392</v>
      </c>
      <c r="N4889" t="s">
        <v>22391</v>
      </c>
      <c r="R4889" t="s">
        <v>22393</v>
      </c>
      <c r="S4889" t="s">
        <v>22394</v>
      </c>
      <c r="T4889" t="s">
        <v>22395</v>
      </c>
      <c r="U4889" t="s">
        <v>22396</v>
      </c>
      <c r="V4889" t="s">
        <v>22392</v>
      </c>
      <c r="W4889" t="s">
        <v>4846</v>
      </c>
      <c r="X4889" t="s">
        <v>22397</v>
      </c>
      <c r="Y4889">
        <v>0</v>
      </c>
      <c r="Z4889">
        <v>13</v>
      </c>
    </row>
    <row r="4890" spans="1:26">
      <c r="A4890" s="1">
        <v>4888</v>
      </c>
      <c r="B4890" t="str">
        <f>HYPERLINK("https://bugs.eclipse.org/bugs/show_bug.cgi?id=550376", "550376")</f>
        <v>550376</v>
      </c>
      <c r="C4890" t="s">
        <v>35</v>
      </c>
      <c r="D4890" t="s">
        <v>11</v>
      </c>
      <c r="E4890" t="s">
        <v>12</v>
      </c>
      <c r="F4890" t="s">
        <v>26</v>
      </c>
      <c r="G4890" t="s">
        <v>22398</v>
      </c>
      <c r="H4890" t="s">
        <v>22399</v>
      </c>
      <c r="L4890" t="s">
        <v>22400</v>
      </c>
      <c r="M4890" t="s">
        <v>22401</v>
      </c>
      <c r="N4890" t="s">
        <v>22400</v>
      </c>
      <c r="T4890" t="s">
        <v>22402</v>
      </c>
      <c r="U4890" t="s">
        <v>22403</v>
      </c>
      <c r="V4890" t="s">
        <v>22401</v>
      </c>
      <c r="W4890" t="s">
        <v>4846</v>
      </c>
      <c r="X4890" t="s">
        <v>22404</v>
      </c>
      <c r="Y4890">
        <v>0</v>
      </c>
      <c r="Z4890">
        <v>5</v>
      </c>
    </row>
    <row r="4891" spans="1:26">
      <c r="A4891" s="1">
        <v>4889</v>
      </c>
      <c r="B4891" t="str">
        <f>HYPERLINK("https://bugs.eclipse.org/bugs/show_bug.cgi?id=550394", "550394")</f>
        <v>550394</v>
      </c>
      <c r="C4891" t="s">
        <v>35</v>
      </c>
      <c r="D4891" t="s">
        <v>11</v>
      </c>
      <c r="E4891" t="s">
        <v>12</v>
      </c>
      <c r="F4891" t="s">
        <v>26</v>
      </c>
      <c r="H4891" t="s">
        <v>22405</v>
      </c>
      <c r="L4891" t="s">
        <v>22406</v>
      </c>
      <c r="M4891" t="s">
        <v>22407</v>
      </c>
      <c r="N4891" t="s">
        <v>22406</v>
      </c>
      <c r="S4891" t="s">
        <v>22408</v>
      </c>
      <c r="T4891" t="s">
        <v>22409</v>
      </c>
      <c r="U4891" t="s">
        <v>22410</v>
      </c>
      <c r="V4891" t="s">
        <v>22407</v>
      </c>
      <c r="W4891" t="s">
        <v>19597</v>
      </c>
      <c r="X4891" t="s">
        <v>22411</v>
      </c>
      <c r="Y4891">
        <v>0</v>
      </c>
      <c r="Z4891">
        <v>456.04166666666669</v>
      </c>
    </row>
    <row r="4892" spans="1:26">
      <c r="A4892" s="1">
        <v>4890</v>
      </c>
      <c r="B4892" t="str">
        <f>HYPERLINK("https://bugs.eclipse.org/bugs/show_bug.cgi?id=550508", "550508")</f>
        <v>550508</v>
      </c>
      <c r="C4892" t="s">
        <v>149</v>
      </c>
      <c r="D4892" t="s">
        <v>10</v>
      </c>
      <c r="E4892" t="s">
        <v>12</v>
      </c>
      <c r="F4892" t="s">
        <v>26</v>
      </c>
      <c r="L4892" t="s">
        <v>22412</v>
      </c>
      <c r="N4892" t="s">
        <v>22412</v>
      </c>
      <c r="T4892" t="s">
        <v>22413</v>
      </c>
      <c r="U4892" t="s">
        <v>22414</v>
      </c>
      <c r="V4892" t="s">
        <v>22412</v>
      </c>
      <c r="W4892" t="s">
        <v>22415</v>
      </c>
      <c r="X4892" t="s">
        <v>22416</v>
      </c>
      <c r="Y4892">
        <v>0</v>
      </c>
      <c r="Z4892">
        <v>16</v>
      </c>
    </row>
    <row r="4893" spans="1:26">
      <c r="A4893" s="1">
        <v>4891</v>
      </c>
      <c r="B4893" t="str">
        <f>HYPERLINK("https://bugs.eclipse.org/bugs/show_bug.cgi?id=550737", "550737")</f>
        <v>550737</v>
      </c>
      <c r="C4893" t="s">
        <v>149</v>
      </c>
      <c r="D4893" t="s">
        <v>10</v>
      </c>
      <c r="E4893" t="s">
        <v>12</v>
      </c>
      <c r="F4893" t="s">
        <v>26</v>
      </c>
      <c r="H4893" t="s">
        <v>22417</v>
      </c>
      <c r="L4893" t="s">
        <v>22418</v>
      </c>
      <c r="N4893" t="s">
        <v>22418</v>
      </c>
      <c r="T4893" t="s">
        <v>22419</v>
      </c>
      <c r="U4893" t="s">
        <v>22420</v>
      </c>
      <c r="V4893" t="s">
        <v>22418</v>
      </c>
      <c r="W4893" t="s">
        <v>18080</v>
      </c>
      <c r="X4893" t="s">
        <v>22421</v>
      </c>
      <c r="Y4893">
        <v>0</v>
      </c>
      <c r="Z4893">
        <v>16</v>
      </c>
    </row>
    <row r="4894" spans="1:26">
      <c r="A4894" s="1">
        <v>4892</v>
      </c>
      <c r="B4894" t="str">
        <f>HYPERLINK("https://bugs.eclipse.org/bugs/show_bug.cgi?id=550896", "550896")</f>
        <v>550896</v>
      </c>
      <c r="C4894" t="s">
        <v>4692</v>
      </c>
      <c r="D4894" t="s">
        <v>4692</v>
      </c>
      <c r="F4894" t="s">
        <v>26</v>
      </c>
      <c r="T4894" t="s">
        <v>22422</v>
      </c>
      <c r="U4894" t="s">
        <v>22423</v>
      </c>
      <c r="V4894" t="s">
        <v>22424</v>
      </c>
      <c r="W4894" t="s">
        <v>16518</v>
      </c>
      <c r="X4894" t="s">
        <v>22425</v>
      </c>
      <c r="Y4894">
        <v>0</v>
      </c>
    </row>
    <row r="4895" spans="1:26">
      <c r="A4895" s="1">
        <v>4893</v>
      </c>
      <c r="B4895" t="str">
        <f>HYPERLINK("https://bugs.eclipse.org/bugs/show_bug.cgi?id=550913", "550913")</f>
        <v>550913</v>
      </c>
      <c r="C4895" t="s">
        <v>35</v>
      </c>
      <c r="D4895" t="s">
        <v>11</v>
      </c>
      <c r="E4895" t="s">
        <v>12</v>
      </c>
      <c r="F4895" t="s">
        <v>26</v>
      </c>
      <c r="H4895" t="s">
        <v>22426</v>
      </c>
      <c r="L4895" t="s">
        <v>22427</v>
      </c>
      <c r="M4895" t="s">
        <v>22428</v>
      </c>
      <c r="N4895" t="s">
        <v>22427</v>
      </c>
      <c r="T4895" t="s">
        <v>22429</v>
      </c>
      <c r="U4895" t="s">
        <v>22430</v>
      </c>
      <c r="V4895" t="s">
        <v>22431</v>
      </c>
      <c r="W4895" t="s">
        <v>19597</v>
      </c>
      <c r="X4895" t="s">
        <v>22432</v>
      </c>
      <c r="Y4895">
        <v>0</v>
      </c>
      <c r="Z4895">
        <v>165.04166666666671</v>
      </c>
    </row>
    <row r="4896" spans="1:26">
      <c r="A4896" s="1">
        <v>4894</v>
      </c>
      <c r="B4896" t="str">
        <f>HYPERLINK("https://bugs.eclipse.org/bugs/show_bug.cgi?id=551002", "551002")</f>
        <v>551002</v>
      </c>
      <c r="C4896" t="s">
        <v>149</v>
      </c>
      <c r="D4896" t="s">
        <v>10</v>
      </c>
      <c r="E4896" t="s">
        <v>12</v>
      </c>
      <c r="F4896" t="s">
        <v>26</v>
      </c>
      <c r="G4896" t="s">
        <v>22433</v>
      </c>
      <c r="H4896" t="s">
        <v>22434</v>
      </c>
      <c r="L4896" t="s">
        <v>22435</v>
      </c>
      <c r="N4896" t="s">
        <v>22435</v>
      </c>
      <c r="T4896" t="s">
        <v>22436</v>
      </c>
      <c r="U4896" t="s">
        <v>22437</v>
      </c>
      <c r="V4896" t="s">
        <v>22435</v>
      </c>
      <c r="W4896" t="s">
        <v>11693</v>
      </c>
      <c r="X4896" t="s">
        <v>22438</v>
      </c>
      <c r="Y4896">
        <v>0</v>
      </c>
      <c r="Z4896">
        <v>0</v>
      </c>
    </row>
    <row r="4897" spans="1:26">
      <c r="A4897" s="1">
        <v>4895</v>
      </c>
      <c r="B4897" t="str">
        <f>HYPERLINK("https://bugs.eclipse.org/bugs/show_bug.cgi?id=551036", "551036")</f>
        <v>551036</v>
      </c>
      <c r="C4897" t="s">
        <v>4692</v>
      </c>
      <c r="D4897" t="s">
        <v>4692</v>
      </c>
      <c r="F4897" t="s">
        <v>26</v>
      </c>
      <c r="T4897" t="s">
        <v>22439</v>
      </c>
      <c r="U4897" t="s">
        <v>22440</v>
      </c>
      <c r="V4897" t="s">
        <v>22440</v>
      </c>
      <c r="W4897" t="s">
        <v>20632</v>
      </c>
      <c r="X4897" t="s">
        <v>22441</v>
      </c>
      <c r="Y4897">
        <v>13</v>
      </c>
    </row>
    <row r="4898" spans="1:26">
      <c r="A4898" s="1">
        <v>4896</v>
      </c>
      <c r="B4898" t="str">
        <f>HYPERLINK("https://bugs.eclipse.org/bugs/show_bug.cgi?id=551291", "551291")</f>
        <v>551291</v>
      </c>
      <c r="C4898" t="s">
        <v>149</v>
      </c>
      <c r="D4898" t="s">
        <v>10</v>
      </c>
      <c r="E4898" t="s">
        <v>12</v>
      </c>
      <c r="F4898" t="s">
        <v>26</v>
      </c>
      <c r="L4898" t="s">
        <v>22442</v>
      </c>
      <c r="N4898" t="s">
        <v>22442</v>
      </c>
      <c r="T4898" t="s">
        <v>22443</v>
      </c>
      <c r="U4898" t="s">
        <v>22444</v>
      </c>
      <c r="V4898" t="s">
        <v>22442</v>
      </c>
      <c r="W4898" t="s">
        <v>19597</v>
      </c>
      <c r="X4898" t="s">
        <v>22445</v>
      </c>
      <c r="Y4898">
        <v>0</v>
      </c>
      <c r="Z4898">
        <v>171</v>
      </c>
    </row>
    <row r="4899" spans="1:26">
      <c r="A4899" s="1">
        <v>4897</v>
      </c>
      <c r="B4899" t="str">
        <f>HYPERLINK("https://bugs.eclipse.org/bugs/show_bug.cgi?id=551345", "551345")</f>
        <v>551345</v>
      </c>
      <c r="C4899" t="s">
        <v>2160</v>
      </c>
      <c r="D4899" t="s">
        <v>192</v>
      </c>
      <c r="E4899" t="s">
        <v>16</v>
      </c>
      <c r="F4899" t="s">
        <v>26</v>
      </c>
      <c r="R4899" t="s">
        <v>22446</v>
      </c>
      <c r="T4899" t="s">
        <v>22447</v>
      </c>
      <c r="U4899" t="s">
        <v>22448</v>
      </c>
      <c r="V4899" t="s">
        <v>22446</v>
      </c>
      <c r="W4899" t="s">
        <v>5069</v>
      </c>
      <c r="X4899" t="s">
        <v>22449</v>
      </c>
      <c r="Y4899">
        <v>0</v>
      </c>
      <c r="Z4899">
        <v>40</v>
      </c>
    </row>
    <row r="4900" spans="1:26">
      <c r="A4900" s="1">
        <v>4898</v>
      </c>
      <c r="B4900" t="str">
        <f>HYPERLINK("https://bugs.eclipse.org/bugs/show_bug.cgi?id=551407", "551407")</f>
        <v>551407</v>
      </c>
      <c r="C4900" t="s">
        <v>22450</v>
      </c>
      <c r="D4900" t="s">
        <v>192</v>
      </c>
      <c r="E4900" t="s">
        <v>15</v>
      </c>
      <c r="F4900" t="s">
        <v>26</v>
      </c>
      <c r="L4900" t="s">
        <v>22451</v>
      </c>
      <c r="Q4900" t="s">
        <v>22452</v>
      </c>
      <c r="T4900" t="s">
        <v>22453</v>
      </c>
      <c r="U4900" t="s">
        <v>22454</v>
      </c>
      <c r="V4900" t="s">
        <v>22452</v>
      </c>
      <c r="W4900" t="s">
        <v>12301</v>
      </c>
      <c r="X4900" t="s">
        <v>22455</v>
      </c>
      <c r="Y4900">
        <v>0</v>
      </c>
      <c r="Z4900">
        <v>126.0416666666667</v>
      </c>
    </row>
    <row r="4901" spans="1:26">
      <c r="A4901" s="1">
        <v>4899</v>
      </c>
      <c r="B4901" t="str">
        <f>HYPERLINK("https://bugs.eclipse.org/bugs/show_bug.cgi?id=551600", "551600")</f>
        <v>551600</v>
      </c>
      <c r="C4901" t="s">
        <v>35</v>
      </c>
      <c r="D4901" t="s">
        <v>11</v>
      </c>
      <c r="E4901" t="s">
        <v>12</v>
      </c>
      <c r="F4901" t="s">
        <v>26</v>
      </c>
      <c r="H4901" t="s">
        <v>22456</v>
      </c>
      <c r="L4901" t="s">
        <v>22457</v>
      </c>
      <c r="M4901" t="s">
        <v>22458</v>
      </c>
      <c r="N4901" t="s">
        <v>22457</v>
      </c>
      <c r="T4901" t="s">
        <v>22459</v>
      </c>
      <c r="U4901" t="s">
        <v>22460</v>
      </c>
      <c r="V4901" t="s">
        <v>22461</v>
      </c>
      <c r="W4901" t="s">
        <v>4846</v>
      </c>
      <c r="X4901" t="s">
        <v>22462</v>
      </c>
      <c r="Y4901">
        <v>0</v>
      </c>
      <c r="Z4901">
        <v>270</v>
      </c>
    </row>
    <row r="4902" spans="1:26">
      <c r="A4902" s="1">
        <v>4900</v>
      </c>
      <c r="B4902" t="str">
        <f>HYPERLINK("https://bugs.eclipse.org/bugs/show_bug.cgi?id=551601", "551601")</f>
        <v>551601</v>
      </c>
      <c r="C4902" t="s">
        <v>35</v>
      </c>
      <c r="D4902" t="s">
        <v>11</v>
      </c>
      <c r="E4902" t="s">
        <v>12</v>
      </c>
      <c r="F4902" t="s">
        <v>26</v>
      </c>
      <c r="L4902" t="s">
        <v>22463</v>
      </c>
      <c r="M4902" t="s">
        <v>22464</v>
      </c>
      <c r="N4902" t="s">
        <v>22463</v>
      </c>
      <c r="T4902" t="s">
        <v>22465</v>
      </c>
      <c r="U4902" t="s">
        <v>22466</v>
      </c>
      <c r="V4902" t="s">
        <v>22464</v>
      </c>
      <c r="W4902" t="s">
        <v>12301</v>
      </c>
      <c r="X4902" t="s">
        <v>22467</v>
      </c>
      <c r="Y4902">
        <v>0</v>
      </c>
      <c r="Z4902">
        <v>10</v>
      </c>
    </row>
    <row r="4903" spans="1:26">
      <c r="A4903" s="1">
        <v>4901</v>
      </c>
      <c r="B4903" t="str">
        <f>HYPERLINK("https://bugs.eclipse.org/bugs/show_bug.cgi?id=551614", "551614")</f>
        <v>551614</v>
      </c>
      <c r="C4903" t="s">
        <v>35</v>
      </c>
      <c r="D4903" t="s">
        <v>11</v>
      </c>
      <c r="E4903" t="s">
        <v>12</v>
      </c>
      <c r="F4903" t="s">
        <v>26</v>
      </c>
      <c r="G4903" t="s">
        <v>22468</v>
      </c>
      <c r="L4903" t="s">
        <v>22469</v>
      </c>
      <c r="M4903" t="s">
        <v>22470</v>
      </c>
      <c r="N4903" t="s">
        <v>22469</v>
      </c>
      <c r="T4903" t="s">
        <v>22471</v>
      </c>
      <c r="U4903" t="s">
        <v>22472</v>
      </c>
      <c r="V4903" t="s">
        <v>22470</v>
      </c>
      <c r="W4903" t="s">
        <v>19597</v>
      </c>
      <c r="X4903" t="s">
        <v>22473</v>
      </c>
      <c r="Y4903">
        <v>0</v>
      </c>
      <c r="Z4903">
        <v>418.04166666666669</v>
      </c>
    </row>
    <row r="4904" spans="1:26">
      <c r="A4904" s="1">
        <v>4902</v>
      </c>
      <c r="B4904" t="str">
        <f>HYPERLINK("https://bugs.eclipse.org/bugs/show_bug.cgi?id=551669", "551669")</f>
        <v>551669</v>
      </c>
      <c r="C4904" t="s">
        <v>4692</v>
      </c>
      <c r="D4904" t="s">
        <v>4692</v>
      </c>
      <c r="F4904" t="s">
        <v>26</v>
      </c>
    </row>
    <row r="4905" spans="1:26">
      <c r="A4905" s="1">
        <v>4903</v>
      </c>
      <c r="B4905" t="str">
        <f>HYPERLINK("https://bugs.eclipse.org/bugs/show_bug.cgi?id=551728", "551728")</f>
        <v>551728</v>
      </c>
      <c r="C4905" t="s">
        <v>35</v>
      </c>
      <c r="D4905" t="s">
        <v>11</v>
      </c>
      <c r="E4905" t="s">
        <v>12</v>
      </c>
      <c r="F4905" t="s">
        <v>26</v>
      </c>
      <c r="H4905" t="s">
        <v>22474</v>
      </c>
      <c r="L4905" t="s">
        <v>22475</v>
      </c>
      <c r="M4905" t="s">
        <v>22476</v>
      </c>
      <c r="N4905" t="s">
        <v>22475</v>
      </c>
      <c r="T4905" t="s">
        <v>22477</v>
      </c>
      <c r="U4905" t="s">
        <v>22478</v>
      </c>
      <c r="V4905" t="s">
        <v>22479</v>
      </c>
      <c r="W4905" t="s">
        <v>22265</v>
      </c>
      <c r="X4905" t="s">
        <v>22480</v>
      </c>
      <c r="Y4905">
        <v>0</v>
      </c>
      <c r="Z4905">
        <v>407.04166666666669</v>
      </c>
    </row>
    <row r="4906" spans="1:26">
      <c r="A4906" s="1">
        <v>4904</v>
      </c>
      <c r="B4906" t="str">
        <f>HYPERLINK("https://bugs.eclipse.org/bugs/show_bug.cgi?id=551931", "551931")</f>
        <v>551931</v>
      </c>
      <c r="C4906" t="s">
        <v>35</v>
      </c>
      <c r="D4906" t="s">
        <v>11</v>
      </c>
      <c r="E4906" t="s">
        <v>12</v>
      </c>
      <c r="F4906" t="s">
        <v>26</v>
      </c>
      <c r="L4906" t="s">
        <v>22481</v>
      </c>
      <c r="M4906" t="s">
        <v>22482</v>
      </c>
      <c r="N4906" t="s">
        <v>22481</v>
      </c>
      <c r="T4906" t="s">
        <v>22483</v>
      </c>
      <c r="U4906" t="s">
        <v>22484</v>
      </c>
      <c r="V4906" t="s">
        <v>22482</v>
      </c>
      <c r="W4906" t="s">
        <v>12301</v>
      </c>
      <c r="X4906" t="s">
        <v>22485</v>
      </c>
      <c r="Y4906">
        <v>0</v>
      </c>
      <c r="Z4906">
        <v>42.041666666666657</v>
      </c>
    </row>
    <row r="4907" spans="1:26">
      <c r="A4907" s="1">
        <v>4905</v>
      </c>
      <c r="B4907" t="str">
        <f>HYPERLINK("https://bugs.eclipse.org/bugs/show_bug.cgi?id=552261", "552261")</f>
        <v>552261</v>
      </c>
      <c r="C4907" t="s">
        <v>4692</v>
      </c>
      <c r="D4907" t="s">
        <v>4692</v>
      </c>
      <c r="F4907" t="s">
        <v>26</v>
      </c>
    </row>
    <row r="4908" spans="1:26">
      <c r="A4908" s="1">
        <v>4906</v>
      </c>
      <c r="B4908" t="str">
        <f>HYPERLINK("https://bugs.eclipse.org/bugs/show_bug.cgi?id=552282", "552282")</f>
        <v>552282</v>
      </c>
      <c r="C4908" t="s">
        <v>35</v>
      </c>
      <c r="D4908" t="s">
        <v>11</v>
      </c>
      <c r="E4908" t="s">
        <v>12</v>
      </c>
      <c r="F4908" t="s">
        <v>26</v>
      </c>
      <c r="L4908" t="s">
        <v>22486</v>
      </c>
      <c r="M4908" t="s">
        <v>22487</v>
      </c>
      <c r="N4908" t="s">
        <v>22486</v>
      </c>
      <c r="T4908" t="s">
        <v>22488</v>
      </c>
      <c r="U4908" t="s">
        <v>22489</v>
      </c>
      <c r="V4908" t="s">
        <v>22487</v>
      </c>
      <c r="W4908" t="s">
        <v>12301</v>
      </c>
      <c r="X4908" t="s">
        <v>22490</v>
      </c>
      <c r="Y4908">
        <v>4</v>
      </c>
      <c r="Z4908">
        <v>29.041666666666671</v>
      </c>
    </row>
    <row r="4909" spans="1:26">
      <c r="A4909" s="1">
        <v>4907</v>
      </c>
      <c r="B4909" t="str">
        <f>HYPERLINK("https://bugs.eclipse.org/bugs/show_bug.cgi?id=552456", "552456")</f>
        <v>552456</v>
      </c>
      <c r="C4909" t="s">
        <v>35</v>
      </c>
      <c r="D4909" t="s">
        <v>11</v>
      </c>
      <c r="E4909" t="s">
        <v>12</v>
      </c>
      <c r="F4909" t="s">
        <v>26</v>
      </c>
      <c r="L4909" t="s">
        <v>22491</v>
      </c>
      <c r="M4909" t="s">
        <v>22492</v>
      </c>
      <c r="N4909" t="s">
        <v>22491</v>
      </c>
      <c r="T4909" t="s">
        <v>22493</v>
      </c>
      <c r="U4909" t="s">
        <v>22494</v>
      </c>
      <c r="V4909" t="s">
        <v>22492</v>
      </c>
      <c r="W4909" t="s">
        <v>12301</v>
      </c>
      <c r="X4909" t="s">
        <v>22495</v>
      </c>
      <c r="Y4909">
        <v>0</v>
      </c>
      <c r="Z4909">
        <v>117.0416666666667</v>
      </c>
    </row>
    <row r="4910" spans="1:26">
      <c r="A4910" s="1">
        <v>4908</v>
      </c>
      <c r="B4910" t="str">
        <f>HYPERLINK("https://bugs.eclipse.org/bugs/show_bug.cgi?id=553025", "553025")</f>
        <v>553025</v>
      </c>
      <c r="C4910" t="s">
        <v>35</v>
      </c>
      <c r="D4910" t="s">
        <v>11</v>
      </c>
      <c r="E4910" t="s">
        <v>12</v>
      </c>
      <c r="F4910" t="s">
        <v>26</v>
      </c>
      <c r="G4910" t="s">
        <v>22496</v>
      </c>
      <c r="H4910" t="s">
        <v>22497</v>
      </c>
      <c r="L4910" t="s">
        <v>22498</v>
      </c>
      <c r="M4910" t="s">
        <v>22499</v>
      </c>
      <c r="N4910" t="s">
        <v>22498</v>
      </c>
      <c r="T4910" t="s">
        <v>22500</v>
      </c>
      <c r="U4910" t="s">
        <v>22501</v>
      </c>
      <c r="V4910" t="s">
        <v>22502</v>
      </c>
      <c r="W4910" t="s">
        <v>4846</v>
      </c>
      <c r="X4910" t="s">
        <v>22503</v>
      </c>
      <c r="Y4910">
        <v>0</v>
      </c>
      <c r="Z4910">
        <v>418</v>
      </c>
    </row>
    <row r="4911" spans="1:26">
      <c r="A4911" s="1">
        <v>4909</v>
      </c>
      <c r="B4911" t="str">
        <f>HYPERLINK("https://bugs.eclipse.org/bugs/show_bug.cgi?id=553467", "553467")</f>
        <v>553467</v>
      </c>
      <c r="C4911" t="s">
        <v>191</v>
      </c>
      <c r="D4911" t="s">
        <v>192</v>
      </c>
      <c r="E4911" t="s">
        <v>14</v>
      </c>
      <c r="F4911" t="s">
        <v>26</v>
      </c>
      <c r="H4911" t="s">
        <v>22504</v>
      </c>
      <c r="P4911" t="s">
        <v>22505</v>
      </c>
      <c r="T4911" t="s">
        <v>22506</v>
      </c>
      <c r="U4911" t="s">
        <v>22507</v>
      </c>
      <c r="V4911" t="s">
        <v>22505</v>
      </c>
      <c r="W4911" t="s">
        <v>4846</v>
      </c>
      <c r="X4911" t="s">
        <v>22508</v>
      </c>
      <c r="Y4911">
        <v>0</v>
      </c>
      <c r="Z4911">
        <v>168.95833333333329</v>
      </c>
    </row>
    <row r="4912" spans="1:26">
      <c r="A4912" s="1">
        <v>4910</v>
      </c>
      <c r="B4912" t="str">
        <f>HYPERLINK("https://bugs.eclipse.org/bugs/show_bug.cgi?id=553520", "553520")</f>
        <v>553520</v>
      </c>
      <c r="C4912" t="s">
        <v>35</v>
      </c>
      <c r="D4912" t="s">
        <v>11</v>
      </c>
      <c r="E4912" t="s">
        <v>12</v>
      </c>
      <c r="F4912" t="s">
        <v>26</v>
      </c>
      <c r="L4912" t="s">
        <v>22509</v>
      </c>
      <c r="M4912" t="s">
        <v>22510</v>
      </c>
      <c r="N4912" t="s">
        <v>22509</v>
      </c>
      <c r="T4912" t="s">
        <v>22511</v>
      </c>
      <c r="U4912" t="s">
        <v>22512</v>
      </c>
      <c r="V4912" t="s">
        <v>22510</v>
      </c>
      <c r="W4912" t="s">
        <v>143</v>
      </c>
      <c r="X4912" t="s">
        <v>22513</v>
      </c>
      <c r="Y4912">
        <v>0</v>
      </c>
      <c r="Z4912">
        <v>7</v>
      </c>
    </row>
    <row r="4913" spans="1:26">
      <c r="A4913" s="1">
        <v>4911</v>
      </c>
      <c r="B4913" t="str">
        <f>HYPERLINK("https://bugs.eclipse.org/bugs/show_bug.cgi?id=557993", "557993")</f>
        <v>557993</v>
      </c>
      <c r="C4913" t="s">
        <v>4692</v>
      </c>
      <c r="D4913" t="s">
        <v>4692</v>
      </c>
      <c r="F4913" t="s">
        <v>26</v>
      </c>
      <c r="G4913" t="s">
        <v>22514</v>
      </c>
      <c r="T4913" t="s">
        <v>22515</v>
      </c>
      <c r="U4913" t="s">
        <v>22424</v>
      </c>
      <c r="V4913" t="s">
        <v>21717</v>
      </c>
      <c r="W4913" t="s">
        <v>16518</v>
      </c>
      <c r="X4913" t="s">
        <v>22516</v>
      </c>
      <c r="Y4913">
        <v>0</v>
      </c>
    </row>
    <row r="4914" spans="1:26">
      <c r="A4914" s="1">
        <v>4912</v>
      </c>
      <c r="B4914" t="str">
        <f>HYPERLINK("https://bugs.eclipse.org/bugs/show_bug.cgi?id=558226", "558226")</f>
        <v>558226</v>
      </c>
      <c r="C4914" t="s">
        <v>25</v>
      </c>
      <c r="D4914" t="s">
        <v>25</v>
      </c>
      <c r="F4914" t="s">
        <v>26</v>
      </c>
      <c r="T4914" t="s">
        <v>22517</v>
      </c>
      <c r="U4914" t="s">
        <v>22518</v>
      </c>
      <c r="V4914" t="s">
        <v>22519</v>
      </c>
      <c r="W4914" t="s">
        <v>19597</v>
      </c>
      <c r="X4914" t="s">
        <v>22520</v>
      </c>
      <c r="Y4914">
        <v>0</v>
      </c>
    </row>
    <row r="4915" spans="1:26">
      <c r="A4915" s="1">
        <v>4913</v>
      </c>
      <c r="B4915" t="str">
        <f>HYPERLINK("https://bugs.eclipse.org/bugs/show_bug.cgi?id=558292", "558292")</f>
        <v>558292</v>
      </c>
      <c r="C4915" t="s">
        <v>4692</v>
      </c>
      <c r="D4915" t="s">
        <v>4692</v>
      </c>
      <c r="F4915" t="s">
        <v>26</v>
      </c>
      <c r="T4915" t="s">
        <v>22521</v>
      </c>
      <c r="U4915" t="s">
        <v>22522</v>
      </c>
      <c r="V4915" t="s">
        <v>22523</v>
      </c>
      <c r="W4915" t="s">
        <v>18080</v>
      </c>
      <c r="X4915" t="s">
        <v>22524</v>
      </c>
      <c r="Y4915">
        <v>0</v>
      </c>
    </row>
    <row r="4916" spans="1:26">
      <c r="A4916" s="1">
        <v>4914</v>
      </c>
      <c r="B4916" t="str">
        <f>HYPERLINK("https://bugs.eclipse.org/bugs/show_bug.cgi?id=558313", "558313")</f>
        <v>558313</v>
      </c>
      <c r="C4916" t="s">
        <v>35</v>
      </c>
      <c r="D4916" t="s">
        <v>11</v>
      </c>
      <c r="E4916" t="s">
        <v>12</v>
      </c>
      <c r="F4916" t="s">
        <v>26</v>
      </c>
      <c r="G4916" t="s">
        <v>22525</v>
      </c>
      <c r="H4916" t="s">
        <v>22526</v>
      </c>
      <c r="L4916" t="s">
        <v>22527</v>
      </c>
      <c r="M4916" t="s">
        <v>22528</v>
      </c>
      <c r="N4916" t="s">
        <v>22527</v>
      </c>
      <c r="S4916" t="s">
        <v>22529</v>
      </c>
      <c r="T4916" t="s">
        <v>22530</v>
      </c>
      <c r="U4916" t="s">
        <v>22531</v>
      </c>
      <c r="V4916" t="s">
        <v>22528</v>
      </c>
      <c r="W4916" t="s">
        <v>12301</v>
      </c>
      <c r="X4916" t="s">
        <v>22532</v>
      </c>
      <c r="Y4916">
        <v>3</v>
      </c>
      <c r="Z4916">
        <v>250.95833333333329</v>
      </c>
    </row>
    <row r="4917" spans="1:26">
      <c r="A4917" s="1">
        <v>4915</v>
      </c>
      <c r="B4917" t="str">
        <f>HYPERLINK("https://bugs.eclipse.org/bugs/show_bug.cgi?id=558334", "558334")</f>
        <v>558334</v>
      </c>
      <c r="C4917" t="s">
        <v>8439</v>
      </c>
      <c r="D4917" t="s">
        <v>192</v>
      </c>
      <c r="E4917" t="s">
        <v>13</v>
      </c>
      <c r="F4917" t="s">
        <v>26</v>
      </c>
      <c r="O4917" t="s">
        <v>22533</v>
      </c>
      <c r="T4917" t="s">
        <v>22534</v>
      </c>
      <c r="U4917" t="s">
        <v>22535</v>
      </c>
      <c r="V4917" t="s">
        <v>22533</v>
      </c>
      <c r="W4917" t="s">
        <v>11939</v>
      </c>
      <c r="X4917" t="s">
        <v>22536</v>
      </c>
      <c r="Y4917">
        <v>0</v>
      </c>
      <c r="Z4917">
        <v>0</v>
      </c>
    </row>
    <row r="4918" spans="1:26">
      <c r="A4918" s="1">
        <v>4916</v>
      </c>
      <c r="B4918" t="str">
        <f>HYPERLINK("https://bugs.eclipse.org/bugs/show_bug.cgi?id=558700", "558700")</f>
        <v>558700</v>
      </c>
      <c r="C4918" t="s">
        <v>149</v>
      </c>
      <c r="D4918" t="s">
        <v>10</v>
      </c>
      <c r="E4918" t="s">
        <v>12</v>
      </c>
      <c r="F4918" t="s">
        <v>26</v>
      </c>
      <c r="G4918" t="s">
        <v>22537</v>
      </c>
      <c r="L4918" t="s">
        <v>22538</v>
      </c>
      <c r="N4918" t="s">
        <v>22538</v>
      </c>
      <c r="T4918" t="s">
        <v>22539</v>
      </c>
      <c r="U4918" t="s">
        <v>22540</v>
      </c>
      <c r="V4918" t="s">
        <v>22538</v>
      </c>
      <c r="W4918" t="s">
        <v>12301</v>
      </c>
      <c r="X4918" t="s">
        <v>22541</v>
      </c>
      <c r="Y4918">
        <v>0</v>
      </c>
      <c r="Z4918">
        <v>70.958333333333329</v>
      </c>
    </row>
    <row r="4919" spans="1:26">
      <c r="A4919" s="1">
        <v>4917</v>
      </c>
      <c r="B4919" t="str">
        <f>HYPERLINK("https://bugs.eclipse.org/bugs/show_bug.cgi?id=558910", "558910")</f>
        <v>558910</v>
      </c>
      <c r="C4919" t="s">
        <v>4692</v>
      </c>
      <c r="D4919" t="s">
        <v>4692</v>
      </c>
      <c r="F4919" t="s">
        <v>26</v>
      </c>
      <c r="T4919" t="s">
        <v>22542</v>
      </c>
      <c r="U4919" t="s">
        <v>22543</v>
      </c>
      <c r="V4919" t="s">
        <v>22544</v>
      </c>
      <c r="W4919" t="s">
        <v>16518</v>
      </c>
      <c r="X4919" t="s">
        <v>22545</v>
      </c>
      <c r="Y4919">
        <v>0</v>
      </c>
    </row>
    <row r="4920" spans="1:26">
      <c r="A4920" s="1">
        <v>4918</v>
      </c>
      <c r="B4920" t="str">
        <f>HYPERLINK("https://bugs.eclipse.org/bugs/show_bug.cgi?id=558917", "558917")</f>
        <v>558917</v>
      </c>
      <c r="C4920" t="s">
        <v>4692</v>
      </c>
      <c r="D4920" t="s">
        <v>4692</v>
      </c>
      <c r="F4920" t="s">
        <v>26</v>
      </c>
      <c r="T4920" t="s">
        <v>22546</v>
      </c>
      <c r="U4920" t="s">
        <v>22547</v>
      </c>
      <c r="V4920" t="s">
        <v>22548</v>
      </c>
      <c r="W4920" t="s">
        <v>18080</v>
      </c>
      <c r="X4920" t="s">
        <v>22549</v>
      </c>
      <c r="Y4920">
        <v>0</v>
      </c>
    </row>
    <row r="4921" spans="1:26">
      <c r="A4921" s="1">
        <v>4919</v>
      </c>
      <c r="B4921" t="str">
        <f>HYPERLINK("https://bugs.eclipse.org/bugs/show_bug.cgi?id=559047", "559047")</f>
        <v>559047</v>
      </c>
      <c r="C4921" t="s">
        <v>4692</v>
      </c>
      <c r="D4921" t="s">
        <v>4692</v>
      </c>
      <c r="F4921" t="s">
        <v>26</v>
      </c>
      <c r="T4921" t="s">
        <v>22550</v>
      </c>
      <c r="U4921" t="s">
        <v>22551</v>
      </c>
      <c r="V4921" t="s">
        <v>22551</v>
      </c>
      <c r="W4921" t="s">
        <v>9266</v>
      </c>
      <c r="X4921" t="s">
        <v>22552</v>
      </c>
      <c r="Y4921">
        <v>3</v>
      </c>
    </row>
    <row r="4922" spans="1:26">
      <c r="A4922" s="1">
        <v>4920</v>
      </c>
      <c r="B4922" t="str">
        <f>HYPERLINK("https://bugs.eclipse.org/bugs/show_bug.cgi?id=559294", "559294")</f>
        <v>559294</v>
      </c>
      <c r="C4922" t="s">
        <v>4692</v>
      </c>
      <c r="D4922" t="s">
        <v>4692</v>
      </c>
      <c r="F4922" t="s">
        <v>26</v>
      </c>
      <c r="T4922" t="s">
        <v>22553</v>
      </c>
      <c r="U4922" t="s">
        <v>22554</v>
      </c>
      <c r="V4922" t="s">
        <v>22554</v>
      </c>
      <c r="W4922" t="s">
        <v>14690</v>
      </c>
      <c r="X4922" t="s">
        <v>22555</v>
      </c>
      <c r="Y4922">
        <v>0</v>
      </c>
    </row>
    <row r="4923" spans="1:26">
      <c r="A4923" s="1">
        <v>4921</v>
      </c>
      <c r="B4923" t="str">
        <f>HYPERLINK("https://bugs.eclipse.org/bugs/show_bug.cgi?id=559359", "559359")</f>
        <v>559359</v>
      </c>
      <c r="C4923" t="s">
        <v>35</v>
      </c>
      <c r="D4923" t="s">
        <v>11</v>
      </c>
      <c r="E4923" t="s">
        <v>12</v>
      </c>
      <c r="F4923" t="s">
        <v>26</v>
      </c>
      <c r="L4923" t="s">
        <v>22556</v>
      </c>
      <c r="M4923" t="s">
        <v>22557</v>
      </c>
      <c r="N4923" t="s">
        <v>22556</v>
      </c>
      <c r="T4923" t="s">
        <v>22558</v>
      </c>
      <c r="U4923" t="s">
        <v>22559</v>
      </c>
      <c r="V4923" t="s">
        <v>22557</v>
      </c>
      <c r="W4923" t="s">
        <v>9266</v>
      </c>
      <c r="X4923" t="s">
        <v>22560</v>
      </c>
      <c r="Y4923">
        <v>0</v>
      </c>
      <c r="Z4923">
        <v>29</v>
      </c>
    </row>
    <row r="4924" spans="1:26">
      <c r="A4924" s="1">
        <v>4922</v>
      </c>
      <c r="B4924" t="str">
        <f>HYPERLINK("https://bugs.eclipse.org/bugs/show_bug.cgi?id=559504", "559504")</f>
        <v>559504</v>
      </c>
      <c r="C4924" t="s">
        <v>2160</v>
      </c>
      <c r="D4924" t="s">
        <v>192</v>
      </c>
      <c r="E4924" t="s">
        <v>16</v>
      </c>
      <c r="F4924" t="s">
        <v>26</v>
      </c>
      <c r="R4924" t="s">
        <v>22561</v>
      </c>
      <c r="T4924" t="s">
        <v>22562</v>
      </c>
      <c r="U4924" t="s">
        <v>22563</v>
      </c>
      <c r="V4924" t="s">
        <v>22561</v>
      </c>
      <c r="W4924" t="s">
        <v>18080</v>
      </c>
      <c r="X4924" t="s">
        <v>22564</v>
      </c>
      <c r="Y4924">
        <v>0</v>
      </c>
      <c r="Z4924">
        <v>1</v>
      </c>
    </row>
    <row r="4925" spans="1:26">
      <c r="A4925" s="1">
        <v>4923</v>
      </c>
      <c r="B4925" t="str">
        <f>HYPERLINK("https://bugs.eclipse.org/bugs/show_bug.cgi?id=559575", "559575")</f>
        <v>559575</v>
      </c>
      <c r="C4925" t="s">
        <v>56</v>
      </c>
      <c r="D4925" t="s">
        <v>10</v>
      </c>
      <c r="E4925" t="s">
        <v>14</v>
      </c>
      <c r="F4925" t="s">
        <v>26</v>
      </c>
      <c r="L4925" t="s">
        <v>22565</v>
      </c>
      <c r="P4925" t="s">
        <v>22565</v>
      </c>
      <c r="T4925" t="s">
        <v>22566</v>
      </c>
      <c r="U4925" t="s">
        <v>22567</v>
      </c>
      <c r="V4925" t="s">
        <v>22565</v>
      </c>
      <c r="W4925" t="s">
        <v>18080</v>
      </c>
      <c r="X4925" t="s">
        <v>22568</v>
      </c>
      <c r="Y4925">
        <v>0</v>
      </c>
      <c r="Z4925">
        <v>0</v>
      </c>
    </row>
    <row r="4926" spans="1:26">
      <c r="A4926" s="1">
        <v>4924</v>
      </c>
      <c r="B4926" t="str">
        <f>HYPERLINK("https://bugs.eclipse.org/bugs/show_bug.cgi?id=559681", "559681")</f>
        <v>559681</v>
      </c>
      <c r="C4926" t="s">
        <v>35</v>
      </c>
      <c r="D4926" t="s">
        <v>11</v>
      </c>
      <c r="E4926" t="s">
        <v>12</v>
      </c>
      <c r="F4926" t="s">
        <v>26</v>
      </c>
      <c r="G4926" t="s">
        <v>22569</v>
      </c>
      <c r="H4926" t="s">
        <v>22504</v>
      </c>
      <c r="L4926" t="s">
        <v>22570</v>
      </c>
      <c r="M4926" t="s">
        <v>22571</v>
      </c>
      <c r="N4926" t="s">
        <v>22570</v>
      </c>
      <c r="T4926" t="s">
        <v>22572</v>
      </c>
      <c r="U4926" t="s">
        <v>22573</v>
      </c>
      <c r="V4926" t="s">
        <v>22571</v>
      </c>
      <c r="W4926" t="s">
        <v>21828</v>
      </c>
      <c r="X4926" t="s">
        <v>22574</v>
      </c>
      <c r="Y4926">
        <v>0</v>
      </c>
      <c r="Z4926">
        <v>46.958333333333343</v>
      </c>
    </row>
    <row r="4927" spans="1:26">
      <c r="A4927" s="1">
        <v>4925</v>
      </c>
      <c r="B4927" t="str">
        <f>HYPERLINK("https://bugs.eclipse.org/bugs/show_bug.cgi?id=559685", "559685")</f>
        <v>559685</v>
      </c>
      <c r="C4927" t="s">
        <v>149</v>
      </c>
      <c r="D4927" t="s">
        <v>10</v>
      </c>
      <c r="E4927" t="s">
        <v>12</v>
      </c>
      <c r="F4927" t="s">
        <v>26</v>
      </c>
      <c r="L4927" t="s">
        <v>22575</v>
      </c>
      <c r="N4927" t="s">
        <v>22575</v>
      </c>
      <c r="T4927" t="s">
        <v>22576</v>
      </c>
      <c r="U4927" t="s">
        <v>22577</v>
      </c>
      <c r="V4927" t="s">
        <v>22578</v>
      </c>
      <c r="W4927" t="s">
        <v>22579</v>
      </c>
      <c r="X4927" t="s">
        <v>22580</v>
      </c>
      <c r="Y4927">
        <v>0</v>
      </c>
      <c r="Z4927">
        <v>272.95833333333331</v>
      </c>
    </row>
    <row r="4928" spans="1:26">
      <c r="A4928" s="1">
        <v>4926</v>
      </c>
      <c r="B4928" t="str">
        <f>HYPERLINK("https://bugs.eclipse.org/bugs/show_bug.cgi?id=559700", "559700")</f>
        <v>559700</v>
      </c>
      <c r="C4928" t="s">
        <v>149</v>
      </c>
      <c r="D4928" t="s">
        <v>10</v>
      </c>
      <c r="E4928" t="s">
        <v>12</v>
      </c>
      <c r="F4928" t="s">
        <v>26</v>
      </c>
      <c r="G4928" t="s">
        <v>22581</v>
      </c>
      <c r="H4928" t="s">
        <v>22504</v>
      </c>
      <c r="L4928" t="s">
        <v>22582</v>
      </c>
      <c r="N4928" t="s">
        <v>22582</v>
      </c>
      <c r="T4928" t="s">
        <v>22583</v>
      </c>
      <c r="U4928" t="s">
        <v>22584</v>
      </c>
      <c r="V4928" t="s">
        <v>22582</v>
      </c>
      <c r="W4928" t="s">
        <v>11693</v>
      </c>
      <c r="X4928" t="s">
        <v>22585</v>
      </c>
      <c r="Y4928">
        <v>0</v>
      </c>
      <c r="Z4928">
        <v>42.958333333333343</v>
      </c>
    </row>
    <row r="4929" spans="1:26">
      <c r="A4929" s="1">
        <v>4927</v>
      </c>
      <c r="B4929" t="str">
        <f>HYPERLINK("https://bugs.eclipse.org/bugs/show_bug.cgi?id=559777", "559777")</f>
        <v>559777</v>
      </c>
      <c r="C4929" t="s">
        <v>35</v>
      </c>
      <c r="D4929" t="s">
        <v>11</v>
      </c>
      <c r="E4929" t="s">
        <v>12</v>
      </c>
      <c r="F4929" t="s">
        <v>26</v>
      </c>
      <c r="L4929" t="s">
        <v>22586</v>
      </c>
      <c r="M4929" t="s">
        <v>22587</v>
      </c>
      <c r="N4929" t="s">
        <v>22586</v>
      </c>
      <c r="T4929" t="s">
        <v>22588</v>
      </c>
      <c r="U4929" t="s">
        <v>22589</v>
      </c>
      <c r="V4929" t="s">
        <v>22590</v>
      </c>
      <c r="W4929" t="s">
        <v>19597</v>
      </c>
      <c r="X4929" t="s">
        <v>22591</v>
      </c>
      <c r="Y4929">
        <v>0</v>
      </c>
      <c r="Z4929">
        <v>63.958333333333343</v>
      </c>
    </row>
    <row r="4930" spans="1:26">
      <c r="A4930" s="1">
        <v>4928</v>
      </c>
      <c r="B4930" t="str">
        <f>HYPERLINK("https://bugs.eclipse.org/bugs/show_bug.cgi?id=559815", "559815")</f>
        <v>559815</v>
      </c>
      <c r="C4930" t="s">
        <v>149</v>
      </c>
      <c r="D4930" t="s">
        <v>10</v>
      </c>
      <c r="E4930" t="s">
        <v>12</v>
      </c>
      <c r="F4930" t="s">
        <v>26</v>
      </c>
      <c r="L4930" t="s">
        <v>22592</v>
      </c>
      <c r="N4930" t="s">
        <v>22592</v>
      </c>
      <c r="T4930" t="s">
        <v>22593</v>
      </c>
      <c r="U4930" t="s">
        <v>22594</v>
      </c>
      <c r="V4930" t="s">
        <v>22592</v>
      </c>
      <c r="W4930" t="s">
        <v>4846</v>
      </c>
      <c r="X4930" t="s">
        <v>22595</v>
      </c>
      <c r="Y4930">
        <v>0</v>
      </c>
      <c r="Z4930">
        <v>13</v>
      </c>
    </row>
    <row r="4931" spans="1:26">
      <c r="A4931" s="1">
        <v>4929</v>
      </c>
      <c r="B4931" t="str">
        <f>HYPERLINK("https://bugs.eclipse.org/bugs/show_bug.cgi?id=559848", "559848")</f>
        <v>559848</v>
      </c>
      <c r="C4931" t="s">
        <v>22596</v>
      </c>
      <c r="D4931" t="s">
        <v>192</v>
      </c>
      <c r="E4931" t="s">
        <v>15</v>
      </c>
      <c r="F4931" t="s">
        <v>26</v>
      </c>
      <c r="Q4931" t="s">
        <v>22597</v>
      </c>
      <c r="T4931" t="s">
        <v>22598</v>
      </c>
      <c r="U4931" t="s">
        <v>22597</v>
      </c>
      <c r="V4931" t="s">
        <v>22597</v>
      </c>
      <c r="W4931" t="s">
        <v>16518</v>
      </c>
      <c r="X4931" t="s">
        <v>22599</v>
      </c>
      <c r="Y4931">
        <v>0</v>
      </c>
      <c r="Z4931">
        <v>0</v>
      </c>
    </row>
    <row r="4932" spans="1:26">
      <c r="A4932" s="1">
        <v>4930</v>
      </c>
      <c r="B4932" t="str">
        <f>HYPERLINK("https://bugs.eclipse.org/bugs/show_bug.cgi?id=560113", "560113")</f>
        <v>560113</v>
      </c>
      <c r="C4932" t="s">
        <v>35</v>
      </c>
      <c r="D4932" t="s">
        <v>11</v>
      </c>
      <c r="E4932" t="s">
        <v>12</v>
      </c>
      <c r="F4932" t="s">
        <v>26</v>
      </c>
      <c r="G4932" t="s">
        <v>22600</v>
      </c>
      <c r="H4932" t="s">
        <v>22601</v>
      </c>
      <c r="L4932" t="s">
        <v>22602</v>
      </c>
      <c r="M4932" t="s">
        <v>22603</v>
      </c>
      <c r="N4932" t="s">
        <v>22602</v>
      </c>
      <c r="T4932" t="s">
        <v>22604</v>
      </c>
      <c r="U4932" t="s">
        <v>22605</v>
      </c>
      <c r="V4932" t="s">
        <v>22603</v>
      </c>
      <c r="W4932" t="s">
        <v>4846</v>
      </c>
      <c r="X4932" t="s">
        <v>22606</v>
      </c>
      <c r="Y4932">
        <v>0</v>
      </c>
      <c r="Z4932">
        <v>12</v>
      </c>
    </row>
    <row r="4933" spans="1:26">
      <c r="A4933" s="1">
        <v>4931</v>
      </c>
      <c r="B4933" t="str">
        <f>HYPERLINK("https://bugs.eclipse.org/bugs/show_bug.cgi?id=560194", "560194")</f>
        <v>560194</v>
      </c>
      <c r="C4933" t="s">
        <v>191</v>
      </c>
      <c r="D4933" t="s">
        <v>192</v>
      </c>
      <c r="E4933" t="s">
        <v>14</v>
      </c>
      <c r="F4933" t="s">
        <v>26</v>
      </c>
      <c r="P4933" t="s">
        <v>22607</v>
      </c>
      <c r="T4933" t="s">
        <v>22608</v>
      </c>
      <c r="U4933" t="s">
        <v>20819</v>
      </c>
      <c r="V4933" t="s">
        <v>22607</v>
      </c>
      <c r="W4933" t="s">
        <v>6360</v>
      </c>
      <c r="X4933" t="s">
        <v>22609</v>
      </c>
      <c r="Y4933">
        <v>0</v>
      </c>
      <c r="Z4933">
        <v>108.9583333333333</v>
      </c>
    </row>
    <row r="4934" spans="1:26">
      <c r="A4934" s="1">
        <v>4932</v>
      </c>
      <c r="B4934" t="str">
        <f>HYPERLINK("https://bugs.eclipse.org/bugs/show_bug.cgi?id=560238", "560238")</f>
        <v>560238</v>
      </c>
      <c r="C4934" t="s">
        <v>22610</v>
      </c>
      <c r="D4934" t="s">
        <v>192</v>
      </c>
      <c r="E4934" t="s">
        <v>15</v>
      </c>
      <c r="F4934" t="s">
        <v>26</v>
      </c>
      <c r="Q4934" t="s">
        <v>22611</v>
      </c>
      <c r="T4934" t="s">
        <v>22612</v>
      </c>
      <c r="U4934" t="s">
        <v>22613</v>
      </c>
      <c r="V4934" t="s">
        <v>22611</v>
      </c>
      <c r="W4934" t="s">
        <v>14690</v>
      </c>
      <c r="X4934" t="s">
        <v>22614</v>
      </c>
      <c r="Y4934">
        <v>0</v>
      </c>
      <c r="Z4934">
        <v>0</v>
      </c>
    </row>
    <row r="4935" spans="1:26">
      <c r="A4935" s="1">
        <v>4933</v>
      </c>
      <c r="B4935" t="str">
        <f>HYPERLINK("https://bugs.eclipse.org/bugs/show_bug.cgi?id=560431", "560431")</f>
        <v>560431</v>
      </c>
      <c r="C4935" t="s">
        <v>35</v>
      </c>
      <c r="D4935" t="s">
        <v>11</v>
      </c>
      <c r="E4935" t="s">
        <v>12</v>
      </c>
      <c r="F4935" t="s">
        <v>26</v>
      </c>
      <c r="L4935" t="s">
        <v>22615</v>
      </c>
      <c r="M4935" t="s">
        <v>22616</v>
      </c>
      <c r="N4935" t="s">
        <v>22615</v>
      </c>
      <c r="T4935" t="s">
        <v>22617</v>
      </c>
      <c r="U4935" t="s">
        <v>22618</v>
      </c>
      <c r="V4935" t="s">
        <v>22619</v>
      </c>
      <c r="W4935" t="s">
        <v>4846</v>
      </c>
      <c r="X4935" t="s">
        <v>22620</v>
      </c>
      <c r="Y4935">
        <v>3</v>
      </c>
      <c r="Z4935">
        <v>92.958333333333329</v>
      </c>
    </row>
    <row r="4936" spans="1:26">
      <c r="A4936" s="1">
        <v>4934</v>
      </c>
      <c r="B4936" t="str">
        <f>HYPERLINK("https://bugs.eclipse.org/bugs/show_bug.cgi?id=560601", "560601")</f>
        <v>560601</v>
      </c>
      <c r="C4936" t="s">
        <v>140</v>
      </c>
      <c r="D4936" t="s">
        <v>10</v>
      </c>
      <c r="E4936" t="s">
        <v>16</v>
      </c>
      <c r="F4936" t="s">
        <v>26</v>
      </c>
      <c r="L4936" t="s">
        <v>22621</v>
      </c>
      <c r="R4936" t="s">
        <v>22621</v>
      </c>
      <c r="T4936" t="s">
        <v>22622</v>
      </c>
      <c r="U4936" t="s">
        <v>22621</v>
      </c>
      <c r="V4936" t="s">
        <v>22623</v>
      </c>
      <c r="W4936" t="s">
        <v>65</v>
      </c>
      <c r="X4936" t="s">
        <v>22624</v>
      </c>
      <c r="Y4936">
        <v>132.95833333333329</v>
      </c>
      <c r="Z4936">
        <v>133.95833333333329</v>
      </c>
    </row>
    <row r="4937" spans="1:26">
      <c r="A4937" s="1">
        <v>4935</v>
      </c>
      <c r="B4937" t="str">
        <f>HYPERLINK("https://bugs.eclipse.org/bugs/show_bug.cgi?id=560836", "560836")</f>
        <v>560836</v>
      </c>
      <c r="C4937" t="s">
        <v>22625</v>
      </c>
      <c r="D4937" t="s">
        <v>192</v>
      </c>
      <c r="E4937" t="s">
        <v>15</v>
      </c>
      <c r="F4937" t="s">
        <v>26</v>
      </c>
      <c r="Q4937" t="s">
        <v>22626</v>
      </c>
      <c r="T4937" t="s">
        <v>22627</v>
      </c>
      <c r="U4937" t="s">
        <v>22626</v>
      </c>
      <c r="V4937" t="s">
        <v>22626</v>
      </c>
      <c r="W4937" t="s">
        <v>4846</v>
      </c>
      <c r="X4937" t="s">
        <v>22628</v>
      </c>
      <c r="Y4937">
        <v>83.958333333333329</v>
      </c>
      <c r="Z4937">
        <v>83.958333333333329</v>
      </c>
    </row>
    <row r="4938" spans="1:26">
      <c r="A4938" s="1">
        <v>4936</v>
      </c>
      <c r="B4938" t="str">
        <f>HYPERLINK("https://bugs.eclipse.org/bugs/show_bug.cgi?id=561416", "561416")</f>
        <v>561416</v>
      </c>
      <c r="C4938" t="s">
        <v>35</v>
      </c>
      <c r="D4938" t="s">
        <v>11</v>
      </c>
      <c r="E4938" t="s">
        <v>12</v>
      </c>
      <c r="F4938" t="s">
        <v>26</v>
      </c>
      <c r="G4938" t="s">
        <v>22629</v>
      </c>
      <c r="L4938" t="s">
        <v>22630</v>
      </c>
      <c r="M4938" t="s">
        <v>22631</v>
      </c>
      <c r="N4938" t="s">
        <v>22630</v>
      </c>
      <c r="T4938" t="s">
        <v>22632</v>
      </c>
      <c r="U4938" t="s">
        <v>22633</v>
      </c>
      <c r="V4938" t="s">
        <v>22634</v>
      </c>
      <c r="W4938" t="s">
        <v>14690</v>
      </c>
      <c r="X4938" t="s">
        <v>22635</v>
      </c>
      <c r="Y4938">
        <v>0</v>
      </c>
      <c r="Z4938">
        <v>46</v>
      </c>
    </row>
    <row r="4939" spans="1:26">
      <c r="A4939" s="1">
        <v>4937</v>
      </c>
      <c r="B4939" t="str">
        <f>HYPERLINK("https://bugs.eclipse.org/bugs/show_bug.cgi?id=561607", "561607")</f>
        <v>561607</v>
      </c>
      <c r="C4939" t="s">
        <v>4692</v>
      </c>
      <c r="D4939" t="s">
        <v>4692</v>
      </c>
      <c r="F4939" t="s">
        <v>26</v>
      </c>
      <c r="T4939" t="s">
        <v>22636</v>
      </c>
      <c r="U4939" t="s">
        <v>22637</v>
      </c>
      <c r="V4939" t="s">
        <v>22638</v>
      </c>
      <c r="W4939" t="s">
        <v>16518</v>
      </c>
      <c r="X4939" t="s">
        <v>22639</v>
      </c>
      <c r="Y4939">
        <v>0</v>
      </c>
    </row>
    <row r="4940" spans="1:26">
      <c r="A4940" s="1">
        <v>4938</v>
      </c>
      <c r="B4940" t="str">
        <f>HYPERLINK("https://bugs.eclipse.org/bugs/show_bug.cgi?id=561769", "561769")</f>
        <v>561769</v>
      </c>
      <c r="C4940" t="s">
        <v>35</v>
      </c>
      <c r="D4940" t="s">
        <v>11</v>
      </c>
      <c r="E4940" t="s">
        <v>12</v>
      </c>
      <c r="F4940" t="s">
        <v>26</v>
      </c>
      <c r="H4940" t="s">
        <v>22640</v>
      </c>
      <c r="L4940" t="s">
        <v>22641</v>
      </c>
      <c r="M4940" t="s">
        <v>22642</v>
      </c>
      <c r="N4940" t="s">
        <v>22641</v>
      </c>
      <c r="T4940" t="s">
        <v>22643</v>
      </c>
      <c r="U4940" t="s">
        <v>22644</v>
      </c>
      <c r="V4940" t="s">
        <v>22645</v>
      </c>
      <c r="W4940" t="s">
        <v>4846</v>
      </c>
      <c r="X4940" t="s">
        <v>22646</v>
      </c>
      <c r="Y4940">
        <v>0</v>
      </c>
      <c r="Z4940">
        <v>154</v>
      </c>
    </row>
    <row r="4941" spans="1:26">
      <c r="A4941" s="1">
        <v>4939</v>
      </c>
      <c r="B4941" t="str">
        <f>HYPERLINK("https://bugs.eclipse.org/bugs/show_bug.cgi?id=562077", "562077")</f>
        <v>562077</v>
      </c>
      <c r="C4941" t="s">
        <v>35</v>
      </c>
      <c r="D4941" t="s">
        <v>11</v>
      </c>
      <c r="E4941" t="s">
        <v>12</v>
      </c>
      <c r="F4941" t="s">
        <v>26</v>
      </c>
      <c r="H4941" t="s">
        <v>22647</v>
      </c>
      <c r="L4941" t="s">
        <v>22648</v>
      </c>
      <c r="M4941" t="s">
        <v>22649</v>
      </c>
      <c r="N4941" t="s">
        <v>22648</v>
      </c>
      <c r="T4941" t="s">
        <v>22650</v>
      </c>
      <c r="U4941" t="s">
        <v>22651</v>
      </c>
      <c r="V4941" t="s">
        <v>22649</v>
      </c>
      <c r="W4941" t="s">
        <v>9266</v>
      </c>
      <c r="X4941" t="s">
        <v>22652</v>
      </c>
      <c r="Y4941">
        <v>0</v>
      </c>
      <c r="Z4941">
        <v>129</v>
      </c>
    </row>
    <row r="4942" spans="1:26">
      <c r="A4942" s="1">
        <v>4940</v>
      </c>
      <c r="B4942" t="str">
        <f>HYPERLINK("https://bugs.eclipse.org/bugs/show_bug.cgi?id=562100", "562100")</f>
        <v>562100</v>
      </c>
      <c r="C4942" t="s">
        <v>35</v>
      </c>
      <c r="D4942" t="s">
        <v>11</v>
      </c>
      <c r="E4942" t="s">
        <v>12</v>
      </c>
      <c r="F4942" t="s">
        <v>26</v>
      </c>
      <c r="L4942" t="s">
        <v>22653</v>
      </c>
      <c r="M4942" t="s">
        <v>22654</v>
      </c>
      <c r="N4942" t="s">
        <v>22653</v>
      </c>
      <c r="T4942" t="s">
        <v>22655</v>
      </c>
      <c r="U4942" t="s">
        <v>22656</v>
      </c>
      <c r="V4942" t="s">
        <v>22654</v>
      </c>
      <c r="W4942" t="s">
        <v>19597</v>
      </c>
      <c r="X4942" t="s">
        <v>22657</v>
      </c>
      <c r="Y4942">
        <v>0</v>
      </c>
      <c r="Z4942">
        <v>221.04166666666671</v>
      </c>
    </row>
    <row r="4943" spans="1:26">
      <c r="A4943" s="1">
        <v>4941</v>
      </c>
      <c r="B4943" t="str">
        <f>HYPERLINK("https://bugs.eclipse.org/bugs/show_bug.cgi?id=562202", "562202")</f>
        <v>562202</v>
      </c>
      <c r="C4943" t="s">
        <v>35</v>
      </c>
      <c r="D4943" t="s">
        <v>11</v>
      </c>
      <c r="E4943" t="s">
        <v>12</v>
      </c>
      <c r="F4943" t="s">
        <v>26</v>
      </c>
      <c r="L4943" t="s">
        <v>22658</v>
      </c>
      <c r="M4943" t="s">
        <v>22659</v>
      </c>
      <c r="N4943" t="s">
        <v>22658</v>
      </c>
      <c r="T4943" t="s">
        <v>22660</v>
      </c>
      <c r="U4943" t="s">
        <v>22661</v>
      </c>
      <c r="V4943" t="s">
        <v>22659</v>
      </c>
      <c r="W4943" t="s">
        <v>11693</v>
      </c>
      <c r="X4943" t="s">
        <v>22662</v>
      </c>
      <c r="Y4943">
        <v>0</v>
      </c>
      <c r="Z4943">
        <v>12</v>
      </c>
    </row>
    <row r="4944" spans="1:26">
      <c r="A4944" s="1">
        <v>4942</v>
      </c>
      <c r="B4944" t="str">
        <f>HYPERLINK("https://bugs.eclipse.org/bugs/show_bug.cgi?id=562290", "562290")</f>
        <v>562290</v>
      </c>
      <c r="C4944" t="s">
        <v>4692</v>
      </c>
      <c r="D4944" t="s">
        <v>4692</v>
      </c>
      <c r="F4944" t="s">
        <v>26</v>
      </c>
      <c r="T4944" t="s">
        <v>22663</v>
      </c>
      <c r="U4944" t="s">
        <v>22664</v>
      </c>
      <c r="V4944" t="s">
        <v>22664</v>
      </c>
      <c r="W4944" t="s">
        <v>143</v>
      </c>
      <c r="X4944" t="s">
        <v>22665</v>
      </c>
      <c r="Y4944">
        <v>0</v>
      </c>
    </row>
    <row r="4945" spans="1:26">
      <c r="A4945" s="1">
        <v>4943</v>
      </c>
      <c r="B4945" t="str">
        <f>HYPERLINK("https://bugs.eclipse.org/bugs/show_bug.cgi?id=562561", "562561")</f>
        <v>562561</v>
      </c>
      <c r="C4945" t="s">
        <v>22666</v>
      </c>
      <c r="D4945" t="s">
        <v>192</v>
      </c>
      <c r="E4945" t="s">
        <v>15</v>
      </c>
      <c r="F4945" t="s">
        <v>26</v>
      </c>
      <c r="Q4945" t="s">
        <v>22667</v>
      </c>
      <c r="T4945" t="s">
        <v>22668</v>
      </c>
      <c r="U4945" t="s">
        <v>22669</v>
      </c>
      <c r="V4945" t="s">
        <v>22667</v>
      </c>
      <c r="W4945" t="s">
        <v>16518</v>
      </c>
      <c r="X4945" t="s">
        <v>22670</v>
      </c>
      <c r="Y4945">
        <v>0</v>
      </c>
      <c r="Z4945">
        <v>0</v>
      </c>
    </row>
    <row r="4946" spans="1:26">
      <c r="A4946" s="1">
        <v>4944</v>
      </c>
      <c r="B4946" t="str">
        <f>HYPERLINK("https://bugs.eclipse.org/bugs/show_bug.cgi?id=562564", "562564")</f>
        <v>562564</v>
      </c>
      <c r="C4946" t="s">
        <v>35</v>
      </c>
      <c r="D4946" t="s">
        <v>11</v>
      </c>
      <c r="E4946" t="s">
        <v>12</v>
      </c>
      <c r="F4946" t="s">
        <v>26</v>
      </c>
      <c r="L4946" t="s">
        <v>22671</v>
      </c>
      <c r="M4946" t="s">
        <v>22672</v>
      </c>
      <c r="N4946" t="s">
        <v>22671</v>
      </c>
      <c r="T4946" t="s">
        <v>22673</v>
      </c>
      <c r="U4946" t="s">
        <v>22674</v>
      </c>
      <c r="V4946" t="s">
        <v>22672</v>
      </c>
      <c r="W4946" t="s">
        <v>19597</v>
      </c>
      <c r="X4946" t="s">
        <v>22675</v>
      </c>
      <c r="Y4946">
        <v>0</v>
      </c>
      <c r="Z4946">
        <v>207.04166666666671</v>
      </c>
    </row>
    <row r="4947" spans="1:26">
      <c r="A4947" s="1">
        <v>4945</v>
      </c>
      <c r="B4947" t="str">
        <f>HYPERLINK("https://bugs.eclipse.org/bugs/show_bug.cgi?id=562592", "562592")</f>
        <v>562592</v>
      </c>
      <c r="C4947" t="s">
        <v>35</v>
      </c>
      <c r="D4947" t="s">
        <v>11</v>
      </c>
      <c r="E4947" t="s">
        <v>12</v>
      </c>
      <c r="F4947" t="s">
        <v>26</v>
      </c>
      <c r="H4947" t="s">
        <v>22676</v>
      </c>
      <c r="L4947" t="s">
        <v>22677</v>
      </c>
      <c r="M4947" t="s">
        <v>22678</v>
      </c>
      <c r="N4947" t="s">
        <v>22677</v>
      </c>
      <c r="T4947" t="s">
        <v>22679</v>
      </c>
      <c r="U4947" t="s">
        <v>22680</v>
      </c>
      <c r="V4947" t="s">
        <v>22681</v>
      </c>
      <c r="W4947" t="s">
        <v>4846</v>
      </c>
      <c r="X4947" t="s">
        <v>22682</v>
      </c>
      <c r="Y4947">
        <v>0</v>
      </c>
      <c r="Z4947">
        <v>98</v>
      </c>
    </row>
    <row r="4948" spans="1:26">
      <c r="A4948" s="1">
        <v>4946</v>
      </c>
      <c r="B4948" t="str">
        <f>HYPERLINK("https://bugs.eclipse.org/bugs/show_bug.cgi?id=562641", "562641")</f>
        <v>562641</v>
      </c>
      <c r="C4948" t="s">
        <v>22683</v>
      </c>
      <c r="D4948" t="s">
        <v>192</v>
      </c>
      <c r="E4948" t="s">
        <v>15</v>
      </c>
      <c r="F4948" t="s">
        <v>26</v>
      </c>
      <c r="Q4948" t="s">
        <v>22684</v>
      </c>
      <c r="T4948" t="s">
        <v>22685</v>
      </c>
      <c r="U4948" t="s">
        <v>22686</v>
      </c>
      <c r="V4948" t="s">
        <v>22684</v>
      </c>
      <c r="W4948" t="s">
        <v>9266</v>
      </c>
      <c r="X4948" t="s">
        <v>22687</v>
      </c>
      <c r="Y4948">
        <v>0</v>
      </c>
      <c r="Z4948">
        <v>41</v>
      </c>
    </row>
    <row r="4949" spans="1:26">
      <c r="A4949" s="1">
        <v>4947</v>
      </c>
      <c r="B4949" t="str">
        <f>HYPERLINK("https://bugs.eclipse.org/bugs/show_bug.cgi?id=562642", "562642")</f>
        <v>562642</v>
      </c>
      <c r="C4949" t="s">
        <v>35</v>
      </c>
      <c r="D4949" t="s">
        <v>11</v>
      </c>
      <c r="E4949" t="s">
        <v>12</v>
      </c>
      <c r="F4949" t="s">
        <v>26</v>
      </c>
      <c r="L4949" t="s">
        <v>22688</v>
      </c>
      <c r="M4949" t="s">
        <v>22689</v>
      </c>
      <c r="N4949" t="s">
        <v>22688</v>
      </c>
      <c r="T4949" t="s">
        <v>22690</v>
      </c>
      <c r="U4949" t="s">
        <v>22691</v>
      </c>
      <c r="V4949" t="s">
        <v>22689</v>
      </c>
      <c r="W4949" t="s">
        <v>11693</v>
      </c>
      <c r="X4949" t="s">
        <v>22692</v>
      </c>
      <c r="Y4949">
        <v>0</v>
      </c>
      <c r="Z4949">
        <v>19</v>
      </c>
    </row>
    <row r="4950" spans="1:26">
      <c r="A4950" s="1">
        <v>4948</v>
      </c>
      <c r="B4950" t="str">
        <f>HYPERLINK("https://bugs.eclipse.org/bugs/show_bug.cgi?id=562654", "562654")</f>
        <v>562654</v>
      </c>
      <c r="C4950" t="s">
        <v>25</v>
      </c>
      <c r="D4950" t="s">
        <v>25</v>
      </c>
      <c r="F4950" t="s">
        <v>26</v>
      </c>
      <c r="G4950" t="s">
        <v>22693</v>
      </c>
      <c r="T4950" t="s">
        <v>22694</v>
      </c>
      <c r="U4950" t="s">
        <v>22695</v>
      </c>
      <c r="V4950" t="s">
        <v>22696</v>
      </c>
      <c r="W4950" t="s">
        <v>4846</v>
      </c>
      <c r="X4950" t="s">
        <v>22697</v>
      </c>
      <c r="Y4950">
        <v>112</v>
      </c>
    </row>
    <row r="4951" spans="1:26">
      <c r="A4951" s="1">
        <v>4949</v>
      </c>
      <c r="B4951" t="str">
        <f>HYPERLINK("https://bugs.eclipse.org/bugs/show_bug.cgi?id=562662", "562662")</f>
        <v>562662</v>
      </c>
      <c r="C4951" t="s">
        <v>140</v>
      </c>
      <c r="D4951" t="s">
        <v>10</v>
      </c>
      <c r="E4951" t="s">
        <v>16</v>
      </c>
      <c r="F4951" t="s">
        <v>26</v>
      </c>
      <c r="L4951" t="s">
        <v>22698</v>
      </c>
      <c r="R4951" t="s">
        <v>22698</v>
      </c>
      <c r="T4951" t="s">
        <v>22699</v>
      </c>
      <c r="U4951" t="s">
        <v>22700</v>
      </c>
      <c r="V4951" t="s">
        <v>22698</v>
      </c>
      <c r="W4951" t="s">
        <v>18080</v>
      </c>
      <c r="X4951" t="s">
        <v>22701</v>
      </c>
      <c r="Y4951">
        <v>8</v>
      </c>
      <c r="Z4951">
        <v>14</v>
      </c>
    </row>
    <row r="4952" spans="1:26">
      <c r="A4952" s="1">
        <v>4950</v>
      </c>
      <c r="B4952" t="str">
        <f>HYPERLINK("https://bugs.eclipse.org/bugs/show_bug.cgi?id=562668", "562668")</f>
        <v>562668</v>
      </c>
      <c r="C4952" t="s">
        <v>4692</v>
      </c>
      <c r="D4952" t="s">
        <v>4692</v>
      </c>
      <c r="F4952" t="s">
        <v>26</v>
      </c>
      <c r="T4952" t="s">
        <v>22702</v>
      </c>
      <c r="U4952" t="s">
        <v>22703</v>
      </c>
      <c r="V4952" t="s">
        <v>22703</v>
      </c>
      <c r="W4952" t="s">
        <v>16518</v>
      </c>
      <c r="X4952" t="s">
        <v>22704</v>
      </c>
      <c r="Y4952">
        <v>0</v>
      </c>
    </row>
    <row r="4953" spans="1:26">
      <c r="A4953" s="1">
        <v>4951</v>
      </c>
      <c r="B4953" t="str">
        <f>HYPERLINK("https://bugs.eclipse.org/bugs/show_bug.cgi?id=563199", "563199")</f>
        <v>563199</v>
      </c>
      <c r="C4953" t="s">
        <v>35</v>
      </c>
      <c r="D4953" t="s">
        <v>11</v>
      </c>
      <c r="E4953" t="s">
        <v>12</v>
      </c>
      <c r="F4953" t="s">
        <v>26</v>
      </c>
      <c r="L4953" t="s">
        <v>22705</v>
      </c>
      <c r="M4953" t="s">
        <v>22706</v>
      </c>
      <c r="N4953" t="s">
        <v>22705</v>
      </c>
      <c r="T4953" t="s">
        <v>22707</v>
      </c>
      <c r="U4953" t="s">
        <v>22708</v>
      </c>
      <c r="V4953" t="s">
        <v>22709</v>
      </c>
      <c r="W4953" t="s">
        <v>4846</v>
      </c>
      <c r="X4953" t="s">
        <v>22710</v>
      </c>
      <c r="Y4953">
        <v>0</v>
      </c>
      <c r="Z4953">
        <v>161</v>
      </c>
    </row>
    <row r="4954" spans="1:26">
      <c r="A4954" s="1">
        <v>4952</v>
      </c>
      <c r="B4954" t="str">
        <f>HYPERLINK("https://bugs.eclipse.org/bugs/show_bug.cgi?id=563233", "563233")</f>
        <v>563233</v>
      </c>
      <c r="C4954" t="s">
        <v>35</v>
      </c>
      <c r="D4954" t="s">
        <v>11</v>
      </c>
      <c r="E4954" t="s">
        <v>12</v>
      </c>
      <c r="F4954" t="s">
        <v>26</v>
      </c>
      <c r="L4954" t="s">
        <v>22711</v>
      </c>
      <c r="M4954" t="s">
        <v>22712</v>
      </c>
      <c r="N4954" t="s">
        <v>22711</v>
      </c>
      <c r="T4954" t="s">
        <v>22713</v>
      </c>
      <c r="U4954" t="s">
        <v>22714</v>
      </c>
      <c r="V4954" t="s">
        <v>22712</v>
      </c>
      <c r="W4954" t="s">
        <v>19597</v>
      </c>
      <c r="X4954" t="s">
        <v>22715</v>
      </c>
      <c r="Y4954">
        <v>0</v>
      </c>
      <c r="Z4954">
        <v>190.04166666666671</v>
      </c>
    </row>
    <row r="4955" spans="1:26">
      <c r="A4955" s="1">
        <v>4953</v>
      </c>
      <c r="B4955" t="str">
        <f>HYPERLINK("https://bugs.eclipse.org/bugs/show_bug.cgi?id=563269", "563269")</f>
        <v>563269</v>
      </c>
      <c r="C4955" t="s">
        <v>191</v>
      </c>
      <c r="D4955" t="s">
        <v>192</v>
      </c>
      <c r="E4955" t="s">
        <v>14</v>
      </c>
      <c r="F4955" t="s">
        <v>26</v>
      </c>
      <c r="P4955" t="s">
        <v>22716</v>
      </c>
      <c r="T4955" t="s">
        <v>22717</v>
      </c>
      <c r="U4955" t="s">
        <v>22718</v>
      </c>
      <c r="V4955" t="s">
        <v>22716</v>
      </c>
      <c r="W4955" t="s">
        <v>11939</v>
      </c>
      <c r="X4955" t="s">
        <v>22719</v>
      </c>
      <c r="Y4955">
        <v>2</v>
      </c>
      <c r="Z4955">
        <v>25</v>
      </c>
    </row>
    <row r="4956" spans="1:26">
      <c r="A4956" s="1">
        <v>4954</v>
      </c>
      <c r="B4956" t="str">
        <f>HYPERLINK("https://bugs.eclipse.org/bugs/show_bug.cgi?id=563271", "563271")</f>
        <v>563271</v>
      </c>
      <c r="C4956" t="s">
        <v>4692</v>
      </c>
      <c r="D4956" t="s">
        <v>4692</v>
      </c>
      <c r="F4956" t="s">
        <v>26</v>
      </c>
    </row>
    <row r="4957" spans="1:26">
      <c r="A4957" s="1">
        <v>4955</v>
      </c>
      <c r="B4957" t="str">
        <f>HYPERLINK("https://bugs.eclipse.org/bugs/show_bug.cgi?id=563425", "563425")</f>
        <v>563425</v>
      </c>
      <c r="C4957" t="s">
        <v>149</v>
      </c>
      <c r="D4957" t="s">
        <v>10</v>
      </c>
      <c r="E4957" t="s">
        <v>12</v>
      </c>
      <c r="F4957" t="s">
        <v>26</v>
      </c>
      <c r="L4957" t="s">
        <v>22720</v>
      </c>
      <c r="N4957" t="s">
        <v>22720</v>
      </c>
      <c r="S4957" t="s">
        <v>22721</v>
      </c>
      <c r="T4957" t="s">
        <v>22722</v>
      </c>
      <c r="U4957" t="s">
        <v>22723</v>
      </c>
      <c r="V4957" t="s">
        <v>22720</v>
      </c>
      <c r="W4957" t="s">
        <v>19597</v>
      </c>
      <c r="X4957" t="s">
        <v>22724</v>
      </c>
      <c r="Y4957">
        <v>106</v>
      </c>
      <c r="Z4957">
        <v>236.04166666666671</v>
      </c>
    </row>
    <row r="4958" spans="1:26">
      <c r="A4958" s="1">
        <v>4956</v>
      </c>
      <c r="B4958" t="str">
        <f>HYPERLINK("https://bugs.eclipse.org/bugs/show_bug.cgi?id=563999", "563999")</f>
        <v>563999</v>
      </c>
      <c r="C4958" t="s">
        <v>149</v>
      </c>
      <c r="D4958" t="s">
        <v>10</v>
      </c>
      <c r="E4958" t="s">
        <v>12</v>
      </c>
      <c r="F4958" t="s">
        <v>26</v>
      </c>
      <c r="L4958" t="s">
        <v>22725</v>
      </c>
      <c r="N4958" t="s">
        <v>22725</v>
      </c>
      <c r="T4958" t="s">
        <v>22726</v>
      </c>
      <c r="U4958" t="s">
        <v>22727</v>
      </c>
      <c r="V4958" t="s">
        <v>22725</v>
      </c>
      <c r="W4958" t="s">
        <v>4846</v>
      </c>
      <c r="X4958" t="s">
        <v>22728</v>
      </c>
      <c r="Y4958">
        <v>0</v>
      </c>
      <c r="Z4958">
        <v>21</v>
      </c>
    </row>
    <row r="4959" spans="1:26">
      <c r="A4959" s="1">
        <v>4957</v>
      </c>
      <c r="B4959" t="str">
        <f>HYPERLINK("https://bugs.eclipse.org/bugs/show_bug.cgi?id=564329", "564329")</f>
        <v>564329</v>
      </c>
      <c r="C4959" t="s">
        <v>35</v>
      </c>
      <c r="D4959" t="s">
        <v>11</v>
      </c>
      <c r="E4959" t="s">
        <v>12</v>
      </c>
      <c r="F4959" t="s">
        <v>26</v>
      </c>
      <c r="G4959" t="s">
        <v>22729</v>
      </c>
      <c r="L4959" t="s">
        <v>22730</v>
      </c>
      <c r="M4959" t="s">
        <v>22731</v>
      </c>
      <c r="N4959" t="s">
        <v>22730</v>
      </c>
      <c r="T4959" t="s">
        <v>22732</v>
      </c>
      <c r="U4959" t="s">
        <v>22733</v>
      </c>
      <c r="V4959" t="s">
        <v>22734</v>
      </c>
      <c r="W4959" t="s">
        <v>11693</v>
      </c>
      <c r="X4959" t="s">
        <v>22735</v>
      </c>
      <c r="Y4959">
        <v>0</v>
      </c>
      <c r="Z4959">
        <v>42</v>
      </c>
    </row>
    <row r="4960" spans="1:26">
      <c r="A4960" s="1">
        <v>4958</v>
      </c>
      <c r="B4960" t="str">
        <f>HYPERLINK("https://bugs.eclipse.org/bugs/show_bug.cgi?id=564554", "564554")</f>
        <v>564554</v>
      </c>
      <c r="C4960" t="s">
        <v>140</v>
      </c>
      <c r="D4960" t="s">
        <v>10</v>
      </c>
      <c r="E4960" t="s">
        <v>16</v>
      </c>
      <c r="F4960" t="s">
        <v>26</v>
      </c>
      <c r="L4960" t="s">
        <v>22736</v>
      </c>
      <c r="R4960" t="s">
        <v>22736</v>
      </c>
      <c r="T4960" t="s">
        <v>22737</v>
      </c>
      <c r="U4960" t="s">
        <v>22738</v>
      </c>
      <c r="V4960" t="s">
        <v>22736</v>
      </c>
      <c r="W4960" t="s">
        <v>4846</v>
      </c>
      <c r="X4960" t="s">
        <v>22739</v>
      </c>
      <c r="Y4960">
        <v>0</v>
      </c>
      <c r="Z4960">
        <v>4</v>
      </c>
    </row>
    <row r="4961" spans="1:26">
      <c r="A4961" s="1">
        <v>4959</v>
      </c>
      <c r="B4961" t="str">
        <f>HYPERLINK("https://bugs.eclipse.org/bugs/show_bug.cgi?id=564628", "564628")</f>
        <v>564628</v>
      </c>
      <c r="C4961" t="s">
        <v>35</v>
      </c>
      <c r="D4961" t="s">
        <v>11</v>
      </c>
      <c r="E4961" t="s">
        <v>12</v>
      </c>
      <c r="F4961" t="s">
        <v>26</v>
      </c>
      <c r="G4961" t="s">
        <v>22740</v>
      </c>
      <c r="L4961" t="s">
        <v>22741</v>
      </c>
      <c r="M4961" t="s">
        <v>22742</v>
      </c>
      <c r="N4961" t="s">
        <v>22741</v>
      </c>
      <c r="T4961" t="s">
        <v>22743</v>
      </c>
      <c r="U4961" t="s">
        <v>22744</v>
      </c>
      <c r="V4961" t="s">
        <v>22742</v>
      </c>
      <c r="W4961" t="s">
        <v>19597</v>
      </c>
      <c r="X4961" t="s">
        <v>22745</v>
      </c>
      <c r="Y4961">
        <v>0</v>
      </c>
      <c r="Z4961">
        <v>150.04166666666671</v>
      </c>
    </row>
    <row r="4962" spans="1:26">
      <c r="A4962" s="1">
        <v>4960</v>
      </c>
      <c r="B4962" t="str">
        <f>HYPERLINK("https://bugs.eclipse.org/bugs/show_bug.cgi?id=564677", "564677")</f>
        <v>564677</v>
      </c>
      <c r="C4962" t="s">
        <v>4692</v>
      </c>
      <c r="D4962" t="s">
        <v>4692</v>
      </c>
      <c r="F4962" t="s">
        <v>26</v>
      </c>
    </row>
    <row r="4963" spans="1:26">
      <c r="A4963" s="1">
        <v>4961</v>
      </c>
      <c r="B4963" t="str">
        <f>HYPERLINK("https://bugs.eclipse.org/bugs/show_bug.cgi?id=564684", "564684")</f>
        <v>564684</v>
      </c>
      <c r="C4963" t="s">
        <v>35</v>
      </c>
      <c r="D4963" t="s">
        <v>11</v>
      </c>
      <c r="E4963" t="s">
        <v>12</v>
      </c>
      <c r="F4963" t="s">
        <v>26</v>
      </c>
      <c r="G4963" t="s">
        <v>22746</v>
      </c>
      <c r="L4963" t="s">
        <v>22747</v>
      </c>
      <c r="M4963" t="s">
        <v>22748</v>
      </c>
      <c r="N4963" t="s">
        <v>22747</v>
      </c>
      <c r="T4963" t="s">
        <v>22749</v>
      </c>
      <c r="U4963" t="s">
        <v>22750</v>
      </c>
      <c r="V4963" t="s">
        <v>22748</v>
      </c>
      <c r="W4963" t="s">
        <v>11693</v>
      </c>
      <c r="X4963" t="s">
        <v>22751</v>
      </c>
      <c r="Y4963">
        <v>3</v>
      </c>
      <c r="Z4963">
        <v>11</v>
      </c>
    </row>
    <row r="4964" spans="1:26">
      <c r="A4964" s="1">
        <v>4962</v>
      </c>
      <c r="B4964" t="str">
        <f>HYPERLINK("https://bugs.eclipse.org/bugs/show_bug.cgi?id=564696", "564696")</f>
        <v>564696</v>
      </c>
      <c r="C4964" t="s">
        <v>22752</v>
      </c>
      <c r="D4964" t="s">
        <v>192</v>
      </c>
      <c r="E4964" t="s">
        <v>15</v>
      </c>
      <c r="F4964" t="s">
        <v>26</v>
      </c>
      <c r="Q4964" t="s">
        <v>22753</v>
      </c>
      <c r="T4964" t="s">
        <v>22754</v>
      </c>
      <c r="U4964" t="s">
        <v>22755</v>
      </c>
      <c r="V4964" t="s">
        <v>22756</v>
      </c>
      <c r="W4964" t="s">
        <v>4846</v>
      </c>
      <c r="X4964" t="s">
        <v>22757</v>
      </c>
      <c r="Y4964">
        <v>2</v>
      </c>
      <c r="Z4964">
        <v>3</v>
      </c>
    </row>
    <row r="4965" spans="1:26">
      <c r="A4965" s="1">
        <v>4963</v>
      </c>
      <c r="B4965" t="str">
        <f>HYPERLINK("https://bugs.eclipse.org/bugs/show_bug.cgi?id=564728", "564728")</f>
        <v>564728</v>
      </c>
      <c r="C4965" t="s">
        <v>35</v>
      </c>
      <c r="D4965" t="s">
        <v>11</v>
      </c>
      <c r="E4965" t="s">
        <v>12</v>
      </c>
      <c r="F4965" t="s">
        <v>26</v>
      </c>
      <c r="L4965" t="s">
        <v>22758</v>
      </c>
      <c r="M4965" t="s">
        <v>22759</v>
      </c>
      <c r="N4965" t="s">
        <v>22758</v>
      </c>
      <c r="T4965" t="s">
        <v>22760</v>
      </c>
      <c r="U4965" t="s">
        <v>22761</v>
      </c>
      <c r="V4965" t="s">
        <v>22759</v>
      </c>
      <c r="W4965" t="s">
        <v>11693</v>
      </c>
      <c r="X4965" t="s">
        <v>22762</v>
      </c>
      <c r="Y4965">
        <v>0</v>
      </c>
      <c r="Z4965">
        <v>8</v>
      </c>
    </row>
    <row r="4966" spans="1:26">
      <c r="A4966" s="1">
        <v>4964</v>
      </c>
      <c r="B4966" t="str">
        <f>HYPERLINK("https://bugs.eclipse.org/bugs/show_bug.cgi?id=564867", "564867")</f>
        <v>564867</v>
      </c>
      <c r="C4966" t="s">
        <v>22763</v>
      </c>
      <c r="D4966" t="s">
        <v>192</v>
      </c>
      <c r="E4966" t="s">
        <v>15</v>
      </c>
      <c r="F4966" t="s">
        <v>26</v>
      </c>
      <c r="Q4966" t="s">
        <v>22764</v>
      </c>
      <c r="T4966" t="s">
        <v>22765</v>
      </c>
      <c r="U4966" t="s">
        <v>22766</v>
      </c>
      <c r="V4966" t="s">
        <v>22764</v>
      </c>
      <c r="W4966" t="s">
        <v>11693</v>
      </c>
      <c r="X4966" t="s">
        <v>22767</v>
      </c>
      <c r="Y4966">
        <v>0</v>
      </c>
      <c r="Z4966">
        <v>0</v>
      </c>
    </row>
    <row r="4967" spans="1:26">
      <c r="A4967" s="1">
        <v>4965</v>
      </c>
      <c r="B4967" t="str">
        <f>HYPERLINK("https://bugs.eclipse.org/bugs/show_bug.cgi?id=565071", "565071")</f>
        <v>565071</v>
      </c>
      <c r="C4967" t="s">
        <v>25</v>
      </c>
      <c r="D4967" t="s">
        <v>25</v>
      </c>
      <c r="F4967" t="s">
        <v>26</v>
      </c>
      <c r="T4967" t="s">
        <v>22768</v>
      </c>
      <c r="U4967" t="s">
        <v>22769</v>
      </c>
      <c r="V4967" t="s">
        <v>22770</v>
      </c>
      <c r="W4967" t="s">
        <v>4846</v>
      </c>
      <c r="X4967" t="s">
        <v>22771</v>
      </c>
      <c r="Y4967">
        <v>50</v>
      </c>
    </row>
    <row r="4968" spans="1:26">
      <c r="A4968" s="1">
        <v>4966</v>
      </c>
      <c r="B4968" t="str">
        <f>HYPERLINK("https://bugs.eclipse.org/bugs/show_bug.cgi?id=565102", "565102")</f>
        <v>565102</v>
      </c>
      <c r="C4968" t="s">
        <v>149</v>
      </c>
      <c r="D4968" t="s">
        <v>10</v>
      </c>
      <c r="E4968" t="s">
        <v>12</v>
      </c>
      <c r="F4968" t="s">
        <v>26</v>
      </c>
      <c r="L4968" t="s">
        <v>22772</v>
      </c>
      <c r="N4968" t="s">
        <v>22772</v>
      </c>
      <c r="T4968" t="s">
        <v>22773</v>
      </c>
      <c r="U4968" t="s">
        <v>22774</v>
      </c>
      <c r="V4968" t="s">
        <v>22775</v>
      </c>
      <c r="W4968" t="s">
        <v>12301</v>
      </c>
      <c r="X4968" t="s">
        <v>22776</v>
      </c>
      <c r="Y4968">
        <v>0</v>
      </c>
      <c r="Z4968">
        <v>68</v>
      </c>
    </row>
    <row r="4969" spans="1:26">
      <c r="A4969" s="1">
        <v>4967</v>
      </c>
      <c r="B4969" t="str">
        <f>HYPERLINK("https://bugs.eclipse.org/bugs/show_bug.cgi?id=565351", "565351")</f>
        <v>565351</v>
      </c>
      <c r="C4969" t="s">
        <v>22777</v>
      </c>
      <c r="D4969" t="s">
        <v>192</v>
      </c>
      <c r="E4969" t="s">
        <v>15</v>
      </c>
      <c r="F4969" t="s">
        <v>26</v>
      </c>
      <c r="Q4969" t="s">
        <v>22778</v>
      </c>
      <c r="T4969" t="s">
        <v>22779</v>
      </c>
      <c r="U4969" t="s">
        <v>22778</v>
      </c>
      <c r="V4969" t="s">
        <v>22778</v>
      </c>
      <c r="W4969" t="s">
        <v>14690</v>
      </c>
      <c r="X4969" t="s">
        <v>22780</v>
      </c>
      <c r="Y4969">
        <v>0</v>
      </c>
      <c r="Z4969">
        <v>0</v>
      </c>
    </row>
    <row r="4970" spans="1:26">
      <c r="A4970" s="1">
        <v>4968</v>
      </c>
      <c r="B4970" t="str">
        <f>HYPERLINK("https://bugs.eclipse.org/bugs/show_bug.cgi?id=565458", "565458")</f>
        <v>565458</v>
      </c>
      <c r="C4970" t="s">
        <v>22752</v>
      </c>
      <c r="D4970" t="s">
        <v>192</v>
      </c>
      <c r="E4970" t="s">
        <v>15</v>
      </c>
      <c r="F4970" t="s">
        <v>26</v>
      </c>
      <c r="Q4970" t="s">
        <v>22734</v>
      </c>
      <c r="T4970" t="s">
        <v>22781</v>
      </c>
      <c r="U4970" t="s">
        <v>22734</v>
      </c>
      <c r="V4970" t="s">
        <v>22734</v>
      </c>
      <c r="W4970" t="s">
        <v>11693</v>
      </c>
      <c r="X4970" t="s">
        <v>22782</v>
      </c>
      <c r="Y4970">
        <v>5</v>
      </c>
      <c r="Z4970">
        <v>5</v>
      </c>
    </row>
    <row r="4971" spans="1:26">
      <c r="A4971" s="1">
        <v>4969</v>
      </c>
      <c r="B4971" t="str">
        <f>HYPERLINK("https://bugs.eclipse.org/bugs/show_bug.cgi?id=565647", "565647")</f>
        <v>565647</v>
      </c>
      <c r="C4971" t="s">
        <v>2160</v>
      </c>
      <c r="D4971" t="s">
        <v>192</v>
      </c>
      <c r="E4971" t="s">
        <v>16</v>
      </c>
      <c r="F4971" t="s">
        <v>26</v>
      </c>
      <c r="H4971" t="s">
        <v>22783</v>
      </c>
      <c r="R4971" t="s">
        <v>22784</v>
      </c>
      <c r="T4971" t="s">
        <v>22785</v>
      </c>
      <c r="U4971" t="s">
        <v>22786</v>
      </c>
      <c r="V4971" t="s">
        <v>22784</v>
      </c>
      <c r="W4971" t="s">
        <v>11693</v>
      </c>
      <c r="X4971" t="s">
        <v>22787</v>
      </c>
      <c r="Y4971">
        <v>0</v>
      </c>
      <c r="Z4971">
        <v>2</v>
      </c>
    </row>
    <row r="4972" spans="1:26">
      <c r="A4972" s="1">
        <v>4970</v>
      </c>
      <c r="B4972" t="str">
        <f>HYPERLINK("https://bugs.eclipse.org/bugs/show_bug.cgi?id=565912", "565912")</f>
        <v>565912</v>
      </c>
      <c r="C4972" t="s">
        <v>35</v>
      </c>
      <c r="D4972" t="s">
        <v>11</v>
      </c>
      <c r="E4972" t="s">
        <v>12</v>
      </c>
      <c r="F4972" t="s">
        <v>26</v>
      </c>
      <c r="G4972" t="s">
        <v>22788</v>
      </c>
      <c r="L4972" t="s">
        <v>22789</v>
      </c>
      <c r="M4972" t="s">
        <v>22790</v>
      </c>
      <c r="N4972" t="s">
        <v>22789</v>
      </c>
      <c r="T4972" t="s">
        <v>22791</v>
      </c>
      <c r="U4972" t="s">
        <v>22792</v>
      </c>
      <c r="V4972" t="s">
        <v>22790</v>
      </c>
      <c r="W4972" t="s">
        <v>19597</v>
      </c>
      <c r="X4972" t="s">
        <v>22793</v>
      </c>
      <c r="Y4972">
        <v>0</v>
      </c>
      <c r="Z4972">
        <v>105.0416666666667</v>
      </c>
    </row>
    <row r="4973" spans="1:26">
      <c r="A4973" s="1">
        <v>4971</v>
      </c>
      <c r="B4973" t="str">
        <f>HYPERLINK("https://bugs.eclipse.org/bugs/show_bug.cgi?id=566507", "566507")</f>
        <v>566507</v>
      </c>
      <c r="C4973" t="s">
        <v>35</v>
      </c>
      <c r="D4973" t="s">
        <v>11</v>
      </c>
      <c r="E4973" t="s">
        <v>12</v>
      </c>
      <c r="F4973" t="s">
        <v>26</v>
      </c>
      <c r="G4973" t="s">
        <v>22794</v>
      </c>
      <c r="L4973" t="s">
        <v>22795</v>
      </c>
      <c r="M4973" t="s">
        <v>22796</v>
      </c>
      <c r="N4973" t="s">
        <v>22795</v>
      </c>
      <c r="T4973" t="s">
        <v>22797</v>
      </c>
      <c r="U4973" t="s">
        <v>22798</v>
      </c>
      <c r="V4973" t="s">
        <v>22796</v>
      </c>
      <c r="W4973" t="s">
        <v>11693</v>
      </c>
      <c r="X4973" t="s">
        <v>22799</v>
      </c>
      <c r="Y4973">
        <v>0</v>
      </c>
      <c r="Z4973">
        <v>80.041666666666671</v>
      </c>
    </row>
    <row r="4974" spans="1:26">
      <c r="A4974" s="1">
        <v>4972</v>
      </c>
      <c r="B4974" t="str">
        <f>HYPERLINK("https://bugs.eclipse.org/bugs/show_bug.cgi?id=566584", "566584")</f>
        <v>566584</v>
      </c>
      <c r="C4974" t="s">
        <v>25</v>
      </c>
      <c r="D4974" t="s">
        <v>25</v>
      </c>
      <c r="F4974" t="s">
        <v>26</v>
      </c>
      <c r="T4974" t="s">
        <v>22800</v>
      </c>
      <c r="U4974" t="s">
        <v>22801</v>
      </c>
      <c r="V4974" t="s">
        <v>22802</v>
      </c>
      <c r="W4974" t="s">
        <v>4846</v>
      </c>
      <c r="X4974" t="s">
        <v>22803</v>
      </c>
      <c r="Y4974">
        <v>0</v>
      </c>
    </row>
    <row r="4975" spans="1:26">
      <c r="A4975" s="1">
        <v>4973</v>
      </c>
      <c r="B4975" t="str">
        <f>HYPERLINK("https://bugs.eclipse.org/bugs/show_bug.cgi?id=566615", "566615")</f>
        <v>566615</v>
      </c>
      <c r="C4975" t="s">
        <v>149</v>
      </c>
      <c r="D4975" t="s">
        <v>10</v>
      </c>
      <c r="E4975" t="s">
        <v>12</v>
      </c>
      <c r="F4975" t="s">
        <v>26</v>
      </c>
      <c r="L4975" t="s">
        <v>22804</v>
      </c>
      <c r="N4975" t="s">
        <v>22804</v>
      </c>
      <c r="T4975" t="s">
        <v>22805</v>
      </c>
      <c r="U4975" t="s">
        <v>22806</v>
      </c>
      <c r="V4975" t="s">
        <v>22804</v>
      </c>
      <c r="W4975" t="s">
        <v>11939</v>
      </c>
      <c r="X4975" t="s">
        <v>22807</v>
      </c>
      <c r="Y4975">
        <v>0</v>
      </c>
      <c r="Z4975">
        <v>18</v>
      </c>
    </row>
    <row r="4976" spans="1:26">
      <c r="A4976" s="1">
        <v>4974</v>
      </c>
      <c r="B4976" t="str">
        <f>HYPERLINK("https://bugs.eclipse.org/bugs/show_bug.cgi?id=566616", "566616")</f>
        <v>566616</v>
      </c>
      <c r="C4976" t="s">
        <v>4692</v>
      </c>
      <c r="D4976" t="s">
        <v>4692</v>
      </c>
      <c r="F4976" t="s">
        <v>26</v>
      </c>
      <c r="T4976" t="s">
        <v>22808</v>
      </c>
      <c r="U4976" t="s">
        <v>22809</v>
      </c>
      <c r="V4976" t="s">
        <v>22810</v>
      </c>
      <c r="W4976" t="s">
        <v>4846</v>
      </c>
      <c r="X4976" t="s">
        <v>22811</v>
      </c>
      <c r="Y4976">
        <v>0</v>
      </c>
    </row>
    <row r="4977" spans="1:26">
      <c r="A4977" s="1">
        <v>4975</v>
      </c>
      <c r="B4977" t="str">
        <f>HYPERLINK("https://bugs.eclipse.org/bugs/show_bug.cgi?id=566619", "566619")</f>
        <v>566619</v>
      </c>
      <c r="C4977" t="s">
        <v>149</v>
      </c>
      <c r="D4977" t="s">
        <v>10</v>
      </c>
      <c r="E4977" t="s">
        <v>12</v>
      </c>
      <c r="F4977" t="s">
        <v>26</v>
      </c>
      <c r="L4977" t="s">
        <v>22812</v>
      </c>
      <c r="N4977" t="s">
        <v>22812</v>
      </c>
      <c r="T4977" t="s">
        <v>22813</v>
      </c>
      <c r="U4977" t="s">
        <v>22814</v>
      </c>
      <c r="V4977" t="s">
        <v>22812</v>
      </c>
      <c r="W4977" t="s">
        <v>11939</v>
      </c>
      <c r="X4977" t="s">
        <v>22815</v>
      </c>
      <c r="Y4977">
        <v>0</v>
      </c>
      <c r="Z4977">
        <v>26</v>
      </c>
    </row>
    <row r="4978" spans="1:26">
      <c r="A4978" s="1">
        <v>4976</v>
      </c>
      <c r="B4978" t="str">
        <f>HYPERLINK("https://bugs.eclipse.org/bugs/show_bug.cgi?id=566759", "566759")</f>
        <v>566759</v>
      </c>
      <c r="C4978" t="s">
        <v>149</v>
      </c>
      <c r="D4978" t="s">
        <v>10</v>
      </c>
      <c r="E4978" t="s">
        <v>12</v>
      </c>
      <c r="F4978" t="s">
        <v>26</v>
      </c>
      <c r="L4978" t="s">
        <v>22816</v>
      </c>
      <c r="N4978" t="s">
        <v>22816</v>
      </c>
      <c r="T4978" t="s">
        <v>22817</v>
      </c>
      <c r="U4978" t="s">
        <v>22818</v>
      </c>
      <c r="V4978" t="s">
        <v>22819</v>
      </c>
      <c r="W4978" t="s">
        <v>65</v>
      </c>
      <c r="X4978" t="s">
        <v>22820</v>
      </c>
      <c r="Y4978">
        <v>0</v>
      </c>
      <c r="Z4978">
        <v>0</v>
      </c>
    </row>
    <row r="4979" spans="1:26">
      <c r="A4979" s="1">
        <v>4977</v>
      </c>
      <c r="B4979" t="str">
        <f>HYPERLINK("https://bugs.eclipse.org/bugs/show_bug.cgi?id=566771", "566771")</f>
        <v>566771</v>
      </c>
      <c r="C4979" t="s">
        <v>35</v>
      </c>
      <c r="D4979" t="s">
        <v>11</v>
      </c>
      <c r="E4979" t="s">
        <v>12</v>
      </c>
      <c r="F4979" t="s">
        <v>26</v>
      </c>
      <c r="H4979" t="s">
        <v>22821</v>
      </c>
      <c r="L4979" t="s">
        <v>22822</v>
      </c>
      <c r="M4979" t="s">
        <v>22823</v>
      </c>
      <c r="N4979" t="s">
        <v>22822</v>
      </c>
      <c r="T4979" t="s">
        <v>22824</v>
      </c>
      <c r="U4979" t="s">
        <v>22825</v>
      </c>
      <c r="V4979" t="s">
        <v>22826</v>
      </c>
      <c r="W4979" t="s">
        <v>3016</v>
      </c>
      <c r="X4979" t="s">
        <v>22827</v>
      </c>
      <c r="Y4979">
        <v>0</v>
      </c>
      <c r="Z4979">
        <v>102.0416666666667</v>
      </c>
    </row>
    <row r="4980" spans="1:26">
      <c r="A4980" s="1">
        <v>4978</v>
      </c>
      <c r="B4980" t="str">
        <f>HYPERLINK("https://bugs.eclipse.org/bugs/show_bug.cgi?id=566791", "566791")</f>
        <v>566791</v>
      </c>
      <c r="C4980" t="s">
        <v>35</v>
      </c>
      <c r="D4980" t="s">
        <v>11</v>
      </c>
      <c r="E4980" t="s">
        <v>12</v>
      </c>
      <c r="F4980" t="s">
        <v>26</v>
      </c>
      <c r="H4980" t="s">
        <v>22828</v>
      </c>
      <c r="L4980" t="s">
        <v>22829</v>
      </c>
      <c r="M4980" t="s">
        <v>22830</v>
      </c>
      <c r="N4980" t="s">
        <v>22829</v>
      </c>
      <c r="S4980" t="s">
        <v>22831</v>
      </c>
      <c r="T4980" t="s">
        <v>22832</v>
      </c>
      <c r="U4980" t="s">
        <v>22833</v>
      </c>
      <c r="V4980" t="s">
        <v>22830</v>
      </c>
      <c r="W4980" t="s">
        <v>19597</v>
      </c>
      <c r="X4980" t="s">
        <v>22834</v>
      </c>
      <c r="Y4980">
        <v>0</v>
      </c>
      <c r="Z4980">
        <v>74.041666666666671</v>
      </c>
    </row>
    <row r="4981" spans="1:26">
      <c r="A4981" s="1">
        <v>4979</v>
      </c>
      <c r="B4981" t="str">
        <f>HYPERLINK("https://bugs.eclipse.org/bugs/show_bug.cgi?id=566796", "566796")</f>
        <v>566796</v>
      </c>
      <c r="C4981" t="s">
        <v>4692</v>
      </c>
      <c r="D4981" t="s">
        <v>4692</v>
      </c>
      <c r="F4981" t="s">
        <v>26</v>
      </c>
      <c r="T4981" t="s">
        <v>22835</v>
      </c>
      <c r="U4981" t="s">
        <v>22836</v>
      </c>
      <c r="V4981" t="s">
        <v>22837</v>
      </c>
      <c r="W4981" t="s">
        <v>11939</v>
      </c>
      <c r="X4981" t="s">
        <v>22838</v>
      </c>
      <c r="Y4981">
        <v>0</v>
      </c>
    </row>
    <row r="4982" spans="1:26">
      <c r="A4982" s="1">
        <v>4980</v>
      </c>
      <c r="B4982" t="str">
        <f>HYPERLINK("https://bugs.eclipse.org/bugs/show_bug.cgi?id=566851", "566851")</f>
        <v>566851</v>
      </c>
      <c r="C4982" t="s">
        <v>149</v>
      </c>
      <c r="D4982" t="s">
        <v>10</v>
      </c>
      <c r="E4982" t="s">
        <v>12</v>
      </c>
      <c r="F4982" t="s">
        <v>26</v>
      </c>
      <c r="L4982" t="s">
        <v>22839</v>
      </c>
      <c r="N4982" t="s">
        <v>22839</v>
      </c>
      <c r="T4982" t="s">
        <v>22840</v>
      </c>
      <c r="U4982" t="s">
        <v>22841</v>
      </c>
      <c r="V4982" t="s">
        <v>22842</v>
      </c>
      <c r="W4982" t="s">
        <v>65</v>
      </c>
      <c r="X4982" t="s">
        <v>22843</v>
      </c>
      <c r="Y4982">
        <v>0</v>
      </c>
      <c r="Z4982">
        <v>125.0416666666667</v>
      </c>
    </row>
    <row r="4983" spans="1:26">
      <c r="A4983" s="1">
        <v>4981</v>
      </c>
      <c r="B4983" t="str">
        <f>HYPERLINK("https://bugs.eclipse.org/bugs/show_bug.cgi?id=566866", "566866")</f>
        <v>566866</v>
      </c>
      <c r="C4983" t="s">
        <v>35</v>
      </c>
      <c r="D4983" t="s">
        <v>11</v>
      </c>
      <c r="E4983" t="s">
        <v>12</v>
      </c>
      <c r="F4983" t="s">
        <v>26</v>
      </c>
      <c r="L4983" t="s">
        <v>22844</v>
      </c>
      <c r="M4983" t="s">
        <v>22845</v>
      </c>
      <c r="N4983" t="s">
        <v>22844</v>
      </c>
      <c r="S4983" t="s">
        <v>22846</v>
      </c>
      <c r="T4983" t="s">
        <v>22847</v>
      </c>
      <c r="U4983" t="s">
        <v>22848</v>
      </c>
      <c r="V4983" t="s">
        <v>22845</v>
      </c>
      <c r="W4983" t="s">
        <v>11693</v>
      </c>
      <c r="X4983" t="s">
        <v>22849</v>
      </c>
      <c r="Y4983">
        <v>0</v>
      </c>
      <c r="Z4983">
        <v>75.041666666666671</v>
      </c>
    </row>
    <row r="4984" spans="1:26">
      <c r="A4984" s="1">
        <v>4982</v>
      </c>
      <c r="B4984" t="str">
        <f>HYPERLINK("https://bugs.eclipse.org/bugs/show_bug.cgi?id=566879", "566879")</f>
        <v>566879</v>
      </c>
      <c r="C4984" t="s">
        <v>4692</v>
      </c>
      <c r="D4984" t="s">
        <v>4692</v>
      </c>
      <c r="F4984" t="s">
        <v>26</v>
      </c>
      <c r="T4984" t="s">
        <v>22850</v>
      </c>
      <c r="U4984" t="s">
        <v>22851</v>
      </c>
      <c r="V4984" t="s">
        <v>22852</v>
      </c>
      <c r="W4984" t="s">
        <v>20632</v>
      </c>
      <c r="X4984" t="s">
        <v>22853</v>
      </c>
      <c r="Y4984">
        <v>0</v>
      </c>
    </row>
    <row r="4985" spans="1:26">
      <c r="A4985" s="1">
        <v>4983</v>
      </c>
      <c r="B4985" t="str">
        <f>HYPERLINK("https://bugs.eclipse.org/bugs/show_bug.cgi?id=566881", "566881")</f>
        <v>566881</v>
      </c>
      <c r="C4985" t="s">
        <v>4692</v>
      </c>
      <c r="D4985" t="s">
        <v>4692</v>
      </c>
      <c r="F4985" t="s">
        <v>26</v>
      </c>
      <c r="T4985" t="s">
        <v>22854</v>
      </c>
      <c r="U4985" t="s">
        <v>22855</v>
      </c>
      <c r="V4985" t="s">
        <v>22855</v>
      </c>
      <c r="W4985" t="s">
        <v>20632</v>
      </c>
      <c r="X4985" t="s">
        <v>22856</v>
      </c>
      <c r="Y4985">
        <v>0</v>
      </c>
    </row>
    <row r="4986" spans="1:26">
      <c r="A4986" s="1">
        <v>4984</v>
      </c>
      <c r="B4986" t="str">
        <f>HYPERLINK("https://bugs.eclipse.org/bugs/show_bug.cgi?id=566884", "566884")</f>
        <v>566884</v>
      </c>
      <c r="C4986" t="s">
        <v>4692</v>
      </c>
      <c r="D4986" t="s">
        <v>4692</v>
      </c>
      <c r="F4986" t="s">
        <v>26</v>
      </c>
      <c r="T4986" t="s">
        <v>22857</v>
      </c>
      <c r="U4986" t="s">
        <v>22858</v>
      </c>
      <c r="V4986" t="s">
        <v>22858</v>
      </c>
      <c r="W4986" t="s">
        <v>20632</v>
      </c>
      <c r="X4986" t="s">
        <v>22859</v>
      </c>
      <c r="Y4986">
        <v>0</v>
      </c>
    </row>
    <row r="4987" spans="1:26">
      <c r="A4987" s="1">
        <v>4985</v>
      </c>
      <c r="B4987" t="str">
        <f>HYPERLINK("https://bugs.eclipse.org/bugs/show_bug.cgi?id=566939", "566939")</f>
        <v>566939</v>
      </c>
      <c r="C4987" t="s">
        <v>35</v>
      </c>
      <c r="D4987" t="s">
        <v>11</v>
      </c>
      <c r="E4987" t="s">
        <v>12</v>
      </c>
      <c r="F4987" t="s">
        <v>26</v>
      </c>
      <c r="L4987" t="s">
        <v>22860</v>
      </c>
      <c r="M4987" t="s">
        <v>22861</v>
      </c>
      <c r="N4987" t="s">
        <v>22860</v>
      </c>
      <c r="T4987" t="s">
        <v>22862</v>
      </c>
      <c r="U4987" t="s">
        <v>22863</v>
      </c>
      <c r="V4987" t="s">
        <v>22861</v>
      </c>
      <c r="W4987" t="s">
        <v>11693</v>
      </c>
      <c r="X4987" t="s">
        <v>22864</v>
      </c>
      <c r="Y4987">
        <v>0</v>
      </c>
      <c r="Z4987">
        <v>23</v>
      </c>
    </row>
    <row r="4988" spans="1:26">
      <c r="A4988" s="1">
        <v>4986</v>
      </c>
      <c r="B4988" t="str">
        <f>HYPERLINK("https://bugs.eclipse.org/bugs/show_bug.cgi?id=566943", "566943")</f>
        <v>566943</v>
      </c>
      <c r="C4988" t="s">
        <v>35</v>
      </c>
      <c r="D4988" t="s">
        <v>11</v>
      </c>
      <c r="E4988" t="s">
        <v>12</v>
      </c>
      <c r="F4988" t="s">
        <v>26</v>
      </c>
      <c r="L4988" t="s">
        <v>22865</v>
      </c>
      <c r="M4988" t="s">
        <v>22866</v>
      </c>
      <c r="N4988" t="s">
        <v>22865</v>
      </c>
      <c r="T4988" t="s">
        <v>22867</v>
      </c>
      <c r="U4988" t="s">
        <v>22868</v>
      </c>
      <c r="V4988" t="s">
        <v>22866</v>
      </c>
      <c r="W4988" t="s">
        <v>11693</v>
      </c>
      <c r="X4988" t="s">
        <v>22869</v>
      </c>
      <c r="Y4988">
        <v>0</v>
      </c>
      <c r="Z4988">
        <v>71.041666666666671</v>
      </c>
    </row>
    <row r="4989" spans="1:26">
      <c r="A4989" s="1">
        <v>4987</v>
      </c>
      <c r="B4989" t="str">
        <f>HYPERLINK("https://bugs.eclipse.org/bugs/show_bug.cgi?id=566944", "566944")</f>
        <v>566944</v>
      </c>
      <c r="C4989" t="s">
        <v>25</v>
      </c>
      <c r="D4989" t="s">
        <v>25</v>
      </c>
      <c r="F4989" t="s">
        <v>26</v>
      </c>
      <c r="T4989" t="s">
        <v>22870</v>
      </c>
      <c r="U4989" t="s">
        <v>22871</v>
      </c>
      <c r="V4989" t="s">
        <v>22872</v>
      </c>
      <c r="W4989" t="s">
        <v>4846</v>
      </c>
      <c r="X4989" t="s">
        <v>22873</v>
      </c>
      <c r="Y4989">
        <v>0</v>
      </c>
    </row>
    <row r="4990" spans="1:26">
      <c r="A4990" s="1">
        <v>4988</v>
      </c>
      <c r="B4990" t="str">
        <f>HYPERLINK("https://bugs.eclipse.org/bugs/show_bug.cgi?id=566945", "566945")</f>
        <v>566945</v>
      </c>
      <c r="C4990" t="s">
        <v>35</v>
      </c>
      <c r="D4990" t="s">
        <v>11</v>
      </c>
      <c r="E4990" t="s">
        <v>12</v>
      </c>
      <c r="F4990" t="s">
        <v>26</v>
      </c>
      <c r="L4990" t="s">
        <v>22874</v>
      </c>
      <c r="M4990" t="s">
        <v>22875</v>
      </c>
      <c r="N4990" t="s">
        <v>22874</v>
      </c>
      <c r="T4990" t="s">
        <v>22876</v>
      </c>
      <c r="U4990" t="s">
        <v>22877</v>
      </c>
      <c r="V4990" t="s">
        <v>22875</v>
      </c>
      <c r="W4990" t="s">
        <v>4846</v>
      </c>
      <c r="X4990" t="s">
        <v>22878</v>
      </c>
      <c r="Y4990">
        <v>0</v>
      </c>
      <c r="Z4990">
        <v>114.0416666666667</v>
      </c>
    </row>
    <row r="4991" spans="1:26">
      <c r="A4991" s="1">
        <v>4989</v>
      </c>
      <c r="B4991" t="str">
        <f>HYPERLINK("https://bugs.eclipse.org/bugs/show_bug.cgi?id=566976", "566976")</f>
        <v>566976</v>
      </c>
      <c r="C4991" t="s">
        <v>4692</v>
      </c>
      <c r="D4991" t="s">
        <v>4692</v>
      </c>
      <c r="F4991" t="s">
        <v>26</v>
      </c>
      <c r="T4991" t="s">
        <v>22879</v>
      </c>
      <c r="U4991" t="s">
        <v>22880</v>
      </c>
      <c r="V4991" t="s">
        <v>22880</v>
      </c>
      <c r="W4991" t="s">
        <v>4846</v>
      </c>
      <c r="X4991" t="s">
        <v>22881</v>
      </c>
      <c r="Y4991">
        <v>0</v>
      </c>
    </row>
    <row r="4992" spans="1:26">
      <c r="A4992" s="1">
        <v>4990</v>
      </c>
      <c r="B4992" t="str">
        <f>HYPERLINK("https://bugs.eclipse.org/bugs/show_bug.cgi?id=566982", "566982")</f>
        <v>566982</v>
      </c>
      <c r="C4992" t="s">
        <v>35</v>
      </c>
      <c r="D4992" t="s">
        <v>11</v>
      </c>
      <c r="E4992" t="s">
        <v>12</v>
      </c>
      <c r="F4992" t="s">
        <v>26</v>
      </c>
      <c r="L4992" t="s">
        <v>22882</v>
      </c>
      <c r="M4992" t="s">
        <v>22883</v>
      </c>
      <c r="N4992" t="s">
        <v>22882</v>
      </c>
      <c r="T4992" t="s">
        <v>22884</v>
      </c>
      <c r="U4992" t="s">
        <v>22885</v>
      </c>
      <c r="V4992" t="s">
        <v>22883</v>
      </c>
      <c r="W4992" t="s">
        <v>11693</v>
      </c>
      <c r="X4992" t="s">
        <v>22886</v>
      </c>
      <c r="Y4992">
        <v>0</v>
      </c>
      <c r="Z4992">
        <v>22</v>
      </c>
    </row>
    <row r="4993" spans="1:26">
      <c r="A4993" s="1">
        <v>4991</v>
      </c>
      <c r="B4993" t="str">
        <f>HYPERLINK("https://bugs.eclipse.org/bugs/show_bug.cgi?id=566996", "566996")</f>
        <v>566996</v>
      </c>
      <c r="C4993" t="s">
        <v>35</v>
      </c>
      <c r="D4993" t="s">
        <v>11</v>
      </c>
      <c r="E4993" t="s">
        <v>12</v>
      </c>
      <c r="F4993" t="s">
        <v>26</v>
      </c>
      <c r="L4993" t="s">
        <v>22887</v>
      </c>
      <c r="M4993" t="s">
        <v>22888</v>
      </c>
      <c r="N4993" t="s">
        <v>22887</v>
      </c>
      <c r="T4993" t="s">
        <v>22889</v>
      </c>
      <c r="U4993" t="s">
        <v>22890</v>
      </c>
      <c r="V4993" t="s">
        <v>22888</v>
      </c>
      <c r="W4993" t="s">
        <v>19597</v>
      </c>
      <c r="X4993" t="s">
        <v>22891</v>
      </c>
      <c r="Y4993">
        <v>0</v>
      </c>
      <c r="Z4993">
        <v>67.041666666666671</v>
      </c>
    </row>
    <row r="4994" spans="1:26">
      <c r="A4994" s="1">
        <v>4992</v>
      </c>
      <c r="B4994" t="str">
        <f>HYPERLINK("https://bugs.eclipse.org/bugs/show_bug.cgi?id=567009", "567009")</f>
        <v>567009</v>
      </c>
      <c r="C4994" t="s">
        <v>35</v>
      </c>
      <c r="D4994" t="s">
        <v>11</v>
      </c>
      <c r="E4994" t="s">
        <v>12</v>
      </c>
      <c r="F4994" t="s">
        <v>26</v>
      </c>
      <c r="L4994" t="s">
        <v>22892</v>
      </c>
      <c r="M4994" t="s">
        <v>22893</v>
      </c>
      <c r="N4994" t="s">
        <v>22892</v>
      </c>
      <c r="T4994" t="s">
        <v>22894</v>
      </c>
      <c r="U4994" t="s">
        <v>22895</v>
      </c>
      <c r="V4994" t="s">
        <v>22893</v>
      </c>
      <c r="W4994" t="s">
        <v>19597</v>
      </c>
      <c r="X4994" t="s">
        <v>22896</v>
      </c>
      <c r="Y4994">
        <v>0</v>
      </c>
      <c r="Z4994">
        <v>67.041666666666671</v>
      </c>
    </row>
    <row r="4995" spans="1:26">
      <c r="A4995" s="1">
        <v>4993</v>
      </c>
      <c r="B4995" t="str">
        <f>HYPERLINK("https://bugs.eclipse.org/bugs/show_bug.cgi?id=567020", "567020")</f>
        <v>567020</v>
      </c>
      <c r="C4995" t="s">
        <v>4692</v>
      </c>
      <c r="D4995" t="s">
        <v>4692</v>
      </c>
      <c r="F4995" t="s">
        <v>26</v>
      </c>
      <c r="T4995" t="s">
        <v>22897</v>
      </c>
      <c r="U4995" t="s">
        <v>22898</v>
      </c>
      <c r="V4995" t="s">
        <v>22898</v>
      </c>
      <c r="W4995" t="s">
        <v>20632</v>
      </c>
      <c r="X4995" t="s">
        <v>22899</v>
      </c>
      <c r="Y4995">
        <v>0</v>
      </c>
    </row>
    <row r="4996" spans="1:26">
      <c r="A4996" s="1">
        <v>4994</v>
      </c>
      <c r="B4996" t="str">
        <f>HYPERLINK("https://bugs.eclipse.org/bugs/show_bug.cgi?id=567084", "567084")</f>
        <v>567084</v>
      </c>
      <c r="C4996" t="s">
        <v>35</v>
      </c>
      <c r="D4996" t="s">
        <v>11</v>
      </c>
      <c r="E4996" t="s">
        <v>12</v>
      </c>
      <c r="F4996" t="s">
        <v>26</v>
      </c>
      <c r="L4996" t="s">
        <v>22900</v>
      </c>
      <c r="M4996" t="s">
        <v>22901</v>
      </c>
      <c r="N4996" t="s">
        <v>22900</v>
      </c>
      <c r="S4996" t="s">
        <v>22902</v>
      </c>
      <c r="T4996" t="s">
        <v>22903</v>
      </c>
      <c r="U4996" t="s">
        <v>22904</v>
      </c>
      <c r="V4996" t="s">
        <v>22901</v>
      </c>
      <c r="W4996" t="s">
        <v>19597</v>
      </c>
      <c r="X4996" t="s">
        <v>22905</v>
      </c>
      <c r="Y4996">
        <v>0</v>
      </c>
      <c r="Z4996">
        <v>65.041666666666671</v>
      </c>
    </row>
    <row r="4997" spans="1:26">
      <c r="A4997" s="1">
        <v>4995</v>
      </c>
      <c r="B4997" t="str">
        <f>HYPERLINK("https://bugs.eclipse.org/bugs/show_bug.cgi?id=567146", "567146")</f>
        <v>567146</v>
      </c>
      <c r="C4997" t="s">
        <v>35</v>
      </c>
      <c r="D4997" t="s">
        <v>11</v>
      </c>
      <c r="E4997" t="s">
        <v>12</v>
      </c>
      <c r="F4997" t="s">
        <v>26</v>
      </c>
      <c r="L4997" t="s">
        <v>22906</v>
      </c>
      <c r="M4997" t="s">
        <v>22907</v>
      </c>
      <c r="N4997" t="s">
        <v>22906</v>
      </c>
      <c r="T4997" t="s">
        <v>22908</v>
      </c>
      <c r="U4997" t="s">
        <v>22909</v>
      </c>
      <c r="V4997" t="s">
        <v>22907</v>
      </c>
      <c r="W4997" t="s">
        <v>19597</v>
      </c>
      <c r="X4997" t="s">
        <v>22910</v>
      </c>
      <c r="Y4997">
        <v>0</v>
      </c>
      <c r="Z4997">
        <v>63.041666666666657</v>
      </c>
    </row>
    <row r="4998" spans="1:26">
      <c r="A4998" s="1">
        <v>4996</v>
      </c>
      <c r="B4998" t="str">
        <f>HYPERLINK("https://bugs.eclipse.org/bugs/show_bug.cgi?id=567148", "567148")</f>
        <v>567148</v>
      </c>
      <c r="C4998" t="s">
        <v>35</v>
      </c>
      <c r="D4998" t="s">
        <v>11</v>
      </c>
      <c r="E4998" t="s">
        <v>12</v>
      </c>
      <c r="F4998" t="s">
        <v>26</v>
      </c>
      <c r="L4998" t="s">
        <v>22911</v>
      </c>
      <c r="M4998" t="s">
        <v>22912</v>
      </c>
      <c r="N4998" t="s">
        <v>22911</v>
      </c>
      <c r="T4998" t="s">
        <v>22913</v>
      </c>
      <c r="U4998" t="s">
        <v>22914</v>
      </c>
      <c r="V4998" t="s">
        <v>22912</v>
      </c>
      <c r="W4998" t="s">
        <v>19597</v>
      </c>
      <c r="X4998" t="s">
        <v>22915</v>
      </c>
      <c r="Y4998">
        <v>0</v>
      </c>
      <c r="Z4998">
        <v>63.041666666666657</v>
      </c>
    </row>
    <row r="4999" spans="1:26">
      <c r="A4999" s="1">
        <v>4997</v>
      </c>
      <c r="B4999" t="str">
        <f>HYPERLINK("https://bugs.eclipse.org/bugs/show_bug.cgi?id=567156", "567156")</f>
        <v>567156</v>
      </c>
      <c r="C4999" t="s">
        <v>4692</v>
      </c>
      <c r="D4999" t="s">
        <v>4692</v>
      </c>
      <c r="F4999" t="s">
        <v>26</v>
      </c>
      <c r="T4999" t="s">
        <v>22916</v>
      </c>
      <c r="U4999" t="s">
        <v>22917</v>
      </c>
      <c r="V4999" t="s">
        <v>22917</v>
      </c>
      <c r="W4999" t="s">
        <v>11939</v>
      </c>
      <c r="X4999" t="s">
        <v>22918</v>
      </c>
      <c r="Y4999">
        <v>0</v>
      </c>
    </row>
    <row r="5000" spans="1:26">
      <c r="A5000" s="1">
        <v>4998</v>
      </c>
      <c r="B5000" t="str">
        <f>HYPERLINK("https://bugs.eclipse.org/bugs/show_bug.cgi?id=567206", "567206")</f>
        <v>567206</v>
      </c>
      <c r="C5000" t="s">
        <v>35</v>
      </c>
      <c r="D5000" t="s">
        <v>11</v>
      </c>
      <c r="E5000" t="s">
        <v>12</v>
      </c>
      <c r="F5000" t="s">
        <v>26</v>
      </c>
      <c r="L5000" t="s">
        <v>22919</v>
      </c>
      <c r="M5000" t="s">
        <v>22920</v>
      </c>
      <c r="N5000" t="s">
        <v>22919</v>
      </c>
      <c r="T5000" t="s">
        <v>22921</v>
      </c>
      <c r="U5000" t="s">
        <v>22922</v>
      </c>
      <c r="V5000" t="s">
        <v>22920</v>
      </c>
      <c r="W5000" t="s">
        <v>19597</v>
      </c>
      <c r="X5000" t="s">
        <v>22923</v>
      </c>
      <c r="Y5000">
        <v>0</v>
      </c>
      <c r="Z5000">
        <v>61.041666666666657</v>
      </c>
    </row>
    <row r="5001" spans="1:26">
      <c r="A5001" s="1">
        <v>4999</v>
      </c>
      <c r="B5001" t="str">
        <f>HYPERLINK("https://bugs.eclipse.org/bugs/show_bug.cgi?id=567262", "567262")</f>
        <v>567262</v>
      </c>
      <c r="C5001" t="s">
        <v>35</v>
      </c>
      <c r="D5001" t="s">
        <v>11</v>
      </c>
      <c r="E5001" t="s">
        <v>12</v>
      </c>
      <c r="F5001" t="s">
        <v>26</v>
      </c>
      <c r="L5001" t="s">
        <v>22924</v>
      </c>
      <c r="M5001" t="s">
        <v>22925</v>
      </c>
      <c r="N5001" t="s">
        <v>22924</v>
      </c>
      <c r="T5001" t="s">
        <v>22926</v>
      </c>
      <c r="U5001" t="s">
        <v>22927</v>
      </c>
      <c r="V5001" t="s">
        <v>22925</v>
      </c>
      <c r="W5001" t="s">
        <v>19597</v>
      </c>
      <c r="X5001" t="s">
        <v>22928</v>
      </c>
      <c r="Y5001">
        <v>0</v>
      </c>
      <c r="Z5001">
        <v>59.041666666666657</v>
      </c>
    </row>
    <row r="5002" spans="1:26">
      <c r="A5002" s="1">
        <v>5000</v>
      </c>
      <c r="B5002" t="str">
        <f>HYPERLINK("https://bugs.eclipse.org/bugs/show_bug.cgi?id=567264", "567264")</f>
        <v>567264</v>
      </c>
      <c r="C5002" t="s">
        <v>35</v>
      </c>
      <c r="D5002" t="s">
        <v>11</v>
      </c>
      <c r="E5002" t="s">
        <v>12</v>
      </c>
      <c r="F5002" t="s">
        <v>26</v>
      </c>
      <c r="L5002" t="s">
        <v>22929</v>
      </c>
      <c r="M5002" t="s">
        <v>22930</v>
      </c>
      <c r="N5002" t="s">
        <v>22929</v>
      </c>
      <c r="T5002" t="s">
        <v>22931</v>
      </c>
      <c r="U5002" t="s">
        <v>22932</v>
      </c>
      <c r="V5002" t="s">
        <v>22930</v>
      </c>
      <c r="W5002" t="s">
        <v>19597</v>
      </c>
      <c r="X5002" t="s">
        <v>22933</v>
      </c>
      <c r="Y5002">
        <v>0</v>
      </c>
      <c r="Z5002">
        <v>59.041666666666657</v>
      </c>
    </row>
    <row r="5003" spans="1:26">
      <c r="A5003" s="1">
        <v>5001</v>
      </c>
      <c r="B5003" t="str">
        <f>HYPERLINK("https://bugs.eclipse.org/bugs/show_bug.cgi?id=567286", "567286")</f>
        <v>567286</v>
      </c>
      <c r="C5003" t="s">
        <v>35</v>
      </c>
      <c r="D5003" t="s">
        <v>11</v>
      </c>
      <c r="E5003" t="s">
        <v>12</v>
      </c>
      <c r="F5003" t="s">
        <v>26</v>
      </c>
      <c r="L5003" t="s">
        <v>22934</v>
      </c>
      <c r="M5003" t="s">
        <v>22935</v>
      </c>
      <c r="N5003" t="s">
        <v>22934</v>
      </c>
      <c r="T5003" t="s">
        <v>22936</v>
      </c>
      <c r="U5003" t="s">
        <v>22937</v>
      </c>
      <c r="V5003" t="s">
        <v>22935</v>
      </c>
      <c r="W5003" t="s">
        <v>19597</v>
      </c>
      <c r="X5003" t="s">
        <v>22938</v>
      </c>
      <c r="Y5003">
        <v>0</v>
      </c>
      <c r="Z5003">
        <v>59.041666666666657</v>
      </c>
    </row>
    <row r="5004" spans="1:26">
      <c r="A5004" s="1">
        <v>5002</v>
      </c>
      <c r="B5004" t="str">
        <f>HYPERLINK("https://bugs.eclipse.org/bugs/show_bug.cgi?id=567335", "567335")</f>
        <v>567335</v>
      </c>
      <c r="C5004" t="s">
        <v>35</v>
      </c>
      <c r="D5004" t="s">
        <v>11</v>
      </c>
      <c r="E5004" t="s">
        <v>12</v>
      </c>
      <c r="F5004" t="s">
        <v>26</v>
      </c>
      <c r="L5004" t="s">
        <v>22939</v>
      </c>
      <c r="M5004" t="s">
        <v>22940</v>
      </c>
      <c r="N5004" t="s">
        <v>22939</v>
      </c>
      <c r="S5004" t="s">
        <v>22941</v>
      </c>
      <c r="T5004" t="s">
        <v>22942</v>
      </c>
      <c r="U5004" t="s">
        <v>22943</v>
      </c>
      <c r="V5004" t="s">
        <v>22940</v>
      </c>
      <c r="W5004" t="s">
        <v>19597</v>
      </c>
      <c r="X5004" t="s">
        <v>22944</v>
      </c>
      <c r="Y5004">
        <v>0</v>
      </c>
      <c r="Z5004">
        <v>57.041666666666657</v>
      </c>
    </row>
    <row r="5005" spans="1:26">
      <c r="A5005" s="1">
        <v>5003</v>
      </c>
      <c r="B5005" t="str">
        <f>HYPERLINK("https://bugs.eclipse.org/bugs/show_bug.cgi?id=567365", "567365")</f>
        <v>567365</v>
      </c>
      <c r="C5005" t="s">
        <v>35</v>
      </c>
      <c r="D5005" t="s">
        <v>11</v>
      </c>
      <c r="E5005" t="s">
        <v>12</v>
      </c>
      <c r="F5005" t="s">
        <v>26</v>
      </c>
      <c r="L5005" t="s">
        <v>22945</v>
      </c>
      <c r="M5005" t="s">
        <v>22946</v>
      </c>
      <c r="N5005" t="s">
        <v>22945</v>
      </c>
      <c r="T5005" t="s">
        <v>22947</v>
      </c>
      <c r="U5005" t="s">
        <v>22945</v>
      </c>
      <c r="V5005" t="s">
        <v>22946</v>
      </c>
      <c r="W5005" t="s">
        <v>19597</v>
      </c>
      <c r="X5005" t="s">
        <v>22948</v>
      </c>
      <c r="Y5005">
        <v>0</v>
      </c>
      <c r="Z5005">
        <v>57.041666666666657</v>
      </c>
    </row>
    <row r="5006" spans="1:26">
      <c r="A5006" s="1">
        <v>5004</v>
      </c>
      <c r="B5006" t="str">
        <f>HYPERLINK("https://bugs.eclipse.org/bugs/show_bug.cgi?id=567411", "567411")</f>
        <v>567411</v>
      </c>
      <c r="C5006" t="s">
        <v>35</v>
      </c>
      <c r="D5006" t="s">
        <v>11</v>
      </c>
      <c r="E5006" t="s">
        <v>12</v>
      </c>
      <c r="F5006" t="s">
        <v>26</v>
      </c>
      <c r="L5006" t="s">
        <v>22949</v>
      </c>
      <c r="M5006" t="s">
        <v>22950</v>
      </c>
      <c r="N5006" t="s">
        <v>22949</v>
      </c>
      <c r="T5006" t="s">
        <v>22951</v>
      </c>
      <c r="U5006" t="s">
        <v>22952</v>
      </c>
      <c r="V5006" t="s">
        <v>22950</v>
      </c>
      <c r="W5006" t="s">
        <v>19597</v>
      </c>
      <c r="X5006" t="s">
        <v>22953</v>
      </c>
      <c r="Y5006">
        <v>0</v>
      </c>
      <c r="Z5006">
        <v>54.041666666666657</v>
      </c>
    </row>
    <row r="5007" spans="1:26">
      <c r="A5007" s="1">
        <v>5005</v>
      </c>
      <c r="B5007" t="str">
        <f>HYPERLINK("https://bugs.eclipse.org/bugs/show_bug.cgi?id=567438", "567438")</f>
        <v>567438</v>
      </c>
      <c r="C5007" t="s">
        <v>35</v>
      </c>
      <c r="D5007" t="s">
        <v>11</v>
      </c>
      <c r="E5007" t="s">
        <v>12</v>
      </c>
      <c r="F5007" t="s">
        <v>26</v>
      </c>
      <c r="G5007" t="s">
        <v>22954</v>
      </c>
      <c r="L5007" t="s">
        <v>22955</v>
      </c>
      <c r="M5007" t="s">
        <v>22956</v>
      </c>
      <c r="N5007" t="s">
        <v>22955</v>
      </c>
      <c r="T5007" t="s">
        <v>22957</v>
      </c>
      <c r="U5007" t="s">
        <v>22958</v>
      </c>
      <c r="V5007" t="s">
        <v>22956</v>
      </c>
      <c r="W5007" t="s">
        <v>19597</v>
      </c>
      <c r="X5007" t="s">
        <v>22959</v>
      </c>
      <c r="Y5007">
        <v>0</v>
      </c>
      <c r="Z5007">
        <v>53.041666666666657</v>
      </c>
    </row>
    <row r="5008" spans="1:26">
      <c r="A5008" s="1">
        <v>5006</v>
      </c>
      <c r="B5008" t="str">
        <f>HYPERLINK("https://bugs.eclipse.org/bugs/show_bug.cgi?id=567481", "567481")</f>
        <v>567481</v>
      </c>
      <c r="C5008" t="s">
        <v>35</v>
      </c>
      <c r="D5008" t="s">
        <v>11</v>
      </c>
      <c r="E5008" t="s">
        <v>12</v>
      </c>
      <c r="F5008" t="s">
        <v>26</v>
      </c>
      <c r="L5008" t="s">
        <v>22960</v>
      </c>
      <c r="M5008" t="s">
        <v>22961</v>
      </c>
      <c r="N5008" t="s">
        <v>22960</v>
      </c>
      <c r="T5008" t="s">
        <v>22962</v>
      </c>
      <c r="U5008" t="s">
        <v>22963</v>
      </c>
      <c r="V5008" t="s">
        <v>22961</v>
      </c>
      <c r="W5008" t="s">
        <v>19597</v>
      </c>
      <c r="X5008" t="s">
        <v>22964</v>
      </c>
      <c r="Y5008">
        <v>2</v>
      </c>
      <c r="Z5008">
        <v>52.041666666666657</v>
      </c>
    </row>
    <row r="5009" spans="1:26">
      <c r="A5009" s="1">
        <v>5007</v>
      </c>
      <c r="B5009" t="str">
        <f>HYPERLINK("https://bugs.eclipse.org/bugs/show_bug.cgi?id=567492", "567492")</f>
        <v>567492</v>
      </c>
      <c r="C5009" t="s">
        <v>8439</v>
      </c>
      <c r="D5009" t="s">
        <v>192</v>
      </c>
      <c r="E5009" t="s">
        <v>13</v>
      </c>
      <c r="F5009" t="s">
        <v>26</v>
      </c>
      <c r="O5009" t="s">
        <v>22965</v>
      </c>
      <c r="T5009" t="s">
        <v>22966</v>
      </c>
      <c r="U5009" t="s">
        <v>22965</v>
      </c>
      <c r="V5009" t="s">
        <v>22965</v>
      </c>
      <c r="W5009" t="s">
        <v>11939</v>
      </c>
      <c r="X5009" t="s">
        <v>22967</v>
      </c>
      <c r="Y5009">
        <v>2</v>
      </c>
      <c r="Z5009">
        <v>2</v>
      </c>
    </row>
    <row r="5010" spans="1:26">
      <c r="A5010" s="1">
        <v>5008</v>
      </c>
      <c r="B5010" t="str">
        <f>HYPERLINK("https://bugs.eclipse.org/bugs/show_bug.cgi?id=567553", "567553")</f>
        <v>567553</v>
      </c>
      <c r="C5010" t="s">
        <v>35</v>
      </c>
      <c r="D5010" t="s">
        <v>11</v>
      </c>
      <c r="E5010" t="s">
        <v>12</v>
      </c>
      <c r="F5010" t="s">
        <v>26</v>
      </c>
      <c r="L5010" t="s">
        <v>22968</v>
      </c>
      <c r="M5010" t="s">
        <v>22969</v>
      </c>
      <c r="N5010" t="s">
        <v>22968</v>
      </c>
      <c r="T5010" t="s">
        <v>22970</v>
      </c>
      <c r="U5010" t="s">
        <v>22971</v>
      </c>
      <c r="V5010" t="s">
        <v>22969</v>
      </c>
      <c r="W5010" t="s">
        <v>19597</v>
      </c>
      <c r="X5010" t="s">
        <v>22972</v>
      </c>
      <c r="Y5010">
        <v>0</v>
      </c>
      <c r="Z5010">
        <v>50.041666666666657</v>
      </c>
    </row>
    <row r="5011" spans="1:26">
      <c r="A5011" s="1">
        <v>5009</v>
      </c>
      <c r="B5011" t="str">
        <f>HYPERLINK("https://bugs.eclipse.org/bugs/show_bug.cgi?id=567560", "567560")</f>
        <v>567560</v>
      </c>
      <c r="C5011" t="s">
        <v>35</v>
      </c>
      <c r="D5011" t="s">
        <v>11</v>
      </c>
      <c r="E5011" t="s">
        <v>12</v>
      </c>
      <c r="F5011" t="s">
        <v>26</v>
      </c>
      <c r="L5011" t="s">
        <v>22973</v>
      </c>
      <c r="M5011" t="s">
        <v>22974</v>
      </c>
      <c r="N5011" t="s">
        <v>22973</v>
      </c>
      <c r="T5011" t="s">
        <v>22975</v>
      </c>
      <c r="U5011" t="s">
        <v>22976</v>
      </c>
      <c r="V5011" t="s">
        <v>22974</v>
      </c>
      <c r="W5011" t="s">
        <v>19597</v>
      </c>
      <c r="X5011" t="s">
        <v>22977</v>
      </c>
      <c r="Y5011">
        <v>0</v>
      </c>
      <c r="Z5011">
        <v>49.041666666666657</v>
      </c>
    </row>
    <row r="5012" spans="1:26">
      <c r="A5012" s="1">
        <v>5010</v>
      </c>
      <c r="B5012" t="str">
        <f>HYPERLINK("https://bugs.eclipse.org/bugs/show_bug.cgi?id=567567", "567567")</f>
        <v>567567</v>
      </c>
      <c r="C5012" t="s">
        <v>35</v>
      </c>
      <c r="D5012" t="s">
        <v>11</v>
      </c>
      <c r="E5012" t="s">
        <v>12</v>
      </c>
      <c r="F5012" t="s">
        <v>26</v>
      </c>
      <c r="L5012" t="s">
        <v>22978</v>
      </c>
      <c r="M5012" t="s">
        <v>22979</v>
      </c>
      <c r="N5012" t="s">
        <v>22978</v>
      </c>
      <c r="T5012" t="s">
        <v>22980</v>
      </c>
      <c r="U5012" t="s">
        <v>22981</v>
      </c>
      <c r="V5012" t="s">
        <v>22979</v>
      </c>
      <c r="W5012" t="s">
        <v>19597</v>
      </c>
      <c r="X5012" t="s">
        <v>22982</v>
      </c>
      <c r="Y5012">
        <v>0</v>
      </c>
      <c r="Z5012">
        <v>47.041666666666657</v>
      </c>
    </row>
    <row r="5013" spans="1:26">
      <c r="A5013" s="1">
        <v>5011</v>
      </c>
      <c r="B5013" t="str">
        <f>HYPERLINK("https://bugs.eclipse.org/bugs/show_bug.cgi?id=567599", "567599")</f>
        <v>567599</v>
      </c>
      <c r="C5013" t="s">
        <v>35</v>
      </c>
      <c r="D5013" t="s">
        <v>11</v>
      </c>
      <c r="E5013" t="s">
        <v>12</v>
      </c>
      <c r="F5013" t="s">
        <v>26</v>
      </c>
      <c r="L5013" t="s">
        <v>22983</v>
      </c>
      <c r="M5013" t="s">
        <v>22984</v>
      </c>
      <c r="N5013" t="s">
        <v>22983</v>
      </c>
      <c r="T5013" t="s">
        <v>22985</v>
      </c>
      <c r="U5013" t="s">
        <v>22986</v>
      </c>
      <c r="V5013" t="s">
        <v>22984</v>
      </c>
      <c r="W5013" t="s">
        <v>19597</v>
      </c>
      <c r="X5013" t="s">
        <v>22987</v>
      </c>
      <c r="Y5013">
        <v>0</v>
      </c>
      <c r="Z5013">
        <v>47.041666666666657</v>
      </c>
    </row>
    <row r="5014" spans="1:26">
      <c r="A5014" s="1">
        <v>5012</v>
      </c>
      <c r="B5014" t="str">
        <f>HYPERLINK("https://bugs.eclipse.org/bugs/show_bug.cgi?id=567645", "567645")</f>
        <v>567645</v>
      </c>
      <c r="C5014" t="s">
        <v>25</v>
      </c>
      <c r="D5014" t="s">
        <v>25</v>
      </c>
      <c r="F5014" t="s">
        <v>26</v>
      </c>
      <c r="T5014" t="s">
        <v>22988</v>
      </c>
      <c r="U5014" t="s">
        <v>22989</v>
      </c>
      <c r="V5014" t="s">
        <v>22990</v>
      </c>
      <c r="W5014" t="s">
        <v>4846</v>
      </c>
      <c r="X5014" t="s">
        <v>22991</v>
      </c>
      <c r="Y5014">
        <v>0</v>
      </c>
    </row>
    <row r="5015" spans="1:26">
      <c r="A5015" s="1">
        <v>5013</v>
      </c>
      <c r="B5015" t="str">
        <f>HYPERLINK("https://bugs.eclipse.org/bugs/show_bug.cgi?id=567692", "567692")</f>
        <v>567692</v>
      </c>
      <c r="C5015" t="s">
        <v>35</v>
      </c>
      <c r="D5015" t="s">
        <v>11</v>
      </c>
      <c r="E5015" t="s">
        <v>12</v>
      </c>
      <c r="F5015" t="s">
        <v>26</v>
      </c>
      <c r="H5015" t="s">
        <v>22992</v>
      </c>
      <c r="L5015" t="s">
        <v>22993</v>
      </c>
      <c r="M5015" t="s">
        <v>22994</v>
      </c>
      <c r="N5015" t="s">
        <v>22993</v>
      </c>
      <c r="T5015" t="s">
        <v>22995</v>
      </c>
      <c r="U5015" t="s">
        <v>22996</v>
      </c>
      <c r="V5015" t="s">
        <v>22997</v>
      </c>
      <c r="W5015" t="s">
        <v>65</v>
      </c>
      <c r="X5015" t="s">
        <v>22998</v>
      </c>
      <c r="Y5015">
        <v>0</v>
      </c>
      <c r="Z5015">
        <v>70.041666666666671</v>
      </c>
    </row>
    <row r="5016" spans="1:26">
      <c r="A5016" s="1">
        <v>5014</v>
      </c>
      <c r="B5016" t="str">
        <f>HYPERLINK("https://bugs.eclipse.org/bugs/show_bug.cgi?id=567739", "567739")</f>
        <v>567739</v>
      </c>
      <c r="C5016" t="s">
        <v>22999</v>
      </c>
      <c r="D5016" t="s">
        <v>192</v>
      </c>
      <c r="E5016" t="s">
        <v>15</v>
      </c>
      <c r="F5016" t="s">
        <v>26</v>
      </c>
      <c r="Q5016" t="s">
        <v>23000</v>
      </c>
      <c r="T5016" t="s">
        <v>23001</v>
      </c>
      <c r="U5016" t="s">
        <v>23000</v>
      </c>
      <c r="V5016" t="s">
        <v>23000</v>
      </c>
      <c r="W5016" t="s">
        <v>4846</v>
      </c>
      <c r="X5016" t="s">
        <v>23002</v>
      </c>
      <c r="Y5016">
        <v>11</v>
      </c>
      <c r="Z5016">
        <v>11</v>
      </c>
    </row>
    <row r="5017" spans="1:26">
      <c r="A5017" s="1">
        <v>5015</v>
      </c>
      <c r="B5017" t="str">
        <f>HYPERLINK("https://bugs.eclipse.org/bugs/show_bug.cgi?id=567740", "567740")</f>
        <v>567740</v>
      </c>
      <c r="C5017" t="s">
        <v>4692</v>
      </c>
      <c r="D5017" t="s">
        <v>4692</v>
      </c>
      <c r="F5017" t="s">
        <v>26</v>
      </c>
    </row>
    <row r="5018" spans="1:26">
      <c r="A5018" s="1">
        <v>5016</v>
      </c>
      <c r="B5018" t="str">
        <f>HYPERLINK("https://bugs.eclipse.org/bugs/show_bug.cgi?id=567779", "567779")</f>
        <v>567779</v>
      </c>
      <c r="C5018" t="s">
        <v>35</v>
      </c>
      <c r="D5018" t="s">
        <v>11</v>
      </c>
      <c r="E5018" t="s">
        <v>12</v>
      </c>
      <c r="F5018" t="s">
        <v>26</v>
      </c>
      <c r="L5018" t="s">
        <v>23003</v>
      </c>
      <c r="M5018" t="s">
        <v>23004</v>
      </c>
      <c r="N5018" t="s">
        <v>23003</v>
      </c>
      <c r="T5018" t="s">
        <v>23005</v>
      </c>
      <c r="U5018" t="s">
        <v>23006</v>
      </c>
      <c r="V5018" t="s">
        <v>23004</v>
      </c>
      <c r="W5018" t="s">
        <v>19597</v>
      </c>
      <c r="X5018" t="s">
        <v>23007</v>
      </c>
      <c r="Y5018">
        <v>0</v>
      </c>
      <c r="Z5018">
        <v>40.041666666666657</v>
      </c>
    </row>
    <row r="5019" spans="1:26">
      <c r="A5019" s="1">
        <v>5017</v>
      </c>
      <c r="B5019" t="str">
        <f>HYPERLINK("https://bugs.eclipse.org/bugs/show_bug.cgi?id=567794", "567794")</f>
        <v>567794</v>
      </c>
      <c r="C5019" t="s">
        <v>35</v>
      </c>
      <c r="D5019" t="s">
        <v>11</v>
      </c>
      <c r="E5019" t="s">
        <v>12</v>
      </c>
      <c r="F5019" t="s">
        <v>26</v>
      </c>
      <c r="L5019" t="s">
        <v>23008</v>
      </c>
      <c r="M5019" t="s">
        <v>23009</v>
      </c>
      <c r="N5019" t="s">
        <v>23008</v>
      </c>
      <c r="T5019" t="s">
        <v>23010</v>
      </c>
      <c r="U5019" t="s">
        <v>23011</v>
      </c>
      <c r="V5019" t="s">
        <v>23012</v>
      </c>
      <c r="W5019" t="s">
        <v>65</v>
      </c>
      <c r="X5019" t="s">
        <v>23013</v>
      </c>
      <c r="Y5019">
        <v>0</v>
      </c>
      <c r="Z5019">
        <v>82.041666666666671</v>
      </c>
    </row>
    <row r="5020" spans="1:26">
      <c r="A5020" s="1">
        <v>5018</v>
      </c>
      <c r="B5020" t="str">
        <f>HYPERLINK("https://bugs.eclipse.org/bugs/show_bug.cgi?id=567830", "567830")</f>
        <v>567830</v>
      </c>
      <c r="C5020" t="s">
        <v>4692</v>
      </c>
      <c r="D5020" t="s">
        <v>4692</v>
      </c>
      <c r="F5020" t="s">
        <v>26</v>
      </c>
      <c r="T5020" t="s">
        <v>23014</v>
      </c>
      <c r="U5020" t="s">
        <v>23015</v>
      </c>
      <c r="V5020" t="s">
        <v>23016</v>
      </c>
      <c r="W5020" t="s">
        <v>23017</v>
      </c>
      <c r="X5020" t="s">
        <v>23018</v>
      </c>
      <c r="Y5020">
        <v>7</v>
      </c>
    </row>
    <row r="5021" spans="1:26">
      <c r="A5021" s="1">
        <v>5019</v>
      </c>
      <c r="B5021" t="str">
        <f>HYPERLINK("https://bugs.eclipse.org/bugs/show_bug.cgi?id=567975", "567975")</f>
        <v>567975</v>
      </c>
      <c r="C5021" t="s">
        <v>4692</v>
      </c>
      <c r="D5021" t="s">
        <v>4692</v>
      </c>
      <c r="F5021" t="s">
        <v>26</v>
      </c>
      <c r="T5021" t="s">
        <v>23019</v>
      </c>
      <c r="U5021" t="s">
        <v>23020</v>
      </c>
      <c r="V5021" t="s">
        <v>23020</v>
      </c>
      <c r="W5021" t="s">
        <v>4846</v>
      </c>
      <c r="X5021" t="s">
        <v>23021</v>
      </c>
      <c r="Y5021">
        <v>1</v>
      </c>
    </row>
    <row r="5022" spans="1:26">
      <c r="A5022" s="1">
        <v>5020</v>
      </c>
      <c r="B5022" t="str">
        <f>HYPERLINK("https://bugs.eclipse.org/bugs/show_bug.cgi?id=567977", "567977")</f>
        <v>567977</v>
      </c>
      <c r="C5022" t="s">
        <v>35</v>
      </c>
      <c r="D5022" t="s">
        <v>11</v>
      </c>
      <c r="E5022" t="s">
        <v>12</v>
      </c>
      <c r="F5022" t="s">
        <v>26</v>
      </c>
      <c r="L5022" t="s">
        <v>23022</v>
      </c>
      <c r="M5022" t="s">
        <v>23023</v>
      </c>
      <c r="N5022" t="s">
        <v>23022</v>
      </c>
      <c r="T5022" t="s">
        <v>23024</v>
      </c>
      <c r="U5022" t="s">
        <v>23025</v>
      </c>
      <c r="V5022" t="s">
        <v>23026</v>
      </c>
      <c r="W5022" t="s">
        <v>65</v>
      </c>
      <c r="X5022" t="s">
        <v>23027</v>
      </c>
      <c r="Y5022">
        <v>0</v>
      </c>
      <c r="Z5022">
        <v>62.041666666666657</v>
      </c>
    </row>
    <row r="5023" spans="1:26">
      <c r="A5023" s="1">
        <v>5021</v>
      </c>
      <c r="B5023" t="str">
        <f>HYPERLINK("https://bugs.eclipse.org/bugs/show_bug.cgi?id=568009", "568009")</f>
        <v>568009</v>
      </c>
      <c r="C5023" t="s">
        <v>25</v>
      </c>
      <c r="D5023" t="s">
        <v>25</v>
      </c>
      <c r="F5023" t="s">
        <v>26</v>
      </c>
      <c r="L5023" t="s">
        <v>23028</v>
      </c>
      <c r="M5023" t="s">
        <v>23029</v>
      </c>
      <c r="N5023" t="s">
        <v>23028</v>
      </c>
      <c r="S5023" t="s">
        <v>23030</v>
      </c>
      <c r="T5023" t="s">
        <v>23031</v>
      </c>
      <c r="U5023" t="s">
        <v>23032</v>
      </c>
      <c r="V5023" t="s">
        <v>23033</v>
      </c>
      <c r="W5023" t="s">
        <v>4846</v>
      </c>
      <c r="X5023" t="s">
        <v>23034</v>
      </c>
      <c r="Y5023">
        <v>0</v>
      </c>
    </row>
    <row r="5024" spans="1:26">
      <c r="A5024" s="1">
        <v>5022</v>
      </c>
      <c r="B5024" t="str">
        <f>HYPERLINK("https://bugs.eclipse.org/bugs/show_bug.cgi?id=568050", "568050")</f>
        <v>568050</v>
      </c>
      <c r="C5024" t="s">
        <v>35</v>
      </c>
      <c r="D5024" t="s">
        <v>11</v>
      </c>
      <c r="E5024" t="s">
        <v>12</v>
      </c>
      <c r="F5024" t="s">
        <v>26</v>
      </c>
      <c r="L5024" t="s">
        <v>23035</v>
      </c>
      <c r="M5024" t="s">
        <v>23036</v>
      </c>
      <c r="N5024" t="s">
        <v>23035</v>
      </c>
      <c r="T5024" t="s">
        <v>23037</v>
      </c>
      <c r="U5024" t="s">
        <v>23038</v>
      </c>
      <c r="V5024" t="s">
        <v>23036</v>
      </c>
      <c r="W5024" t="s">
        <v>19597</v>
      </c>
      <c r="X5024" t="s">
        <v>23039</v>
      </c>
      <c r="Y5024">
        <v>0</v>
      </c>
      <c r="Z5024">
        <v>30.041666666666671</v>
      </c>
    </row>
    <row r="5025" spans="1:26">
      <c r="A5025" s="1">
        <v>5023</v>
      </c>
      <c r="B5025" t="str">
        <f>HYPERLINK("https://bugs.eclipse.org/bugs/show_bug.cgi?id=568062", "568062")</f>
        <v>568062</v>
      </c>
      <c r="C5025" t="s">
        <v>35</v>
      </c>
      <c r="D5025" t="s">
        <v>11</v>
      </c>
      <c r="E5025" t="s">
        <v>12</v>
      </c>
      <c r="F5025" t="s">
        <v>26</v>
      </c>
      <c r="L5025" t="s">
        <v>23040</v>
      </c>
      <c r="M5025" t="s">
        <v>23041</v>
      </c>
      <c r="N5025" t="s">
        <v>23040</v>
      </c>
      <c r="T5025" t="s">
        <v>23042</v>
      </c>
      <c r="U5025" t="s">
        <v>23043</v>
      </c>
      <c r="V5025" t="s">
        <v>23041</v>
      </c>
      <c r="W5025" t="s">
        <v>9266</v>
      </c>
      <c r="X5025" t="s">
        <v>23044</v>
      </c>
      <c r="Y5025">
        <v>0</v>
      </c>
      <c r="Z5025">
        <v>29.041666666666671</v>
      </c>
    </row>
    <row r="5026" spans="1:26">
      <c r="A5026" s="1">
        <v>5024</v>
      </c>
      <c r="B5026" t="str">
        <f>HYPERLINK("https://bugs.eclipse.org/bugs/show_bug.cgi?id=568088", "568088")</f>
        <v>568088</v>
      </c>
      <c r="C5026" t="s">
        <v>35</v>
      </c>
      <c r="D5026" t="s">
        <v>11</v>
      </c>
      <c r="E5026" t="s">
        <v>12</v>
      </c>
      <c r="F5026" t="s">
        <v>26</v>
      </c>
      <c r="H5026" t="s">
        <v>22992</v>
      </c>
      <c r="L5026" t="s">
        <v>23045</v>
      </c>
      <c r="M5026" t="s">
        <v>23046</v>
      </c>
      <c r="N5026" t="s">
        <v>23045</v>
      </c>
      <c r="T5026" t="s">
        <v>23047</v>
      </c>
      <c r="U5026" t="s">
        <v>23048</v>
      </c>
      <c r="V5026" t="s">
        <v>23046</v>
      </c>
      <c r="W5026" t="s">
        <v>19597</v>
      </c>
      <c r="X5026" t="s">
        <v>23049</v>
      </c>
      <c r="Y5026">
        <v>0</v>
      </c>
      <c r="Z5026">
        <v>29.041666666666671</v>
      </c>
    </row>
    <row r="5027" spans="1:26">
      <c r="A5027" s="1">
        <v>5025</v>
      </c>
      <c r="B5027" t="str">
        <f>HYPERLINK("https://bugs.eclipse.org/bugs/show_bug.cgi?id=568147", "568147")</f>
        <v>568147</v>
      </c>
      <c r="C5027" t="s">
        <v>35</v>
      </c>
      <c r="D5027" t="s">
        <v>11</v>
      </c>
      <c r="E5027" t="s">
        <v>12</v>
      </c>
      <c r="F5027" t="s">
        <v>26</v>
      </c>
      <c r="L5027" t="s">
        <v>23050</v>
      </c>
      <c r="M5027" t="s">
        <v>23051</v>
      </c>
      <c r="N5027" t="s">
        <v>23050</v>
      </c>
      <c r="T5027" t="s">
        <v>23052</v>
      </c>
      <c r="U5027" t="s">
        <v>23053</v>
      </c>
      <c r="V5027" t="s">
        <v>23051</v>
      </c>
      <c r="W5027" t="s">
        <v>12301</v>
      </c>
      <c r="X5027" t="s">
        <v>23054</v>
      </c>
      <c r="Y5027">
        <v>0</v>
      </c>
      <c r="Z5027">
        <v>25.041666666666671</v>
      </c>
    </row>
    <row r="5028" spans="1:26">
      <c r="A5028" s="1">
        <v>5026</v>
      </c>
      <c r="B5028" t="str">
        <f>HYPERLINK("https://bugs.eclipse.org/bugs/show_bug.cgi?id=568188", "568188")</f>
        <v>568188</v>
      </c>
      <c r="C5028" t="s">
        <v>35</v>
      </c>
      <c r="D5028" t="s">
        <v>11</v>
      </c>
      <c r="E5028" t="s">
        <v>12</v>
      </c>
      <c r="F5028" t="s">
        <v>26</v>
      </c>
      <c r="L5028" t="s">
        <v>23055</v>
      </c>
      <c r="M5028" t="s">
        <v>23056</v>
      </c>
      <c r="N5028" t="s">
        <v>23055</v>
      </c>
      <c r="T5028" t="s">
        <v>23057</v>
      </c>
      <c r="U5028" t="s">
        <v>23058</v>
      </c>
      <c r="V5028" t="s">
        <v>23056</v>
      </c>
      <c r="W5028" t="s">
        <v>19597</v>
      </c>
      <c r="X5028" t="s">
        <v>23059</v>
      </c>
      <c r="Y5028">
        <v>0</v>
      </c>
      <c r="Z5028">
        <v>26.041666666666671</v>
      </c>
    </row>
    <row r="5029" spans="1:26">
      <c r="A5029" s="1">
        <v>5027</v>
      </c>
      <c r="B5029" t="str">
        <f>HYPERLINK("https://bugs.eclipse.org/bugs/show_bug.cgi?id=568199", "568199")</f>
        <v>568199</v>
      </c>
      <c r="C5029" t="s">
        <v>4692</v>
      </c>
      <c r="D5029" t="s">
        <v>4692</v>
      </c>
      <c r="F5029" t="s">
        <v>26</v>
      </c>
    </row>
    <row r="5030" spans="1:26">
      <c r="A5030" s="1">
        <v>5028</v>
      </c>
      <c r="B5030" t="str">
        <f>HYPERLINK("https://bugs.eclipse.org/bugs/show_bug.cgi?id=568263", "568263")</f>
        <v>568263</v>
      </c>
      <c r="C5030" t="s">
        <v>25</v>
      </c>
      <c r="D5030" t="s">
        <v>25</v>
      </c>
      <c r="F5030" t="s">
        <v>26</v>
      </c>
      <c r="T5030" t="s">
        <v>23060</v>
      </c>
      <c r="U5030" t="s">
        <v>23061</v>
      </c>
      <c r="V5030" t="s">
        <v>23062</v>
      </c>
      <c r="W5030" t="s">
        <v>65</v>
      </c>
      <c r="X5030" t="s">
        <v>23063</v>
      </c>
      <c r="Y5030">
        <v>0</v>
      </c>
    </row>
    <row r="5031" spans="1:26">
      <c r="A5031" s="1">
        <v>5029</v>
      </c>
      <c r="B5031" t="str">
        <f>HYPERLINK("https://bugs.eclipse.org/bugs/show_bug.cgi?id=568267", "568267")</f>
        <v>568267</v>
      </c>
      <c r="C5031" t="s">
        <v>149</v>
      </c>
      <c r="D5031" t="s">
        <v>10</v>
      </c>
      <c r="E5031" t="s">
        <v>12</v>
      </c>
      <c r="F5031" t="s">
        <v>26</v>
      </c>
      <c r="L5031" t="s">
        <v>23064</v>
      </c>
      <c r="N5031" t="s">
        <v>23064</v>
      </c>
      <c r="T5031" t="s">
        <v>23065</v>
      </c>
      <c r="U5031" t="s">
        <v>23066</v>
      </c>
      <c r="V5031" t="s">
        <v>23064</v>
      </c>
      <c r="W5031" t="s">
        <v>12301</v>
      </c>
      <c r="X5031" t="s">
        <v>23067</v>
      </c>
      <c r="Y5031">
        <v>0</v>
      </c>
      <c r="Z5031">
        <v>1</v>
      </c>
    </row>
    <row r="5032" spans="1:26">
      <c r="A5032" s="1">
        <v>5030</v>
      </c>
      <c r="B5032" t="str">
        <f>HYPERLINK("https://bugs.eclipse.org/bugs/show_bug.cgi?id=568327", "568327")</f>
        <v>568327</v>
      </c>
      <c r="C5032" t="s">
        <v>35</v>
      </c>
      <c r="D5032" t="s">
        <v>11</v>
      </c>
      <c r="E5032" t="s">
        <v>12</v>
      </c>
      <c r="F5032" t="s">
        <v>26</v>
      </c>
      <c r="L5032" t="s">
        <v>23068</v>
      </c>
      <c r="M5032" t="s">
        <v>23069</v>
      </c>
      <c r="N5032" t="s">
        <v>23068</v>
      </c>
      <c r="T5032" t="s">
        <v>23070</v>
      </c>
      <c r="U5032" t="s">
        <v>23071</v>
      </c>
      <c r="V5032" t="s">
        <v>23069</v>
      </c>
      <c r="W5032" t="s">
        <v>19597</v>
      </c>
      <c r="X5032" t="s">
        <v>23072</v>
      </c>
      <c r="Y5032">
        <v>0</v>
      </c>
      <c r="Z5032">
        <v>22.041666666666671</v>
      </c>
    </row>
    <row r="5033" spans="1:26">
      <c r="A5033" s="1">
        <v>5031</v>
      </c>
      <c r="B5033" t="str">
        <f>HYPERLINK("https://bugs.eclipse.org/bugs/show_bug.cgi?id=568409", "568409")</f>
        <v>568409</v>
      </c>
      <c r="C5033" t="s">
        <v>35</v>
      </c>
      <c r="D5033" t="s">
        <v>11</v>
      </c>
      <c r="E5033" t="s">
        <v>12</v>
      </c>
      <c r="F5033" t="s">
        <v>26</v>
      </c>
      <c r="L5033" t="s">
        <v>23073</v>
      </c>
      <c r="M5033" t="s">
        <v>23074</v>
      </c>
      <c r="N5033" t="s">
        <v>23073</v>
      </c>
      <c r="T5033" t="s">
        <v>23075</v>
      </c>
      <c r="U5033" t="s">
        <v>23076</v>
      </c>
      <c r="V5033" t="s">
        <v>23077</v>
      </c>
      <c r="W5033" t="s">
        <v>65</v>
      </c>
      <c r="X5033" t="s">
        <v>23078</v>
      </c>
      <c r="Y5033">
        <v>0</v>
      </c>
      <c r="Z5033">
        <v>62.041666666666657</v>
      </c>
    </row>
    <row r="5034" spans="1:26">
      <c r="A5034" s="1">
        <v>5032</v>
      </c>
      <c r="B5034" t="str">
        <f>HYPERLINK("https://bugs.eclipse.org/bugs/show_bug.cgi?id=568412", "568412")</f>
        <v>568412</v>
      </c>
      <c r="C5034" t="s">
        <v>35</v>
      </c>
      <c r="D5034" t="s">
        <v>11</v>
      </c>
      <c r="E5034" t="s">
        <v>12</v>
      </c>
      <c r="F5034" t="s">
        <v>26</v>
      </c>
      <c r="L5034" t="s">
        <v>23079</v>
      </c>
      <c r="M5034" t="s">
        <v>23080</v>
      </c>
      <c r="N5034" t="s">
        <v>23079</v>
      </c>
      <c r="T5034" t="s">
        <v>23081</v>
      </c>
      <c r="U5034" t="s">
        <v>23082</v>
      </c>
      <c r="V5034" t="s">
        <v>23083</v>
      </c>
      <c r="W5034" t="s">
        <v>65</v>
      </c>
      <c r="X5034" t="s">
        <v>23084</v>
      </c>
      <c r="Y5034">
        <v>0</v>
      </c>
      <c r="Z5034">
        <v>49.041666666666657</v>
      </c>
    </row>
    <row r="5035" spans="1:26">
      <c r="A5035" s="1">
        <v>5033</v>
      </c>
      <c r="B5035" t="str">
        <f>HYPERLINK("https://bugs.eclipse.org/bugs/show_bug.cgi?id=568472", "568472")</f>
        <v>568472</v>
      </c>
      <c r="C5035" t="s">
        <v>35</v>
      </c>
      <c r="D5035" t="s">
        <v>11</v>
      </c>
      <c r="E5035" t="s">
        <v>12</v>
      </c>
      <c r="F5035" t="s">
        <v>26</v>
      </c>
      <c r="H5035" t="s">
        <v>23085</v>
      </c>
      <c r="L5035" t="s">
        <v>23086</v>
      </c>
      <c r="M5035" t="s">
        <v>23087</v>
      </c>
      <c r="N5035" t="s">
        <v>23086</v>
      </c>
      <c r="T5035" t="s">
        <v>23088</v>
      </c>
      <c r="U5035" t="s">
        <v>23089</v>
      </c>
      <c r="V5035" t="s">
        <v>23090</v>
      </c>
      <c r="W5035" t="s">
        <v>11939</v>
      </c>
      <c r="X5035" t="s">
        <v>23091</v>
      </c>
      <c r="Y5035">
        <v>0</v>
      </c>
      <c r="Z5035">
        <v>72</v>
      </c>
    </row>
    <row r="5036" spans="1:26">
      <c r="A5036" s="1">
        <v>5034</v>
      </c>
      <c r="B5036" t="str">
        <f>HYPERLINK("https://bugs.eclipse.org/bugs/show_bug.cgi?id=568584", "568584")</f>
        <v>568584</v>
      </c>
      <c r="C5036" t="s">
        <v>35</v>
      </c>
      <c r="D5036" t="s">
        <v>11</v>
      </c>
      <c r="E5036" t="s">
        <v>12</v>
      </c>
      <c r="F5036" t="s">
        <v>26</v>
      </c>
      <c r="G5036" t="s">
        <v>23092</v>
      </c>
      <c r="L5036" t="s">
        <v>23093</v>
      </c>
      <c r="M5036" t="s">
        <v>23094</v>
      </c>
      <c r="N5036" t="s">
        <v>23093</v>
      </c>
      <c r="T5036" t="s">
        <v>23095</v>
      </c>
      <c r="U5036" t="s">
        <v>23096</v>
      </c>
      <c r="V5036" t="s">
        <v>23094</v>
      </c>
      <c r="W5036" t="s">
        <v>4846</v>
      </c>
      <c r="X5036" t="s">
        <v>23097</v>
      </c>
      <c r="Y5036">
        <v>0</v>
      </c>
      <c r="Z5036">
        <v>11</v>
      </c>
    </row>
    <row r="5037" spans="1:26">
      <c r="A5037" s="1">
        <v>5035</v>
      </c>
      <c r="B5037" t="str">
        <f>HYPERLINK("https://bugs.eclipse.org/bugs/show_bug.cgi?id=568607", "568607")</f>
        <v>568607</v>
      </c>
      <c r="C5037" t="s">
        <v>22179</v>
      </c>
      <c r="D5037" t="s">
        <v>192</v>
      </c>
      <c r="E5037" t="s">
        <v>17701</v>
      </c>
      <c r="F5037" t="s">
        <v>26</v>
      </c>
      <c r="T5037" t="s">
        <v>23098</v>
      </c>
      <c r="U5037" t="s">
        <v>23099</v>
      </c>
      <c r="V5037" t="s">
        <v>23100</v>
      </c>
      <c r="W5037" t="s">
        <v>14690</v>
      </c>
      <c r="X5037" t="s">
        <v>23101</v>
      </c>
      <c r="Y5037">
        <v>0</v>
      </c>
      <c r="Z5037">
        <v>1</v>
      </c>
    </row>
    <row r="5038" spans="1:26">
      <c r="A5038" s="1">
        <v>5036</v>
      </c>
      <c r="B5038" t="str">
        <f>HYPERLINK("https://bugs.eclipse.org/bugs/show_bug.cgi?id=568611", "568611")</f>
        <v>568611</v>
      </c>
      <c r="C5038" t="s">
        <v>35</v>
      </c>
      <c r="D5038" t="s">
        <v>11</v>
      </c>
      <c r="E5038" t="s">
        <v>12</v>
      </c>
      <c r="F5038" t="s">
        <v>26</v>
      </c>
      <c r="L5038" t="s">
        <v>23102</v>
      </c>
      <c r="M5038" t="s">
        <v>23103</v>
      </c>
      <c r="N5038" t="s">
        <v>23102</v>
      </c>
      <c r="S5038" t="s">
        <v>23104</v>
      </c>
      <c r="T5038" t="s">
        <v>23105</v>
      </c>
      <c r="U5038" t="s">
        <v>23106</v>
      </c>
      <c r="V5038" t="s">
        <v>23103</v>
      </c>
      <c r="W5038" t="s">
        <v>19597</v>
      </c>
      <c r="X5038" t="s">
        <v>23107</v>
      </c>
      <c r="Y5038">
        <v>0</v>
      </c>
      <c r="Z5038">
        <v>13</v>
      </c>
    </row>
    <row r="5039" spans="1:26">
      <c r="A5039" s="1">
        <v>5037</v>
      </c>
      <c r="B5039" t="str">
        <f>HYPERLINK("https://bugs.eclipse.org/bugs/show_bug.cgi?id=568615", "568615")</f>
        <v>568615</v>
      </c>
      <c r="C5039" t="s">
        <v>35</v>
      </c>
      <c r="D5039" t="s">
        <v>11</v>
      </c>
      <c r="E5039" t="s">
        <v>12</v>
      </c>
      <c r="F5039" t="s">
        <v>26</v>
      </c>
      <c r="L5039" t="s">
        <v>23108</v>
      </c>
      <c r="M5039" t="s">
        <v>23109</v>
      </c>
      <c r="N5039" t="s">
        <v>23108</v>
      </c>
      <c r="T5039" t="s">
        <v>23110</v>
      </c>
      <c r="U5039" t="s">
        <v>23111</v>
      </c>
      <c r="V5039" t="s">
        <v>23109</v>
      </c>
      <c r="W5039" t="s">
        <v>19597</v>
      </c>
      <c r="X5039" t="s">
        <v>23112</v>
      </c>
      <c r="Y5039">
        <v>0</v>
      </c>
      <c r="Z5039">
        <v>12</v>
      </c>
    </row>
    <row r="5040" spans="1:26">
      <c r="A5040" s="1">
        <v>5038</v>
      </c>
      <c r="B5040" t="str">
        <f>HYPERLINK("https://bugs.eclipse.org/bugs/show_bug.cgi?id=568656", "568656")</f>
        <v>568656</v>
      </c>
      <c r="C5040" t="s">
        <v>35</v>
      </c>
      <c r="D5040" t="s">
        <v>11</v>
      </c>
      <c r="E5040" t="s">
        <v>12</v>
      </c>
      <c r="F5040" t="s">
        <v>26</v>
      </c>
      <c r="L5040" t="s">
        <v>23113</v>
      </c>
      <c r="M5040" t="s">
        <v>23114</v>
      </c>
      <c r="N5040" t="s">
        <v>23113</v>
      </c>
      <c r="T5040" t="s">
        <v>23115</v>
      </c>
      <c r="U5040" t="s">
        <v>23116</v>
      </c>
      <c r="V5040" t="s">
        <v>23117</v>
      </c>
      <c r="W5040" t="s">
        <v>65</v>
      </c>
      <c r="X5040" t="s">
        <v>23118</v>
      </c>
      <c r="Y5040">
        <v>1</v>
      </c>
      <c r="Z5040">
        <v>60</v>
      </c>
    </row>
    <row r="5041" spans="1:26">
      <c r="A5041" s="1">
        <v>5039</v>
      </c>
      <c r="B5041" t="str">
        <f>HYPERLINK("https://bugs.eclipse.org/bugs/show_bug.cgi?id=568822", "568822")</f>
        <v>568822</v>
      </c>
      <c r="C5041" t="s">
        <v>25</v>
      </c>
      <c r="D5041" t="s">
        <v>25</v>
      </c>
      <c r="F5041" t="s">
        <v>26</v>
      </c>
      <c r="L5041" t="s">
        <v>23119</v>
      </c>
      <c r="M5041" t="s">
        <v>23120</v>
      </c>
      <c r="N5041" t="s">
        <v>23119</v>
      </c>
      <c r="S5041" t="s">
        <v>23121</v>
      </c>
      <c r="T5041" t="s">
        <v>23122</v>
      </c>
      <c r="U5041" t="s">
        <v>23123</v>
      </c>
      <c r="V5041" t="s">
        <v>23124</v>
      </c>
      <c r="W5041" t="s">
        <v>19597</v>
      </c>
      <c r="X5041" t="s">
        <v>23125</v>
      </c>
      <c r="Y5041">
        <v>0</v>
      </c>
    </row>
    <row r="5042" spans="1:26">
      <c r="A5042" s="1">
        <v>5040</v>
      </c>
      <c r="B5042" t="str">
        <f>HYPERLINK("https://bugs.eclipse.org/bugs/show_bug.cgi?id=568987", "568987")</f>
        <v>568987</v>
      </c>
      <c r="C5042" t="s">
        <v>35</v>
      </c>
      <c r="D5042" t="s">
        <v>11</v>
      </c>
      <c r="E5042" t="s">
        <v>12</v>
      </c>
      <c r="F5042" t="s">
        <v>26</v>
      </c>
      <c r="L5042" t="s">
        <v>23126</v>
      </c>
      <c r="M5042" t="s">
        <v>23127</v>
      </c>
      <c r="N5042" t="s">
        <v>23126</v>
      </c>
      <c r="T5042" t="s">
        <v>23128</v>
      </c>
      <c r="U5042" t="s">
        <v>23129</v>
      </c>
      <c r="V5042" t="s">
        <v>23127</v>
      </c>
      <c r="W5042" t="s">
        <v>11693</v>
      </c>
      <c r="X5042" t="s">
        <v>23130</v>
      </c>
      <c r="Y5042">
        <v>0</v>
      </c>
      <c r="Z5042">
        <v>4</v>
      </c>
    </row>
    <row r="5043" spans="1:26">
      <c r="A5043" s="1">
        <v>5041</v>
      </c>
      <c r="B5043" t="str">
        <f>HYPERLINK("https://bugs.eclipse.org/bugs/show_bug.cgi?id=569027", "569027")</f>
        <v>569027</v>
      </c>
      <c r="C5043" t="s">
        <v>4692</v>
      </c>
      <c r="D5043" t="s">
        <v>4692</v>
      </c>
      <c r="F5043" t="s">
        <v>26</v>
      </c>
      <c r="T5043" t="s">
        <v>23131</v>
      </c>
      <c r="U5043" t="s">
        <v>23132</v>
      </c>
      <c r="V5043" t="s">
        <v>23132</v>
      </c>
      <c r="W5043" t="s">
        <v>65</v>
      </c>
      <c r="X5043" t="s">
        <v>23133</v>
      </c>
      <c r="Y5043">
        <v>2</v>
      </c>
    </row>
    <row r="5044" spans="1:26">
      <c r="A5044" s="1">
        <v>5042</v>
      </c>
      <c r="B5044" t="str">
        <f>HYPERLINK("https://bugs.eclipse.org/bugs/show_bug.cgi?id=569028", "569028")</f>
        <v>569028</v>
      </c>
      <c r="C5044" t="s">
        <v>25</v>
      </c>
      <c r="D5044" t="s">
        <v>25</v>
      </c>
      <c r="F5044" t="s">
        <v>26</v>
      </c>
      <c r="T5044" t="s">
        <v>23134</v>
      </c>
      <c r="U5044" t="s">
        <v>23135</v>
      </c>
      <c r="V5044" t="s">
        <v>23135</v>
      </c>
      <c r="W5044" t="s">
        <v>19597</v>
      </c>
      <c r="X5044" t="s">
        <v>23136</v>
      </c>
      <c r="Y5044">
        <v>2</v>
      </c>
    </row>
    <row r="5045" spans="1:26">
      <c r="A5045" s="1">
        <v>5043</v>
      </c>
      <c r="B5045" t="str">
        <f>HYPERLINK("https://bugs.eclipse.org/bugs/show_bug.cgi?id=569666", "569666")</f>
        <v>569666</v>
      </c>
      <c r="C5045" t="s">
        <v>25</v>
      </c>
      <c r="D5045" t="s">
        <v>25</v>
      </c>
      <c r="F5045" t="s">
        <v>26</v>
      </c>
      <c r="T5045" t="s">
        <v>23137</v>
      </c>
      <c r="U5045" t="s">
        <v>23138</v>
      </c>
      <c r="V5045" t="s">
        <v>23139</v>
      </c>
      <c r="W5045" t="s">
        <v>4206</v>
      </c>
      <c r="X5045" t="s">
        <v>23140</v>
      </c>
      <c r="Y5045">
        <v>0</v>
      </c>
    </row>
    <row r="5046" spans="1:26">
      <c r="A5046" s="1">
        <v>5044</v>
      </c>
      <c r="B5046" t="str">
        <f>HYPERLINK("https://bugs.eclipse.org/bugs/show_bug.cgi?id=569738", "569738")</f>
        <v>569738</v>
      </c>
      <c r="C5046" t="s">
        <v>23141</v>
      </c>
      <c r="D5046" t="s">
        <v>192</v>
      </c>
      <c r="E5046" t="s">
        <v>15</v>
      </c>
      <c r="F5046" t="s">
        <v>26</v>
      </c>
      <c r="Q5046" t="s">
        <v>23142</v>
      </c>
      <c r="T5046" t="s">
        <v>23143</v>
      </c>
      <c r="U5046" t="s">
        <v>23142</v>
      </c>
      <c r="V5046" t="s">
        <v>23142</v>
      </c>
      <c r="W5046" t="s">
        <v>14690</v>
      </c>
      <c r="X5046" t="s">
        <v>23144</v>
      </c>
      <c r="Y5046">
        <v>0</v>
      </c>
      <c r="Z5046">
        <v>0</v>
      </c>
    </row>
    <row r="5047" spans="1:26">
      <c r="A5047" s="1">
        <v>5045</v>
      </c>
      <c r="B5047" t="str">
        <f>HYPERLINK("https://bugs.eclipse.org/bugs/show_bug.cgi?id=569800", "569800")</f>
        <v>569800</v>
      </c>
      <c r="C5047" t="s">
        <v>25</v>
      </c>
      <c r="D5047" t="s">
        <v>25</v>
      </c>
      <c r="F5047" t="s">
        <v>26</v>
      </c>
      <c r="T5047" t="s">
        <v>23145</v>
      </c>
      <c r="U5047" t="s">
        <v>23146</v>
      </c>
      <c r="V5047" t="s">
        <v>23147</v>
      </c>
      <c r="W5047" t="s">
        <v>65</v>
      </c>
      <c r="X5047" t="s">
        <v>23148</v>
      </c>
      <c r="Y5047">
        <v>0</v>
      </c>
    </row>
    <row r="5048" spans="1:26">
      <c r="A5048" s="1">
        <v>5046</v>
      </c>
      <c r="B5048" t="str">
        <f>HYPERLINK("https://bugs.eclipse.org/bugs/show_bug.cgi?id=569835", "569835")</f>
        <v>569835</v>
      </c>
      <c r="C5048" t="s">
        <v>25</v>
      </c>
      <c r="D5048" t="s">
        <v>25</v>
      </c>
      <c r="F5048" t="s">
        <v>26</v>
      </c>
      <c r="T5048" t="s">
        <v>23149</v>
      </c>
      <c r="U5048" t="s">
        <v>23150</v>
      </c>
      <c r="V5048" t="s">
        <v>23151</v>
      </c>
      <c r="W5048" t="s">
        <v>19597</v>
      </c>
      <c r="X5048" t="s">
        <v>23152</v>
      </c>
      <c r="Y5048">
        <v>0</v>
      </c>
    </row>
    <row r="5049" spans="1:26">
      <c r="A5049" s="1">
        <v>5047</v>
      </c>
      <c r="B5049" t="str">
        <f>HYPERLINK("https://bugs.eclipse.org/bugs/show_bug.cgi?id=569845", "569845")</f>
        <v>569845</v>
      </c>
      <c r="C5049" t="s">
        <v>25</v>
      </c>
      <c r="D5049" t="s">
        <v>25</v>
      </c>
      <c r="F5049" t="s">
        <v>26</v>
      </c>
      <c r="G5049" t="s">
        <v>23153</v>
      </c>
      <c r="T5049" t="s">
        <v>23154</v>
      </c>
      <c r="U5049" t="s">
        <v>23155</v>
      </c>
      <c r="V5049" t="s">
        <v>23156</v>
      </c>
      <c r="W5049" t="s">
        <v>19597</v>
      </c>
      <c r="X5049" t="s">
        <v>23157</v>
      </c>
      <c r="Y5049">
        <v>0</v>
      </c>
    </row>
    <row r="5050" spans="1:26">
      <c r="A5050" s="1">
        <v>5048</v>
      </c>
      <c r="B5050" t="str">
        <f>HYPERLINK("https://bugs.eclipse.org/bugs/show_bug.cgi?id=569847", "569847")</f>
        <v>569847</v>
      </c>
      <c r="C5050" t="s">
        <v>25</v>
      </c>
      <c r="D5050" t="s">
        <v>25</v>
      </c>
      <c r="F5050" t="s">
        <v>26</v>
      </c>
      <c r="T5050" t="s">
        <v>23158</v>
      </c>
      <c r="U5050" t="s">
        <v>23159</v>
      </c>
      <c r="V5050" t="s">
        <v>23160</v>
      </c>
      <c r="W5050" t="s">
        <v>19597</v>
      </c>
      <c r="X5050" t="s">
        <v>23161</v>
      </c>
      <c r="Y5050">
        <v>0</v>
      </c>
    </row>
    <row r="5051" spans="1:26">
      <c r="A5051" s="1">
        <v>5049</v>
      </c>
      <c r="B5051" t="str">
        <f>HYPERLINK("https://bugs.eclipse.org/bugs/show_bug.cgi?id=569879", "569879")</f>
        <v>569879</v>
      </c>
      <c r="C5051" t="s">
        <v>35</v>
      </c>
      <c r="D5051" t="s">
        <v>11</v>
      </c>
      <c r="E5051" t="s">
        <v>12</v>
      </c>
      <c r="F5051" t="s">
        <v>26</v>
      </c>
      <c r="G5051" t="s">
        <v>23162</v>
      </c>
      <c r="L5051" t="s">
        <v>23163</v>
      </c>
      <c r="M5051" t="s">
        <v>23164</v>
      </c>
      <c r="N5051" t="s">
        <v>23163</v>
      </c>
      <c r="T5051" t="s">
        <v>23165</v>
      </c>
      <c r="U5051" t="s">
        <v>23166</v>
      </c>
      <c r="V5051" t="s">
        <v>23167</v>
      </c>
      <c r="W5051" t="s">
        <v>19597</v>
      </c>
      <c r="X5051" t="s">
        <v>23168</v>
      </c>
      <c r="Y5051">
        <v>0</v>
      </c>
      <c r="Z5051">
        <v>25</v>
      </c>
    </row>
    <row r="5052" spans="1:26">
      <c r="A5052" s="1">
        <v>5050</v>
      </c>
      <c r="B5052" t="str">
        <f>HYPERLINK("https://bugs.eclipse.org/bugs/show_bug.cgi?id=570001", "570001")</f>
        <v>570001</v>
      </c>
      <c r="C5052" t="s">
        <v>149</v>
      </c>
      <c r="D5052" t="s">
        <v>10</v>
      </c>
      <c r="E5052" t="s">
        <v>12</v>
      </c>
      <c r="F5052" t="s">
        <v>26</v>
      </c>
      <c r="L5052" t="s">
        <v>23169</v>
      </c>
      <c r="N5052" t="s">
        <v>23169</v>
      </c>
      <c r="T5052" t="s">
        <v>23170</v>
      </c>
      <c r="U5052" t="s">
        <v>23171</v>
      </c>
      <c r="V5052" t="s">
        <v>23169</v>
      </c>
      <c r="W5052" t="s">
        <v>14690</v>
      </c>
      <c r="X5052" t="s">
        <v>23172</v>
      </c>
      <c r="Y5052">
        <v>0</v>
      </c>
      <c r="Z5052">
        <v>1</v>
      </c>
    </row>
    <row r="5053" spans="1:26">
      <c r="A5053" s="1">
        <v>5051</v>
      </c>
      <c r="B5053" t="str">
        <f>HYPERLINK("https://bugs.eclipse.org/bugs/show_bug.cgi?id=570011", "570011")</f>
        <v>570011</v>
      </c>
      <c r="C5053" t="s">
        <v>149</v>
      </c>
      <c r="D5053" t="s">
        <v>10</v>
      </c>
      <c r="E5053" t="s">
        <v>12</v>
      </c>
      <c r="F5053" t="s">
        <v>26</v>
      </c>
      <c r="L5053" t="s">
        <v>23173</v>
      </c>
      <c r="N5053" t="s">
        <v>23173</v>
      </c>
      <c r="T5053" t="s">
        <v>23174</v>
      </c>
      <c r="U5053" t="s">
        <v>23175</v>
      </c>
      <c r="V5053" t="s">
        <v>23173</v>
      </c>
      <c r="W5053" t="s">
        <v>19597</v>
      </c>
      <c r="X5053" t="s">
        <v>23176</v>
      </c>
      <c r="Y5053">
        <v>0</v>
      </c>
      <c r="Z5053">
        <v>7</v>
      </c>
    </row>
    <row r="5054" spans="1:26">
      <c r="A5054" s="1">
        <v>5052</v>
      </c>
      <c r="B5054" t="str">
        <f>HYPERLINK("https://bugs.eclipse.org/bugs/show_bug.cgi?id=570017", "570017")</f>
        <v>570017</v>
      </c>
      <c r="C5054" t="s">
        <v>88</v>
      </c>
      <c r="D5054" t="s">
        <v>10</v>
      </c>
      <c r="E5054" t="s">
        <v>13</v>
      </c>
      <c r="F5054" t="s">
        <v>26</v>
      </c>
      <c r="L5054" t="s">
        <v>23177</v>
      </c>
      <c r="O5054" t="s">
        <v>23177</v>
      </c>
      <c r="T5054" t="s">
        <v>23178</v>
      </c>
      <c r="U5054" t="s">
        <v>23179</v>
      </c>
      <c r="V5054" t="s">
        <v>23177</v>
      </c>
      <c r="W5054" t="s">
        <v>11939</v>
      </c>
      <c r="X5054" t="s">
        <v>23180</v>
      </c>
      <c r="Y5054">
        <v>0</v>
      </c>
      <c r="Z5054">
        <v>0</v>
      </c>
    </row>
    <row r="5055" spans="1:26">
      <c r="A5055" s="1">
        <v>5053</v>
      </c>
      <c r="B5055" t="str">
        <f>HYPERLINK("https://bugs.eclipse.org/bugs/show_bug.cgi?id=570024", "570024")</f>
        <v>570024</v>
      </c>
      <c r="C5055" t="s">
        <v>4692</v>
      </c>
      <c r="D5055" t="s">
        <v>4692</v>
      </c>
      <c r="F5055" t="s">
        <v>26</v>
      </c>
      <c r="T5055" t="s">
        <v>23181</v>
      </c>
      <c r="U5055" t="s">
        <v>23182</v>
      </c>
      <c r="V5055" t="s">
        <v>23182</v>
      </c>
      <c r="W5055" t="s">
        <v>4846</v>
      </c>
      <c r="X5055" t="s">
        <v>23183</v>
      </c>
      <c r="Y5055">
        <v>2</v>
      </c>
    </row>
    <row r="5056" spans="1:26">
      <c r="A5056" s="1">
        <v>5054</v>
      </c>
      <c r="B5056" t="str">
        <f>HYPERLINK("https://bugs.eclipse.org/bugs/show_bug.cgi?id=570029", "570029")</f>
        <v>570029</v>
      </c>
      <c r="C5056" t="s">
        <v>25</v>
      </c>
      <c r="D5056" t="s">
        <v>25</v>
      </c>
      <c r="F5056" t="s">
        <v>26</v>
      </c>
      <c r="T5056" t="s">
        <v>23184</v>
      </c>
      <c r="U5056" t="s">
        <v>23185</v>
      </c>
      <c r="V5056" t="s">
        <v>23186</v>
      </c>
      <c r="W5056" t="s">
        <v>19597</v>
      </c>
      <c r="X5056" t="s">
        <v>23187</v>
      </c>
      <c r="Y5056">
        <v>0</v>
      </c>
    </row>
    <row r="5057" spans="1:25">
      <c r="A5057" s="1">
        <v>5055</v>
      </c>
      <c r="B5057" t="str">
        <f>HYPERLINK("https://bugs.eclipse.org/bugs/show_bug.cgi?id=570098", "570098")</f>
        <v>570098</v>
      </c>
      <c r="C5057" t="s">
        <v>25</v>
      </c>
      <c r="D5057" t="s">
        <v>25</v>
      </c>
      <c r="F5057" t="s">
        <v>26</v>
      </c>
      <c r="T5057" t="s">
        <v>23188</v>
      </c>
      <c r="U5057" t="s">
        <v>23189</v>
      </c>
      <c r="V5057" t="s">
        <v>23189</v>
      </c>
      <c r="W5057" t="s">
        <v>65</v>
      </c>
      <c r="X5057" t="s">
        <v>23190</v>
      </c>
      <c r="Y5057">
        <v>0</v>
      </c>
    </row>
    <row r="5058" spans="1:25">
      <c r="A5058" s="1">
        <v>5056</v>
      </c>
      <c r="B5058" t="str">
        <f>HYPERLINK("https://bugs.eclipse.org/bugs/show_bug.cgi?id=570168", "570168")</f>
        <v>570168</v>
      </c>
      <c r="C5058" t="s">
        <v>25</v>
      </c>
      <c r="D5058" t="s">
        <v>25</v>
      </c>
      <c r="F5058" t="s">
        <v>26</v>
      </c>
      <c r="T5058" t="s">
        <v>23191</v>
      </c>
      <c r="U5058" t="s">
        <v>23192</v>
      </c>
      <c r="V5058" t="s">
        <v>23193</v>
      </c>
      <c r="W5058" t="s">
        <v>19597</v>
      </c>
      <c r="X5058" t="s">
        <v>23194</v>
      </c>
      <c r="Y5058">
        <v>0</v>
      </c>
    </row>
    <row r="5059" spans="1:25">
      <c r="A5059" s="1">
        <v>5057</v>
      </c>
      <c r="B5059" t="str">
        <f>HYPERLINK("https://bugs.eclipse.org/bugs/show_bug.cgi?id=570172", "570172")</f>
        <v>570172</v>
      </c>
      <c r="C5059" t="s">
        <v>4692</v>
      </c>
      <c r="D5059" t="s">
        <v>4692</v>
      </c>
      <c r="F5059" t="s">
        <v>26</v>
      </c>
    </row>
    <row r="5060" spans="1:25">
      <c r="A5060" s="1">
        <v>5058</v>
      </c>
      <c r="B5060" t="str">
        <f>HYPERLINK("https://bugs.eclipse.org/bugs/show_bug.cgi?id=570245", "570245")</f>
        <v>570245</v>
      </c>
      <c r="C5060" t="s">
        <v>25</v>
      </c>
      <c r="D5060" t="s">
        <v>25</v>
      </c>
      <c r="F5060" t="s">
        <v>26</v>
      </c>
      <c r="G5060" t="s">
        <v>23195</v>
      </c>
      <c r="H5060" t="s">
        <v>23196</v>
      </c>
      <c r="T5060" t="s">
        <v>23197</v>
      </c>
      <c r="U5060" t="s">
        <v>23198</v>
      </c>
      <c r="V5060" t="s">
        <v>23199</v>
      </c>
      <c r="W5060" t="s">
        <v>11693</v>
      </c>
      <c r="X5060" t="s">
        <v>23200</v>
      </c>
      <c r="Y506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Chandrashekar, Lipika</cp:lastModifiedBy>
  <cp:revision/>
  <dcterms:created xsi:type="dcterms:W3CDTF">2021-01-18T00:39:56Z</dcterms:created>
  <dcterms:modified xsi:type="dcterms:W3CDTF">2021-02-01T02:14:14Z</dcterms:modified>
  <cp:category/>
  <cp:contentStatus/>
</cp:coreProperties>
</file>